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RVICIO_ACTUAL">REINSCRIPCION!$H$18</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 i="4" l="1"/>
  <c r="D49" i="27" l="1"/>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H18" i="27" s="1"/>
  <c r="AK35" i="27" l="1"/>
  <c r="I31" i="27" s="1"/>
  <c r="AK34" i="27"/>
  <c r="D33" i="27" s="1"/>
  <c r="A22" i="32" s="1"/>
  <c r="AN40" i="27"/>
  <c r="AM40" i="27"/>
  <c r="A18" i="32"/>
  <c r="O18" i="27"/>
  <c r="A20" i="32"/>
  <c r="AL44" i="27"/>
  <c r="K26" i="27" s="1"/>
  <c r="AK37" i="27"/>
  <c r="P43" i="27" s="1"/>
  <c r="V53" i="27" s="1"/>
  <c r="AL33" i="27"/>
  <c r="R19" i="27" s="1"/>
  <c r="AL45" i="27"/>
  <c r="V26" i="27" s="1"/>
  <c r="T26" i="27" s="1"/>
  <c r="AL35" i="27"/>
  <c r="V21" i="27" s="1"/>
  <c r="M21" i="27" s="1"/>
  <c r="AL30" i="27"/>
  <c r="A21" i="32"/>
  <c r="AL42" i="27"/>
  <c r="L27" i="27" s="1"/>
  <c r="AL38" i="27"/>
  <c r="V24" i="27" s="1"/>
  <c r="F24" i="27" s="1"/>
  <c r="AS50" i="27"/>
  <c r="V28" i="27"/>
  <c r="AK36" i="27"/>
  <c r="D43" i="27" s="1"/>
  <c r="U53" i="27" s="1"/>
  <c r="AL32" i="27"/>
  <c r="AL37" i="27"/>
  <c r="V25" i="27" s="1"/>
  <c r="Q24" i="27" s="1"/>
  <c r="AL29" i="27"/>
  <c r="H19" i="27" s="1"/>
  <c r="AL46" i="27"/>
  <c r="V22" i="27" s="1"/>
  <c r="N22" i="27" s="1"/>
  <c r="AL31" i="27"/>
  <c r="R18" i="27" s="1"/>
  <c r="A17" i="32" s="1"/>
  <c r="AL41" i="27"/>
  <c r="E27" i="27" s="1"/>
  <c r="AL43" i="27"/>
  <c r="S27" i="27" s="1"/>
  <c r="AL36" i="27"/>
  <c r="V23" i="27" s="1"/>
  <c r="I23" i="27" s="1"/>
  <c r="AL34" i="27"/>
  <c r="DD262" i="1"/>
  <c r="N19" i="4"/>
  <c r="V27" i="27" l="1"/>
  <c r="G38" i="27" s="1"/>
  <c r="AM32" i="27"/>
  <c r="AL40" i="27"/>
  <c r="Q25" i="27" s="1"/>
  <c r="AL39" i="27"/>
  <c r="J25" i="27" s="1"/>
  <c r="A19" i="32" s="1"/>
  <c r="P18" i="27"/>
  <c r="W28" i="27"/>
  <c r="G71" i="4"/>
  <c r="B68" i="4"/>
  <c r="B71" i="4"/>
  <c r="B36" i="4" s="1"/>
  <c r="G65" i="4"/>
  <c r="B74" i="4"/>
  <c r="J68" i="4"/>
  <c r="J71" i="4"/>
  <c r="G68" i="4"/>
  <c r="B22" i="4"/>
  <c r="Q5" i="4"/>
  <c r="B21" i="4"/>
  <c r="D39" i="27" l="1"/>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<sst xmlns="http://schemas.openxmlformats.org/spreadsheetml/2006/main" count="20696" uniqueCount="10596">
  <si>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</si>
  <si>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</si>
  <si>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</si>
  <si>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</si>
  <si>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</si>
  <si>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</si>
  <si>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</si>
  <si>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</si>
  <si>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</si>
  <si>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</si>
  <si>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</si>
  <si>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</si>
  <si>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</si>
  <si>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</si>
  <si>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</si>
  <si>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</si>
  <si>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</si>
  <si>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</si>
  <si>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</si>
  <si>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</si>
  <si>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</si>
  <si>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</si>
  <si>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</si>
  <si>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</si>
  <si>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</si>
  <si>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</si>
  <si>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</si>
  <si>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</si>
  <si>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</si>
  <si>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</si>
  <si>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</si>
  <si>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</si>
  <si>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</si>
  <si>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</si>
  <si>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</si>
  <si>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</si>
  <si>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</si>
  <si>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</si>
  <si>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</si>
  <si>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</si>
  <si>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</si>
  <si>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</si>
  <si>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</si>
  <si>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</si>
  <si>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</si>
  <si>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</si>
  <si>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</si>
  <si>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</si>
  <si>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</si>
  <si>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</si>
  <si>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</si>
  <si>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</si>
  <si>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</si>
  <si>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</si>
  <si>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</si>
  <si>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</si>
  <si>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</si>
  <si>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</si>
  <si>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</si>
  <si>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</si>
  <si>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</si>
  <si>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</si>
  <si>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</si>
  <si>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</si>
  <si>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</si>
  <si>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</si>
  <si>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</si>
  <si>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</si>
  <si>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</si>
  <si>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</si>
  <si>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</si>
  <si>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</si>
  <si>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</si>
  <si>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</si>
  <si>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</si>
  <si>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</si>
  <si>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</si>
  <si>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</si>
  <si>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</si>
  <si>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</si>
  <si>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</si>
  <si>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</si>
  <si>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</si>
  <si>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</si>
  <si>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</si>
  <si>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</si>
  <si>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</si>
  <si>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</si>
  <si>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</si>
  <si>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</si>
  <si>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</si>
  <si>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</si>
  <si>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</si>
  <si>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</si>
  <si>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</si>
  <si>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</si>
  <si>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</si>
  <si>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</si>
  <si>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</si>
  <si>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</si>
  <si>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</si>
  <si>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</si>
  <si>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</si>
  <si>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</si>
  <si>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</si>
  <si>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</si>
  <si>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</si>
  <si>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</si>
  <si>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</si>
  <si>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</si>
  <si>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</si>
  <si>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</si>
  <si>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</si>
  <si>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</si>
  <si>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</si>
  <si>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</si>
  <si>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</si>
  <si>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</si>
  <si>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</si>
  <si>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</si>
  <si>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</si>
  <si>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</si>
  <si>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</si>
  <si>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</si>
  <si>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</si>
  <si>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</si>
  <si>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</si>
  <si>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</si>
  <si>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</si>
  <si>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</si>
  <si>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</si>
  <si>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</si>
  <si>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</si>
  <si>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</si>
  <si>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</si>
  <si>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</si>
  <si>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</si>
  <si>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</si>
  <si>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</si>
  <si>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</si>
  <si>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</si>
  <si>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</si>
  <si>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</si>
  <si>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</si>
  <si>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</si>
  <si>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</si>
  <si>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</si>
  <si>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</si>
  <si>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</si>
  <si>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</si>
  <si>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</si>
  <si>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</si>
  <si>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</si>
  <si>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</si>
  <si>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</si>
  <si>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</si>
  <si>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</si>
  <si>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</si>
  <si>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</si>
  <si>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</si>
  <si>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</si>
  <si>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</si>
  <si>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</si>
  <si>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</si>
  <si>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</si>
  <si>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</si>
  <si>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</si>
  <si>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</si>
  <si>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</si>
  <si>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</si>
  <si>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</si>
  <si>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</si>
  <si>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</si>
  <si>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</si>
  <si>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</si>
  <si>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</si>
  <si>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</si>
  <si>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</si>
  <si>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</si>
  <si>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</si>
  <si>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</si>
  <si>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</si>
  <si>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</si>
  <si>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</si>
  <si>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</si>
  <si>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</si>
  <si>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</si>
  <si>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</si>
  <si>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</si>
  <si>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</si>
  <si>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</si>
  <si>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</si>
  <si>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</si>
  <si>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</si>
  <si>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</si>
  <si>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</si>
  <si>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</si>
  <si>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</si>
  <si>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</si>
  <si>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</si>
  <si>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</si>
  <si>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</si>
  <si>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</si>
  <si>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</si>
  <si>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</si>
  <si>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</si>
  <si>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</si>
  <si>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</si>
  <si>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</si>
  <si>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</si>
  <si>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</si>
  <si>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</si>
  <si>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</si>
  <si>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</si>
  <si>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</si>
  <si>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</si>
  <si>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</si>
  <si>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</si>
  <si>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</si>
  <si>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</si>
  <si>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</si>
  <si>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</si>
  <si>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</si>
  <si>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</si>
  <si>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</si>
  <si>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</si>
  <si>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</si>
  <si>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</si>
  <si>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</si>
  <si>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</si>
  <si>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</si>
  <si>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</si>
  <si>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</si>
  <si>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</si>
  <si>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</si>
  <si>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</si>
  <si>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</si>
  <si>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</si>
  <si>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</si>
  <si>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</si>
  <si>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</si>
  <si>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</si>
  <si>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</si>
  <si>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</si>
  <si>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</si>
  <si>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</si>
  <si>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</si>
  <si>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</si>
  <si>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</si>
  <si>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</si>
  <si>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</si>
  <si>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</si>
  <si>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</si>
  <si>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</si>
  <si>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</si>
  <si>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</si>
  <si>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</si>
  <si>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</si>
  <si>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</si>
  <si>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</si>
  <si>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</si>
  <si>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</si>
  <si>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</si>
  <si>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</si>
  <si>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</si>
  <si>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</si>
  <si>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</si>
  <si>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</si>
  <si>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</si>
  <si>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</si>
  <si>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</si>
  <si>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</si>
  <si>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</si>
  <si>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</si>
  <si>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</si>
  <si>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</si>
  <si>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</si>
  <si>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</si>
  <si>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</si>
  <si>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</si>
  <si>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</si>
  <si>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</si>
  <si>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</si>
  <si>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</si>
  <si>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</si>
  <si>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</si>
  <si>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</si>
  <si>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</si>
  <si>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</si>
  <si>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</si>
  <si>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</si>
  <si>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</si>
  <si>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</si>
  <si>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</si>
  <si>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</si>
  <si>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</si>
  <si>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</si>
  <si>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</si>
  <si>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</si>
  <si>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</si>
  <si>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</si>
  <si>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</si>
  <si>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</si>
  <si>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</si>
  <si>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</si>
  <si>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</si>
  <si>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</si>
  <si>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</si>
  <si>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</si>
  <si>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</si>
  <si>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</si>
  <si>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</si>
  <si>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</si>
  <si>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</si>
  <si>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</si>
  <si>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</si>
  <si>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</si>
  <si>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</si>
  <si>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</si>
  <si>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</si>
  <si>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</si>
  <si>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</si>
  <si>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</si>
  <si>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</si>
  <si>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</si>
  <si>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</si>
  <si>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</si>
  <si>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</si>
  <si>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</si>
  <si>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</si>
  <si>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</si>
  <si>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</si>
  <si>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</si>
  <si>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</si>
  <si>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</si>
  <si>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</si>
  <si>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</si>
  <si>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</si>
  <si>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</si>
  <si>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</si>
  <si>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</si>
  <si>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</si>
  <si>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</si>
  <si>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</si>
  <si>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</si>
  <si>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</si>
  <si>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</si>
  <si>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</si>
  <si>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</si>
  <si>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</si>
  <si>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</si>
  <si>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</si>
  <si>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</si>
  <si>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</si>
  <si>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</si>
  <si>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</si>
  <si>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</si>
  <si>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</si>
  <si>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</si>
  <si>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</si>
  <si>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</si>
  <si>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</si>
  <si>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</si>
  <si>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</si>
  <si>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</si>
  <si>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</si>
  <si>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</si>
  <si>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</si>
  <si>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</si>
  <si>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</si>
  <si>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</si>
  <si>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</si>
  <si>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</si>
  <si>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</si>
  <si>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</si>
  <si>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</si>
  <si>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</si>
  <si>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</si>
  <si>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</si>
  <si>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</si>
  <si>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</si>
  <si>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</si>
  <si>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</si>
  <si>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</si>
  <si>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</si>
  <si>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</si>
  <si>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</si>
  <si>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</si>
  <si>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</si>
  <si>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</si>
  <si>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</si>
  <si>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</si>
  <si>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</si>
  <si>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</si>
  <si>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</si>
  <si>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</si>
  <si>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</si>
  <si>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</si>
  <si>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</si>
  <si>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</si>
  <si>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</si>
  <si>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</si>
  <si>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</si>
  <si>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</si>
  <si>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</si>
  <si>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</si>
  <si>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</si>
  <si>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</si>
  <si>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</si>
  <si>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</si>
  <si>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</si>
  <si>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</si>
  <si>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</si>
  <si>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</si>
  <si>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</si>
  <si>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</si>
  <si>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</si>
  <si>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</si>
  <si>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</si>
  <si>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</si>
  <si>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</si>
  <si>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</si>
  <si>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</si>
  <si>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</si>
  <si>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</si>
  <si>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</si>
  <si>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</si>
  <si>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</si>
  <si>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</si>
  <si>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</si>
  <si>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</si>
  <si>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</si>
  <si>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</si>
  <si>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</si>
  <si>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</si>
  <si>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</si>
  <si>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</si>
  <si>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</si>
  <si>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</si>
  <si>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</si>
  <si>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</si>
  <si>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</si>
  <si>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</si>
  <si>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</si>
  <si>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</si>
  <si>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</si>
  <si>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</si>
  <si>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</si>
  <si>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</si>
  <si>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</si>
  <si>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</si>
  <si>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</si>
  <si>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</si>
  <si>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</si>
  <si>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</si>
  <si>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</si>
  <si>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</si>
  <si>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</si>
  <si>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</si>
  <si>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</si>
  <si>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</si>
  <si>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</si>
  <si>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</si>
  <si>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</si>
  <si>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</si>
  <si>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</si>
  <si>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</si>
  <si>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</si>
  <si>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</si>
  <si>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</si>
  <si>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</si>
  <si>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</si>
  <si>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</si>
  <si>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</si>
  <si>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</si>
  <si>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</si>
  <si>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</si>
  <si>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</si>
  <si>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</si>
  <si>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</si>
  <si>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</si>
  <si>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</si>
  <si>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</si>
  <si>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</si>
  <si>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</si>
  <si>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</si>
  <si>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</si>
  <si>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</si>
  <si>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</si>
  <si>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</si>
  <si>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</si>
  <si>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</si>
  <si>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</si>
  <si>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</si>
  <si>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</si>
  <si>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</si>
  <si>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</si>
  <si>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</si>
  <si>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</si>
  <si>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</si>
  <si>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</si>
  <si>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</si>
  <si>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</si>
  <si>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</si>
  <si>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</si>
  <si>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</si>
  <si>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</si>
  <si>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</si>
  <si>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</si>
  <si>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</si>
  <si>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</si>
  <si>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</si>
  <si>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</si>
  <si>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</si>
  <si>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</si>
  <si>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</si>
  <si>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</si>
  <si>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</si>
  <si>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</si>
  <si>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</si>
  <si>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</si>
  <si>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</si>
  <si>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</si>
  <si>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</si>
  <si>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</si>
  <si>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</si>
  <si>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</si>
  <si>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</si>
  <si>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</si>
  <si>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</si>
  <si>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</si>
  <si>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</si>
  <si>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</si>
  <si>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</si>
  <si>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</si>
  <si>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</si>
  <si>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</si>
  <si>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</si>
  <si>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</si>
  <si>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</si>
  <si>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</si>
  <si>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</si>
  <si>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</si>
  <si>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</si>
  <si>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</si>
  <si>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</si>
  <si>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</si>
  <si>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</si>
  <si>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</si>
  <si>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</si>
  <si>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</si>
  <si>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</si>
  <si>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</si>
  <si>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</si>
  <si>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</si>
  <si>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</si>
  <si>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</si>
  <si>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</si>
  <si>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</si>
  <si>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</si>
  <si>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</si>
  <si>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</si>
  <si>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</si>
  <si>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</si>
  <si>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</si>
  <si>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</si>
  <si>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</si>
  <si>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</si>
  <si>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</si>
  <si>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</si>
  <si>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</si>
  <si>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</si>
  <si>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</si>
  <si>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</si>
  <si>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</si>
  <si>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</si>
  <si>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</si>
  <si>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</si>
  <si>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</si>
  <si>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</si>
  <si>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</si>
  <si>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</si>
  <si>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</si>
  <si>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</si>
  <si>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</si>
  <si>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</si>
  <si>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</si>
  <si>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</si>
  <si>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</si>
  <si>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</si>
  <si>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</si>
  <si>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</si>
  <si>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</si>
  <si>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</si>
  <si>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</si>
  <si>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</si>
  <si>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</si>
  <si>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</si>
  <si>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</si>
  <si>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</si>
  <si>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</si>
  <si>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</si>
  <si>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</si>
  <si>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</si>
  <si>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</si>
  <si>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</si>
  <si>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</si>
  <si>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</si>
  <si>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</si>
  <si>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</si>
  <si>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</si>
  <si>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</si>
  <si>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</si>
  <si>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</si>
  <si>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</si>
  <si>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</si>
  <si>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</si>
  <si>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</si>
  <si>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</si>
  <si>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</si>
  <si>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</si>
  <si>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</si>
  <si>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</si>
  <si>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</si>
  <si>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</si>
  <si>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</si>
  <si>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</si>
  <si>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</si>
  <si>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</si>
  <si>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</si>
  <si>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</si>
  <si>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</si>
  <si>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</si>
  <si>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</si>
  <si>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</si>
  <si>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</si>
  <si>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</si>
  <si>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</si>
  <si>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</si>
  <si>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</si>
  <si>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</si>
  <si>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</si>
  <si>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</si>
  <si>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</si>
  <si>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</si>
  <si>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</si>
  <si>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</si>
  <si>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</si>
  <si>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</si>
  <si>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</si>
  <si>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</si>
  <si>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</si>
  <si>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</si>
  <si>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</si>
  <si>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</si>
  <si>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</si>
  <si>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</si>
  <si>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</si>
  <si>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</si>
  <si>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</si>
  <si>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</si>
  <si>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</si>
  <si>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</si>
  <si>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</si>
  <si>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</si>
  <si>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</si>
  <si>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</si>
  <si>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</si>
  <si>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</si>
  <si>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</si>
  <si>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</si>
  <si>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</si>
  <si>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</si>
  <si>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</si>
  <si>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</si>
  <si>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</si>
  <si>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</si>
  <si>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</si>
  <si>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</si>
  <si>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</si>
  <si>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</si>
  <si>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</si>
  <si>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</si>
  <si>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</si>
  <si>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</si>
  <si>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</si>
  <si>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</si>
  <si>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</si>
  <si>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</si>
  <si>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</si>
  <si>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</si>
  <si>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</si>
  <si>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</si>
  <si>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</si>
  <si>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</si>
  <si>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</si>
  <si>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</si>
  <si>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</si>
  <si>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</si>
  <si>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</si>
  <si>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</si>
  <si>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</si>
  <si>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</si>
  <si>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</si>
  <si>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</si>
  <si>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</si>
  <si>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</si>
  <si>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</si>
  <si>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</si>
  <si>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</si>
  <si>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</si>
  <si>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</si>
  <si>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</si>
  <si>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</si>
  <si>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</si>
  <si>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</si>
  <si>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</si>
  <si>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</si>
  <si>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</si>
  <si>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</si>
  <si>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</si>
  <si>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</si>
  <si>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</si>
  <si>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</si>
  <si>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</si>
  <si>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</si>
  <si>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</si>
  <si>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</si>
  <si>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</si>
  <si>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</si>
  <si>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</si>
  <si>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</si>
  <si>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</si>
  <si>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</si>
  <si>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</si>
  <si>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</si>
  <si>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</si>
  <si>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</si>
  <si>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</si>
  <si>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</si>
  <si>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</si>
  <si>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</si>
  <si>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</si>
  <si>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</si>
  <si>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</si>
  <si>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</si>
  <si>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</si>
  <si>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</si>
  <si>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</si>
  <si>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</si>
  <si>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</si>
  <si>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</si>
  <si>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</si>
  <si>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</si>
  <si>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</si>
  <si>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</si>
  <si>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</si>
  <si>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</si>
  <si>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</si>
  <si>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</si>
  <si>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</si>
  <si>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</si>
  <si>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</si>
  <si>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</si>
  <si>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</si>
  <si>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</si>
  <si>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</si>
  <si>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</si>
  <si>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</si>
  <si>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</si>
  <si>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</si>
  <si>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</si>
  <si>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</si>
  <si>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</si>
  <si>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</si>
  <si>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</si>
  <si>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</si>
  <si>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</si>
  <si>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</si>
  <si>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</si>
  <si>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</si>
  <si>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</si>
  <si>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</si>
  <si>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</si>
  <si>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</si>
  <si>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</si>
  <si>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</si>
  <si>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</si>
  <si>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</si>
  <si>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</si>
  <si>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</si>
  <si>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</si>
  <si>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</si>
  <si>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</si>
  <si>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</si>
  <si>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</si>
  <si>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</si>
  <si>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</si>
  <si>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</si>
  <si>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</si>
  <si>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</si>
  <si>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</si>
  <si>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</si>
  <si>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</si>
  <si>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</si>
  <si>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</si>
  <si>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</si>
  <si>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</si>
  <si>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</si>
  <si>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</si>
  <si>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</si>
  <si>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</si>
  <si>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</si>
  <si>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</si>
  <si>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</si>
  <si>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</si>
  <si>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</si>
  <si>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</si>
  <si>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</si>
  <si>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</si>
  <si>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</si>
  <si>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</si>
  <si>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</si>
  <si>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</si>
  <si>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</si>
  <si>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</si>
  <si>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</si>
  <si>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</si>
  <si>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</si>
  <si>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</si>
  <si>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</si>
  <si>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</si>
  <si>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</si>
  <si>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</si>
  <si>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</si>
  <si>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</si>
  <si>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</si>
  <si>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</si>
  <si>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</si>
  <si>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</si>
  <si>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</si>
  <si>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</si>
  <si>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</si>
  <si>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</si>
  <si>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</si>
  <si>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</si>
  <si>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</si>
  <si>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</si>
  <si>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</si>
  <si>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</si>
  <si>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</si>
  <si>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</si>
  <si>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</si>
  <si>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</si>
  <si>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</si>
  <si>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</si>
  <si>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</si>
  <si>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</si>
  <si>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</si>
  <si>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</si>
  <si>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</si>
  <si>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</si>
  <si>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</si>
  <si>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</si>
  <si>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</si>
  <si>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</si>
  <si>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</si>
  <si>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</si>
  <si>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</si>
  <si>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</si>
  <si>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</si>
  <si>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</si>
  <si>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</si>
  <si>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</si>
  <si>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</si>
  <si>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</si>
  <si>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</si>
  <si>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</si>
  <si>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</si>
  <si>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</si>
  <si>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</si>
  <si>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</si>
  <si>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</si>
  <si>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</si>
  <si>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</si>
  <si>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</si>
  <si>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</si>
  <si>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</si>
  <si>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</si>
  <si>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</si>
  <si>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</si>
  <si>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</si>
  <si>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</si>
  <si>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</si>
  <si>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</si>
  <si>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</si>
  <si>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</si>
  <si>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</si>
  <si>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</si>
  <si>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</si>
  <si>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</si>
  <si>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</si>
  <si>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</si>
  <si>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</si>
  <si>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</si>
  <si>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</si>
  <si>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</si>
  <si>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</si>
  <si>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</si>
  <si>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</si>
  <si>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</si>
  <si>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</si>
  <si>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</si>
  <si>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</si>
  <si>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</si>
  <si>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</si>
  <si>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</si>
  <si>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</si>
  <si>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</si>
  <si>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</si>
  <si>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</si>
  <si>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</si>
  <si>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</si>
  <si>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</si>
  <si>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</si>
  <si>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</si>
  <si>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</si>
  <si>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</si>
  <si>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</si>
  <si>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</si>
  <si>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</si>
  <si>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</si>
  <si>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</si>
  <si>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</si>
  <si>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</si>
  <si>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</si>
  <si>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</si>
  <si>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</si>
  <si>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</si>
  <si>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</si>
  <si>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</si>
  <si>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</si>
  <si>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</si>
  <si>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</si>
  <si>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</si>
  <si>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</si>
  <si>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</si>
  <si>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</si>
  <si>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</si>
  <si>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</si>
  <si>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</si>
  <si>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</si>
  <si>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</si>
  <si>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</si>
  <si>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</si>
  <si>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</si>
  <si>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</si>
  <si>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</si>
  <si>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</si>
  <si>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</si>
  <si>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</si>
  <si>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</si>
  <si>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</si>
  <si>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</si>
  <si>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</si>
  <si>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</si>
  <si>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</si>
  <si>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</si>
  <si>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</si>
  <si>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</si>
  <si>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</si>
  <si>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</si>
  <si>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</si>
  <si>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</si>
  <si>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</si>
  <si>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</si>
  <si>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</si>
  <si>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</si>
  <si>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</si>
  <si>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</si>
  <si>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</si>
  <si>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</si>
  <si>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</si>
  <si>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</si>
  <si>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</si>
  <si>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</si>
  <si>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</si>
  <si>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</si>
  <si>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</si>
  <si>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</si>
  <si>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</si>
  <si>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</si>
  <si>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</si>
  <si>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</si>
  <si>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</si>
  <si>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</si>
  <si>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</si>
  <si>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</si>
  <si>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</si>
  <si>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</si>
  <si>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</si>
  <si>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</si>
  <si>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</si>
  <si>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</si>
  <si>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</si>
  <si>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</si>
  <si>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</si>
  <si>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</si>
  <si>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</si>
  <si>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</si>
  <si>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</si>
  <si>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</si>
  <si>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</si>
  <si>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</si>
  <si>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</si>
  <si>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</si>
  <si>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</si>
  <si>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</si>
  <si>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</si>
  <si>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</si>
  <si>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</si>
  <si>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</si>
  <si>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</si>
  <si>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</si>
  <si>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</si>
  <si>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</si>
  <si>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</si>
  <si>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</si>
  <si>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</si>
  <si>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</si>
  <si>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</si>
  <si>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</si>
  <si>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</si>
  <si>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</si>
  <si>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</si>
  <si>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</si>
  <si>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</si>
  <si>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</si>
  <si>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</si>
  <si>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</si>
  <si>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</si>
  <si>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</si>
  <si>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</si>
  <si>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</si>
  <si>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</si>
  <si>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</si>
  <si>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</si>
  <si>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</si>
  <si>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</si>
  <si>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</si>
  <si>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</si>
  <si>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</si>
  <si>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</si>
  <si>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</si>
  <si>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</si>
  <si>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</si>
  <si>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</si>
  <si>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</si>
  <si>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</si>
  <si>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</si>
  <si>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</si>
  <si>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</si>
  <si>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</si>
  <si>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</si>
  <si>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</si>
  <si>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</si>
  <si>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</si>
  <si>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</si>
  <si>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</si>
  <si>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</si>
  <si>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</si>
  <si>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</si>
  <si>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</si>
  <si>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</si>
  <si>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</si>
  <si>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</si>
  <si>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</si>
  <si>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</si>
  <si>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</si>
  <si>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</si>
  <si>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</si>
  <si>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</si>
  <si>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</si>
  <si>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</si>
  <si>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</si>
  <si>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</si>
  <si>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</si>
  <si>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</si>
  <si>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</si>
  <si>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</si>
  <si>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</si>
  <si>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</si>
  <si>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</si>
  <si>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</si>
  <si>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</si>
  <si>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</si>
  <si>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</si>
  <si>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</si>
  <si>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</si>
  <si>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</si>
  <si>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</si>
  <si>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</si>
  <si>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</si>
  <si>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</si>
  <si>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</si>
  <si>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</si>
  <si>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</si>
  <si>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</si>
  <si>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</si>
  <si>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</si>
  <si>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</si>
  <si>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</si>
  <si>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</si>
  <si>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</si>
  <si>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</si>
  <si>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</si>
  <si>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</si>
  <si>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</si>
  <si>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</si>
  <si>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</si>
  <si>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</si>
  <si>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</si>
  <si>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</si>
  <si>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</si>
  <si>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</si>
  <si>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</si>
  <si>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</si>
  <si>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</si>
  <si>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</si>
  <si>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</si>
  <si>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</si>
  <si>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</si>
  <si>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</si>
  <si>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</si>
  <si>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</si>
  <si>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</si>
  <si>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</si>
  <si>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</si>
  <si>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</si>
  <si>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</si>
  <si>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</si>
  <si>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</si>
  <si>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</si>
  <si>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</si>
  <si>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</si>
  <si>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</si>
  <si>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</si>
  <si>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</si>
  <si>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</si>
  <si>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</si>
  <si>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</si>
  <si>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</si>
  <si>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</si>
  <si>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</si>
  <si>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</si>
  <si>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</si>
  <si>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</si>
  <si>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</si>
  <si>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</si>
  <si>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</si>
  <si>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</si>
  <si>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</si>
  <si>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</si>
  <si>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</si>
  <si>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</si>
  <si>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</si>
  <si>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</si>
  <si>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</si>
  <si>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</si>
  <si>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</si>
  <si>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</si>
  <si>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</si>
  <si>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</si>
  <si>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</si>
  <si>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</si>
  <si>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</si>
  <si>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</si>
  <si>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</si>
  <si>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</si>
  <si>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</si>
  <si>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</si>
  <si>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</si>
  <si>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</si>
  <si>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</si>
  <si>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</si>
  <si>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</si>
  <si>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</si>
  <si>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</si>
  <si>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</si>
  <si>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</si>
  <si>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</si>
  <si>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</si>
  <si>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</si>
  <si>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</si>
  <si>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</si>
  <si>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</si>
  <si>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</si>
  <si>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</si>
  <si>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</si>
  <si>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</si>
  <si>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</si>
  <si>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</si>
  <si>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</si>
  <si>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</si>
  <si>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</si>
  <si>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</si>
  <si>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</si>
  <si>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</si>
  <si>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</si>
  <si>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</si>
  <si>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</si>
  <si>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</si>
  <si>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</si>
  <si>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</si>
  <si>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</si>
  <si>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</si>
  <si>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</si>
  <si>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</si>
  <si>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</si>
  <si>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</si>
  <si>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</si>
  <si>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</si>
  <si>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</si>
  <si>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</si>
  <si>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</si>
  <si>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</si>
  <si>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</si>
  <si>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</si>
  <si>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</si>
  <si>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</si>
  <si>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</si>
  <si>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</si>
  <si>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</si>
  <si>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</si>
  <si>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</si>
  <si>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</si>
  <si>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</si>
  <si>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</si>
  <si>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</si>
  <si>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</si>
  <si>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</si>
  <si>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</si>
  <si>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</si>
  <si>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</si>
  <si>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</si>
  <si>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</si>
  <si>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</si>
  <si>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</si>
  <si>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</si>
  <si>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</si>
  <si>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</si>
  <si>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</si>
  <si>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</si>
  <si>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</si>
  <si>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</si>
  <si>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</si>
  <si>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</si>
  <si>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</si>
  <si>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</si>
  <si>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</si>
  <si>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</si>
  <si>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</si>
  <si>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</si>
  <si>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</si>
  <si>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</si>
  <si>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</si>
  <si>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</si>
  <si>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</si>
  <si>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</si>
  <si>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</si>
  <si>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</si>
  <si>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</si>
  <si>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</si>
  <si>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</si>
  <si>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</si>
  <si>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</si>
  <si>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</si>
  <si>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</si>
  <si>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</si>
  <si>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</si>
  <si>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</si>
  <si>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</si>
  <si>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</si>
  <si>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</si>
  <si>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</si>
  <si>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</si>
  <si>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</si>
  <si>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</si>
  <si>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</si>
  <si>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</si>
  <si>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</si>
  <si>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</si>
  <si>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</si>
  <si>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</si>
  <si>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</si>
  <si>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</si>
  <si>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</si>
  <si>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</si>
  <si>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</si>
  <si>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</si>
  <si>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</si>
  <si>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</si>
  <si>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</si>
  <si>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</si>
  <si>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</si>
  <si>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</si>
  <si>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</si>
  <si>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</si>
  <si>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</si>
  <si>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</si>
  <si>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</si>
  <si>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</si>
  <si>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</si>
  <si>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</si>
  <si>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</si>
  <si>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</si>
  <si>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</si>
  <si>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</si>
  <si>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</si>
  <si>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</si>
  <si>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</si>
  <si>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</si>
  <si>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</si>
  <si>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</si>
  <si>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</si>
  <si>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</si>
  <si>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</si>
  <si>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</si>
  <si>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</si>
  <si>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</si>
  <si>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</si>
  <si>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</si>
  <si>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</si>
  <si>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</si>
  <si>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</si>
  <si>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</si>
  <si>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</si>
  <si>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</si>
  <si>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</si>
  <si>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</si>
  <si>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</si>
  <si>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</si>
  <si>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</si>
  <si>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</si>
  <si>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</si>
  <si>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</si>
  <si>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</si>
  <si>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</si>
  <si>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</si>
  <si>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</si>
  <si>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</si>
  <si>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</si>
  <si>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</si>
  <si>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</si>
  <si>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</si>
  <si>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</si>
  <si>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</si>
  <si>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</si>
  <si>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</si>
  <si>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</si>
  <si>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</si>
  <si>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</si>
  <si>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</si>
  <si>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</si>
  <si>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</si>
  <si>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</si>
  <si>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</si>
  <si>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</si>
  <si>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</si>
  <si>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</si>
  <si>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</si>
  <si>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</si>
  <si>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</si>
  <si>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</si>
  <si>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</si>
  <si>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</si>
  <si>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</si>
  <si>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</si>
  <si>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</si>
  <si>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</si>
  <si>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</si>
  <si>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</si>
  <si>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</si>
  <si>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</si>
  <si>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</si>
  <si>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</si>
  <si>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</si>
  <si>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</si>
  <si>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</si>
  <si>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</si>
  <si>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</si>
  <si>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</si>
  <si>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</si>
  <si>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</si>
  <si>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</si>
  <si>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</si>
  <si>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</si>
  <si>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</si>
  <si>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</si>
  <si>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</si>
  <si>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</si>
  <si>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</si>
  <si>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</si>
  <si>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</si>
  <si>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</si>
  <si>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</si>
  <si>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</si>
  <si>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</si>
  <si>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</si>
  <si>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</si>
  <si>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</si>
  <si>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</si>
  <si>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</si>
  <si>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</si>
  <si>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</si>
  <si>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</si>
  <si>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</si>
  <si>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</si>
  <si>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</si>
  <si>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</si>
  <si>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</si>
  <si>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</si>
  <si>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</si>
  <si>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</si>
  <si>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</si>
  <si>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</si>
  <si>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</si>
  <si>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</si>
  <si>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</si>
  <si>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</si>
  <si>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</si>
  <si>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</si>
  <si>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</si>
  <si>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</si>
  <si>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</si>
  <si>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</si>
  <si>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</si>
  <si>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</si>
  <si>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</si>
  <si>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</si>
  <si>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</si>
  <si>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</si>
  <si>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</si>
  <si>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</si>
  <si>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</si>
  <si>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</si>
  <si>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</si>
  <si>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</si>
  <si>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</si>
  <si>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</si>
  <si>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</si>
  <si>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</si>
  <si>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</si>
  <si>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</si>
  <si>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</si>
  <si>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</si>
  <si>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</si>
  <si>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</si>
  <si>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</si>
  <si>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</si>
  <si>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</si>
  <si>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</si>
  <si>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</si>
  <si>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</si>
  <si>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</si>
  <si>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</si>
  <si>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</si>
  <si>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</si>
  <si>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</si>
  <si>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</si>
  <si>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</si>
  <si>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</si>
  <si>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</si>
  <si>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</si>
  <si>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</si>
  <si>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</si>
  <si>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</si>
  <si>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</si>
  <si>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</si>
  <si>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</si>
  <si>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</si>
  <si>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</si>
  <si>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</si>
  <si>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</si>
  <si>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</si>
  <si>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</si>
  <si>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</si>
  <si>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</si>
  <si>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</si>
  <si>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</si>
  <si>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</si>
  <si>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</si>
  <si>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</si>
  <si>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</si>
  <si>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</si>
  <si>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</si>
  <si>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</si>
  <si>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</si>
  <si>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</si>
  <si>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</si>
  <si>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</si>
  <si>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</si>
  <si>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</si>
  <si>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</si>
  <si>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</si>
  <si>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</si>
  <si>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</si>
  <si>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</si>
  <si>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</si>
  <si>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</si>
  <si>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</si>
  <si>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</si>
  <si>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</si>
  <si>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</si>
  <si>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</si>
  <si>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</si>
  <si>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</si>
  <si>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</si>
  <si>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</si>
  <si>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</si>
  <si>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</si>
  <si>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</si>
  <si>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</si>
  <si>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</si>
  <si>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</si>
  <si>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</si>
  <si>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</si>
  <si>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</si>
  <si>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</si>
  <si>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</si>
  <si>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</si>
  <si>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</si>
  <si>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</si>
  <si>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</si>
  <si>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</si>
  <si>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</si>
  <si>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</si>
  <si>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</si>
  <si>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</si>
  <si>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</si>
  <si>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</si>
  <si>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</si>
  <si>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</si>
  <si>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</si>
  <si>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</si>
  <si>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</si>
  <si>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</si>
  <si>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</si>
  <si>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</si>
  <si>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</si>
  <si>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</si>
  <si>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</si>
  <si>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</si>
  <si>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</si>
  <si>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</si>
  <si>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</si>
  <si>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</si>
  <si>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</si>
  <si>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</si>
  <si>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</si>
  <si>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</si>
  <si>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</si>
  <si>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</si>
  <si>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</si>
  <si>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</si>
  <si>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</si>
  <si>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</si>
  <si>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</si>
  <si>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</si>
  <si>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</si>
  <si>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</si>
  <si>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</si>
  <si>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</si>
  <si>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</si>
  <si>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</si>
  <si>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</si>
  <si>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</si>
  <si>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</si>
  <si>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</si>
  <si>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</si>
  <si>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</si>
  <si>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</si>
  <si>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</si>
  <si>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</si>
  <si>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</si>
  <si>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</si>
  <si>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</si>
  <si>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</si>
  <si>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</si>
  <si>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</si>
  <si>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</si>
  <si>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</si>
  <si>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</si>
  <si>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</si>
  <si>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</si>
  <si>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</si>
  <si>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</si>
  <si>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</si>
  <si>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</si>
  <si>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</si>
  <si>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</si>
  <si>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</si>
  <si>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</si>
  <si>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</si>
  <si>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</si>
  <si>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</si>
  <si>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</si>
  <si>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</si>
  <si>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</si>
  <si>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</si>
  <si>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</si>
  <si>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</si>
  <si>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</si>
  <si>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</si>
  <si>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</si>
  <si>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</si>
  <si>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</si>
  <si>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</si>
  <si>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</si>
  <si>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</si>
  <si>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</si>
  <si>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</si>
  <si>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</si>
  <si>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</si>
  <si>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</si>
  <si>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</si>
  <si>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</si>
  <si>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</si>
  <si>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</si>
  <si>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</si>
  <si>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</si>
  <si>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</si>
  <si>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</si>
  <si>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</si>
  <si>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</si>
  <si>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</si>
  <si>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</si>
  <si>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</si>
  <si>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</si>
  <si>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</si>
  <si>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</si>
  <si>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</si>
  <si>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</si>
  <si>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</si>
  <si>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</si>
  <si>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</si>
  <si>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</si>
  <si>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</si>
  <si>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</si>
  <si>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</si>
  <si>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</si>
  <si>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</si>
  <si>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</si>
  <si>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</si>
  <si>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</si>
  <si>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</si>
  <si>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</si>
  <si>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</si>
  <si>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</si>
  <si>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</si>
  <si>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</si>
  <si>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</si>
  <si>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</si>
  <si>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</si>
  <si>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</si>
  <si>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</si>
  <si>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</si>
  <si>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</si>
  <si>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</si>
  <si>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</si>
  <si>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</si>
  <si>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</si>
  <si>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</si>
  <si>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</si>
  <si>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</si>
  <si>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</si>
  <si>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</si>
  <si>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</si>
  <si>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</si>
  <si>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</si>
  <si>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</si>
  <si>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</si>
  <si>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</si>
  <si>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</si>
  <si>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</si>
  <si>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</si>
  <si>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</si>
  <si>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</si>
  <si>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</si>
  <si>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</si>
  <si>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</si>
  <si>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</si>
  <si>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</si>
  <si>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</si>
  <si>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</si>
  <si>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</si>
  <si>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</si>
  <si>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</si>
  <si>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</si>
  <si>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</si>
  <si>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</si>
  <si>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</si>
  <si>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</si>
  <si>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</si>
  <si>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</si>
  <si>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</si>
  <si>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</si>
  <si>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</si>
  <si>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</si>
  <si>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</si>
  <si>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</si>
  <si>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</si>
  <si>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</si>
  <si>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</si>
  <si>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</si>
  <si>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</si>
  <si>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</si>
  <si>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</si>
  <si>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</si>
  <si>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</si>
  <si>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</si>
  <si>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</si>
  <si>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</si>
  <si>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</si>
  <si>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</si>
  <si>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</si>
  <si>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</si>
  <si>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</si>
  <si>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</si>
  <si>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</si>
  <si>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</si>
  <si>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</si>
  <si>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</si>
  <si>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</si>
  <si>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</si>
  <si>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</si>
  <si>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</si>
  <si>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</si>
  <si>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</si>
  <si>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</si>
  <si>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</si>
  <si>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</si>
  <si>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</si>
  <si>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</si>
  <si>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</si>
  <si>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</si>
  <si>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</si>
  <si>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</si>
  <si>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</si>
  <si>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</si>
  <si>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</si>
  <si>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</si>
  <si>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</si>
  <si>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</si>
  <si>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</si>
  <si>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</si>
  <si>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</si>
  <si>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</si>
  <si>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</si>
  <si>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</si>
  <si>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</si>
  <si>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</si>
  <si>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</si>
  <si>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</si>
  <si>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</si>
  <si>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</si>
  <si>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</si>
  <si>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</si>
  <si>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</si>
  <si>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</si>
  <si>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</si>
  <si>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</si>
  <si>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</si>
  <si>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</si>
  <si>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</si>
  <si>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</si>
  <si>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</si>
  <si>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</si>
  <si>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</si>
  <si>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</si>
  <si>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</si>
  <si>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</si>
  <si>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</si>
  <si>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</si>
  <si>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</si>
  <si>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</si>
  <si>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</si>
  <si>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</si>
  <si>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</si>
  <si>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</si>
  <si>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</si>
  <si>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</si>
  <si>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</si>
  <si>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</si>
  <si>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</si>
  <si>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</si>
  <si>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</si>
  <si>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</si>
  <si>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</si>
  <si>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</si>
  <si>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</si>
  <si>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</si>
  <si>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</si>
  <si>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</si>
  <si>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</si>
  <si>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</si>
  <si>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</si>
  <si>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</si>
  <si>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</si>
  <si>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</si>
  <si>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</si>
  <si>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</si>
  <si>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</si>
  <si>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</si>
  <si>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</si>
  <si>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</si>
  <si>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</si>
  <si>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</si>
  <si>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</si>
  <si>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</si>
  <si>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</si>
  <si>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</si>
  <si>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</si>
  <si>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</si>
  <si>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</si>
  <si>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</si>
  <si>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</si>
  <si>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</si>
  <si>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</si>
  <si>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</si>
  <si>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</si>
  <si>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</si>
  <si>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</si>
  <si>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</si>
  <si>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</si>
  <si>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</si>
  <si>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</si>
  <si>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</si>
  <si>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</si>
  <si>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</si>
  <si>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</si>
  <si>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</si>
  <si>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</si>
  <si>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</si>
  <si>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</si>
  <si>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</si>
  <si>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</si>
  <si>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</si>
  <si>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</si>
  <si>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</si>
  <si>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</si>
  <si>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</si>
  <si>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</si>
  <si>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</si>
  <si>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</si>
  <si>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</si>
  <si>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</si>
  <si>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</si>
  <si>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</si>
  <si>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</si>
  <si>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</si>
  <si>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</si>
  <si>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</si>
  <si>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</si>
  <si>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</si>
  <si>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</si>
  <si>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</si>
  <si>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</si>
  <si>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</si>
  <si>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</si>
  <si>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</si>
  <si>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</si>
  <si>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</si>
  <si>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</si>
  <si>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</si>
  <si>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</si>
  <si>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</si>
  <si>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</si>
  <si>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</si>
  <si>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</si>
  <si>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</si>
  <si>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</si>
  <si>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</si>
  <si>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</si>
  <si>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</si>
  <si>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</si>
  <si>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</si>
  <si>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</si>
  <si>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</si>
  <si>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</si>
  <si>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</si>
  <si>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</si>
  <si>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</si>
  <si>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</si>
  <si>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</si>
  <si>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</si>
  <si>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</si>
  <si>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</si>
  <si>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</si>
  <si>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</si>
  <si>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</si>
  <si>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</si>
  <si>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</si>
  <si>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</si>
  <si>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</si>
  <si>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</si>
  <si>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</si>
  <si>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</si>
  <si>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</si>
  <si>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</si>
  <si>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</si>
  <si>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</si>
  <si>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</si>
  <si>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</si>
  <si>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</si>
  <si>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</si>
  <si>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</si>
  <si>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</si>
  <si>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</si>
  <si>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</si>
  <si>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</si>
  <si>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</si>
  <si>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</si>
  <si>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</si>
  <si>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</si>
  <si>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</si>
  <si>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</si>
  <si>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</si>
  <si>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</si>
  <si>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</si>
  <si>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</si>
  <si>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</si>
  <si>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</si>
  <si>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</si>
  <si>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</si>
  <si>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</si>
  <si>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</si>
  <si>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</si>
  <si>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</si>
  <si>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</si>
  <si>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</si>
  <si>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</si>
  <si>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</si>
  <si>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</si>
  <si>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</si>
  <si>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</si>
  <si>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</si>
  <si>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</si>
  <si>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</si>
  <si>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</si>
  <si>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</si>
  <si>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</si>
  <si>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</si>
  <si>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</si>
  <si>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</si>
  <si>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</si>
  <si>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</si>
  <si>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</si>
  <si>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</si>
  <si>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</si>
  <si>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</si>
  <si>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</si>
  <si>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</si>
  <si>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</si>
  <si>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</si>
  <si>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</si>
  <si>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</si>
  <si>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</si>
  <si>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</si>
  <si>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</si>
  <si>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</si>
  <si>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</si>
  <si>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</si>
  <si>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</si>
  <si>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</si>
  <si>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</si>
  <si>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</si>
  <si>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</si>
  <si>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</si>
  <si>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</si>
  <si>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</si>
  <si>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</si>
  <si>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</si>
  <si>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</si>
  <si>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</si>
  <si>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</si>
  <si>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</si>
  <si>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</si>
  <si>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</si>
  <si>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</si>
  <si>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</si>
  <si>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</si>
  <si>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</si>
  <si>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</si>
  <si>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</si>
  <si>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</si>
  <si>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</si>
  <si>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</si>
  <si>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</si>
  <si>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</si>
  <si>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</si>
  <si>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</si>
  <si>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</si>
  <si>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</si>
  <si>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</si>
  <si>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</si>
  <si>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</si>
  <si>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</si>
  <si>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</si>
  <si>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</si>
  <si>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</si>
  <si>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</si>
  <si>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</si>
  <si>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</si>
  <si>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</si>
  <si>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</si>
  <si>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</si>
  <si>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</si>
  <si>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</si>
  <si>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</si>
  <si>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</si>
  <si>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</si>
  <si>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</si>
  <si>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</si>
  <si>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</si>
  <si>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</si>
  <si>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</si>
  <si>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</si>
  <si>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</si>
  <si>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</si>
  <si>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</si>
  <si>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</si>
  <si>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</si>
  <si>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</si>
  <si>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</si>
  <si>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</si>
  <si>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</si>
  <si>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</si>
  <si>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</si>
  <si>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</si>
  <si>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</si>
  <si>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</si>
  <si>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</si>
  <si>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</si>
  <si>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</si>
  <si>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</si>
  <si>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</si>
  <si>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</si>
  <si>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</si>
  <si>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</si>
  <si>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</si>
  <si>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</si>
  <si>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</si>
  <si>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</si>
  <si>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</si>
  <si>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</si>
  <si>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</si>
  <si>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</si>
  <si>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</si>
  <si>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</si>
  <si>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</si>
  <si>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</si>
  <si>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</si>
  <si>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</si>
  <si>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</si>
  <si>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</si>
  <si>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</si>
  <si>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</si>
  <si>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</si>
  <si>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</si>
  <si>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</si>
  <si>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</si>
  <si>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</si>
  <si>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</si>
  <si>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</si>
  <si>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</si>
  <si>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</si>
  <si>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</si>
  <si>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</si>
  <si>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</si>
  <si>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</si>
  <si>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</si>
  <si>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</si>
  <si>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</si>
  <si>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</si>
  <si>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</si>
  <si>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</si>
  <si>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</si>
  <si>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</si>
  <si>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</si>
  <si>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</si>
  <si>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</si>
  <si>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</si>
  <si>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</si>
  <si>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</si>
  <si>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</si>
  <si>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</si>
  <si>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</si>
  <si>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</si>
  <si>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</si>
  <si>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</si>
  <si>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</si>
  <si>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</si>
  <si>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</si>
  <si>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</si>
  <si>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</si>
  <si>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</si>
  <si>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</si>
  <si>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</si>
  <si>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</si>
  <si>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</si>
  <si>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</si>
  <si>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</si>
  <si>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</si>
  <si>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</si>
  <si>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</si>
  <si>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</si>
  <si>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</si>
  <si>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</si>
  <si>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</si>
  <si>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</si>
  <si>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</si>
  <si>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</si>
  <si>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</si>
  <si>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</si>
  <si>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</si>
  <si>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</si>
  <si>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</si>
  <si>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</si>
  <si>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</si>
  <si>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</si>
  <si>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</si>
  <si>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</si>
  <si>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</si>
  <si>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</si>
  <si>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</si>
  <si>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</si>
  <si>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</si>
  <si>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</si>
  <si>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</si>
  <si>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</si>
  <si>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</si>
  <si>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</si>
  <si>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</si>
  <si>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</si>
  <si>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</si>
  <si>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</si>
  <si>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</si>
  <si>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</si>
  <si>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</si>
  <si>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</si>
  <si>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</si>
  <si>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</si>
  <si>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</si>
  <si>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</si>
  <si>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</si>
  <si>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</si>
  <si>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</si>
  <si>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</si>
  <si>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</si>
  <si>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</si>
  <si>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</si>
  <si>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</si>
  <si>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</si>
  <si>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</si>
  <si>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</si>
  <si>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</si>
  <si>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</si>
  <si>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</si>
  <si>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</si>
  <si>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</si>
  <si>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</si>
  <si>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</si>
  <si>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</si>
  <si>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</si>
  <si>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</si>
  <si>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</si>
  <si>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</si>
  <si>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</si>
  <si>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</si>
  <si>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</si>
  <si>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</si>
  <si>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</si>
  <si>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</si>
  <si>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</si>
  <si>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</si>
  <si>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</si>
  <si>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</si>
  <si>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</si>
  <si>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</si>
  <si>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</si>
  <si>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</si>
  <si>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</si>
  <si>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</si>
  <si>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</si>
  <si>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</si>
  <si>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</si>
  <si>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</si>
  <si>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</si>
  <si>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</si>
  <si>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</si>
  <si>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</si>
  <si>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</si>
  <si>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</si>
  <si>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</si>
  <si>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</si>
  <si>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</si>
  <si>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</si>
  <si>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</si>
  <si>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</si>
  <si>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</si>
  <si>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</si>
  <si>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</si>
  <si>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</si>
  <si>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</si>
  <si>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</si>
  <si>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</si>
  <si>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</si>
  <si>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</si>
  <si>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</si>
  <si>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</si>
  <si>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</si>
  <si>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</si>
  <si>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</si>
  <si>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</si>
  <si>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</si>
  <si>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</si>
  <si>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</si>
  <si>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</si>
  <si>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</si>
  <si>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</si>
  <si>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</si>
  <si>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</si>
  <si>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</si>
  <si>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</si>
  <si>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</si>
  <si>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</si>
  <si>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</si>
  <si>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</si>
  <si>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</si>
  <si>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</si>
  <si>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</si>
  <si>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</si>
  <si>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</si>
  <si>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</si>
  <si>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</si>
  <si>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</si>
  <si>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</si>
  <si>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</si>
  <si>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</si>
  <si>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</si>
  <si>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</si>
  <si>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</si>
  <si>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</si>
  <si>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</si>
  <si>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</si>
  <si>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</si>
  <si>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</si>
  <si>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</si>
  <si>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</si>
  <si>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</si>
  <si>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</si>
  <si>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</si>
  <si>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</si>
  <si>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</si>
  <si>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</si>
  <si>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</si>
  <si>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</si>
  <si>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</si>
  <si>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</si>
  <si>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</si>
  <si>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</si>
  <si>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</si>
  <si>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</si>
  <si>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</si>
  <si>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</si>
  <si>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</si>
  <si>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</si>
  <si>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</si>
  <si>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</si>
  <si>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</si>
  <si>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</si>
  <si>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</si>
  <si>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</si>
  <si>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</si>
  <si>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</si>
  <si>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</si>
  <si>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</si>
  <si>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</si>
  <si>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</si>
  <si>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</si>
  <si>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</si>
  <si>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</si>
  <si>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</si>
  <si>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</si>
  <si>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</si>
  <si>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</si>
  <si>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</si>
  <si>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</si>
  <si>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</si>
  <si>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</si>
  <si>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</si>
  <si>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</si>
  <si>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</si>
  <si>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</si>
  <si>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</si>
  <si>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</si>
  <si>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</si>
  <si>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</si>
  <si>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</si>
  <si>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</si>
  <si>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</si>
  <si>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</si>
  <si>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</si>
  <si>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</si>
  <si>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</si>
  <si>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</si>
  <si>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</si>
  <si>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</si>
  <si>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</si>
  <si>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</si>
  <si>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</si>
  <si>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</si>
  <si>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</si>
  <si>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</si>
  <si>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</si>
  <si>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</si>
  <si>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</si>
  <si>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</si>
  <si>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</si>
  <si>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</si>
  <si>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</si>
  <si>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</si>
  <si>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</si>
  <si>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</si>
  <si>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</si>
  <si>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</si>
  <si>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</si>
  <si>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</si>
  <si>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</si>
  <si>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</si>
  <si>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</si>
  <si>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</si>
  <si>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</si>
  <si>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</si>
  <si>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</si>
  <si>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</si>
  <si>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</si>
  <si>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</si>
  <si>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</si>
  <si>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</si>
  <si>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</si>
  <si>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</si>
  <si>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</si>
  <si>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</si>
  <si>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</si>
  <si>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</si>
  <si>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</si>
  <si>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</si>
  <si>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</si>
  <si>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</si>
  <si>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</si>
  <si>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</si>
  <si>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</si>
  <si>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</si>
  <si>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</si>
  <si>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</si>
  <si>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</si>
  <si>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</si>
  <si>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</si>
  <si>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</si>
  <si>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</si>
  <si>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</si>
  <si>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</si>
  <si>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</si>
  <si>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</si>
  <si>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</si>
  <si>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</si>
  <si>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</si>
  <si>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</si>
  <si>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</si>
  <si>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</si>
  <si>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</si>
  <si>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</si>
  <si>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</si>
  <si>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</si>
  <si>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</si>
  <si>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</si>
  <si>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</si>
  <si>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</si>
  <si>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</si>
  <si>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</si>
  <si>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</si>
  <si>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</si>
  <si>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</si>
  <si>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</si>
  <si>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</si>
  <si>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</si>
  <si>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</si>
  <si>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</si>
  <si>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</si>
  <si>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</si>
  <si>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</si>
  <si>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</si>
  <si>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</si>
  <si>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</si>
  <si>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</si>
  <si>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</si>
  <si>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</si>
  <si>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</si>
  <si>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</si>
  <si>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</si>
  <si>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</si>
  <si>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</si>
  <si>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</si>
  <si>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</si>
  <si>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</si>
  <si>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</si>
  <si>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</si>
  <si>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</si>
  <si>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</si>
  <si>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</si>
  <si>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</si>
  <si>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</si>
  <si>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</si>
  <si>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</si>
  <si>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</si>
  <si>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</si>
  <si>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</si>
  <si>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</si>
  <si>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</si>
  <si>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</si>
  <si>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</si>
  <si>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</si>
  <si>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</si>
  <si>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</si>
  <si>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</si>
  <si>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</si>
  <si>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</si>
  <si>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</si>
  <si>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</si>
  <si>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</si>
  <si>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</si>
  <si>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</si>
  <si>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</si>
  <si>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</si>
  <si>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</si>
  <si>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</si>
  <si>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</si>
  <si>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</si>
  <si>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</si>
  <si>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</si>
  <si>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</si>
  <si>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</si>
  <si>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</si>
  <si>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</si>
  <si>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</si>
  <si>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</si>
  <si>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</si>
  <si>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</si>
  <si>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</si>
  <si>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</si>
  <si>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</si>
  <si>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</si>
  <si>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</si>
  <si>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</si>
  <si>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</si>
  <si>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</si>
  <si>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</si>
  <si>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</si>
  <si>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</si>
  <si>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</si>
  <si>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</si>
  <si>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</si>
  <si>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</si>
  <si>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</si>
  <si>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</si>
  <si>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</si>
  <si>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</si>
  <si>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</si>
  <si>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</si>
  <si>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</si>
  <si>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</si>
  <si>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</si>
  <si>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</si>
  <si>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</si>
  <si>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</si>
  <si>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</si>
  <si>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</si>
  <si>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</si>
  <si>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</si>
  <si>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</si>
  <si>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</si>
  <si>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</si>
  <si>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</si>
  <si>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</si>
  <si>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</si>
  <si>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</si>
  <si>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</si>
  <si>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</si>
  <si>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</si>
  <si>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</si>
  <si>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</si>
  <si>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</si>
  <si>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</si>
  <si>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</si>
  <si>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</si>
  <si>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</si>
  <si>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</si>
  <si>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</si>
  <si>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</si>
  <si>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</si>
  <si>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</si>
  <si>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</si>
  <si>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</si>
  <si>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</si>
  <si>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</si>
  <si>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</si>
  <si>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</si>
  <si>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</si>
  <si>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</si>
  <si>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</si>
  <si>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</si>
  <si>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</si>
  <si>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</si>
  <si>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</si>
  <si>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</si>
  <si>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</si>
  <si>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</si>
  <si>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</si>
  <si>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</si>
  <si>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</si>
  <si>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</si>
  <si>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</si>
  <si>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</si>
  <si>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</si>
  <si>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</si>
  <si>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</si>
  <si>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</si>
  <si>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</si>
  <si>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</si>
  <si>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</si>
  <si>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</si>
  <si>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</si>
  <si>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</si>
  <si>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</si>
  <si>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</si>
  <si>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</si>
  <si>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</si>
  <si>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</si>
  <si>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</si>
  <si>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</si>
  <si>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</si>
  <si>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</si>
  <si>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</si>
  <si>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</si>
  <si>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</si>
  <si>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</si>
  <si>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</si>
  <si>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</si>
  <si>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</si>
  <si>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</si>
  <si>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</si>
  <si>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</si>
  <si>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</si>
  <si>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</si>
  <si>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</si>
  <si>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</si>
  <si>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</si>
  <si>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</si>
  <si>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</si>
  <si>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</si>
  <si>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</si>
  <si>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</si>
  <si>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</si>
  <si>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</si>
  <si>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</si>
  <si>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</si>
  <si>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</si>
  <si>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</si>
  <si>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</si>
  <si>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</si>
  <si>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</si>
  <si>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</si>
  <si>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</si>
  <si>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</si>
  <si>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</si>
  <si>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</si>
  <si>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</si>
  <si>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</si>
  <si>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</si>
  <si>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</si>
  <si>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</si>
  <si>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</si>
  <si>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</si>
  <si>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</si>
  <si>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</si>
  <si>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</si>
  <si>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</si>
  <si>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</si>
  <si>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</si>
  <si>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</si>
  <si>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</si>
  <si>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</si>
  <si>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</si>
  <si>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</si>
  <si>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</si>
  <si>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</si>
  <si>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</si>
  <si>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</si>
  <si>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</si>
  <si>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</si>
  <si>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</si>
  <si>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</si>
  <si>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</si>
  <si>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</si>
  <si>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</si>
  <si>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</si>
  <si>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</si>
  <si>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</si>
  <si>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</si>
  <si>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</si>
  <si>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</si>
  <si>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</si>
  <si>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</si>
  <si>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</si>
  <si>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</si>
  <si>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</si>
  <si>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</si>
  <si>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</si>
  <si>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</si>
  <si>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</si>
  <si>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</si>
  <si>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</si>
  <si>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</si>
  <si>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</si>
  <si>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</si>
  <si>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</si>
  <si>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</si>
  <si>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</si>
  <si>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</si>
  <si>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</si>
  <si>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</si>
  <si>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</si>
  <si>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</si>
  <si>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</si>
  <si>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</si>
  <si>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</si>
  <si>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</si>
  <si>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</si>
  <si>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</si>
  <si>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</si>
  <si>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</si>
  <si>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</si>
  <si>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</si>
  <si>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</si>
  <si>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</si>
  <si>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</si>
  <si>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</si>
  <si>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</si>
  <si>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</si>
  <si>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</si>
  <si>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</si>
  <si>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</si>
  <si>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</si>
  <si>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</si>
  <si>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</si>
  <si>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</si>
  <si>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</si>
  <si>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</si>
  <si>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</si>
  <si>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</si>
  <si>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</si>
  <si>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</si>
  <si>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</si>
  <si>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</si>
  <si>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</si>
  <si>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</si>
  <si>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</si>
  <si>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</si>
  <si>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</si>
  <si>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</si>
  <si>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</si>
  <si>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</si>
  <si>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</si>
  <si>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</si>
  <si>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</si>
  <si>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</si>
  <si>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</si>
  <si>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</si>
  <si>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</si>
  <si>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</si>
  <si>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</si>
  <si>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</si>
  <si>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</si>
  <si>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</si>
  <si>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</si>
  <si>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</si>
  <si>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</si>
  <si>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</si>
  <si>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</si>
  <si>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</si>
  <si>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</si>
  <si>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</si>
  <si>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</si>
  <si>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</si>
  <si>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</si>
  <si>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</si>
  <si>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</si>
  <si>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</si>
  <si>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</si>
  <si>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</si>
  <si>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</si>
  <si>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</si>
  <si>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</si>
  <si>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</si>
  <si>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</si>
  <si>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</si>
  <si>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</si>
  <si>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</si>
  <si>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</si>
  <si>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</si>
  <si>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</si>
  <si>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</si>
  <si>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</si>
  <si>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</si>
  <si>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</si>
  <si>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</si>
  <si>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</si>
  <si>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</si>
  <si>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</si>
  <si>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</si>
  <si>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</si>
  <si>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</si>
  <si>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</si>
  <si>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</si>
  <si>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</si>
  <si>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</si>
  <si>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</si>
  <si>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</si>
  <si>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</si>
  <si>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</si>
  <si>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</si>
  <si>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</si>
  <si>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</si>
  <si>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</si>
  <si>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</si>
  <si>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</si>
  <si>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</si>
  <si>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</si>
  <si>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</si>
  <si>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</si>
  <si>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</si>
  <si>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</si>
  <si>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</si>
  <si>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</si>
  <si>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</si>
  <si>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</si>
  <si>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</si>
  <si>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</si>
  <si>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</si>
  <si>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</si>
  <si>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</si>
  <si>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</si>
  <si>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</si>
  <si>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</si>
  <si>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</si>
  <si>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</si>
  <si>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</si>
  <si>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</si>
  <si>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</si>
  <si>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</si>
  <si>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</si>
  <si>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</si>
  <si>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</si>
  <si>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</si>
  <si>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</si>
  <si>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</si>
  <si>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</si>
  <si>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</si>
  <si>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</si>
  <si>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</si>
  <si>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</si>
  <si>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</si>
  <si>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</si>
  <si>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</si>
  <si>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</si>
  <si>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</si>
  <si>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</si>
  <si>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</si>
  <si>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</si>
  <si>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</si>
  <si>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</si>
  <si>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</si>
  <si>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</si>
  <si>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</si>
  <si>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</si>
  <si>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</si>
  <si>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</si>
  <si>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</si>
  <si>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</si>
  <si>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</si>
  <si>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</si>
  <si>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</si>
  <si>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</si>
  <si>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</si>
  <si>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</si>
  <si>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</si>
  <si>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</si>
  <si>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</si>
  <si>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</si>
  <si>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</si>
  <si>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</si>
  <si>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</si>
  <si>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</si>
  <si>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</si>
  <si>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</si>
  <si>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</si>
  <si>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</si>
  <si>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</si>
  <si>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</si>
  <si>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</si>
  <si>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</si>
  <si>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</si>
  <si>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</si>
  <si>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</si>
  <si>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</si>
  <si>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</si>
  <si>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</si>
  <si>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</si>
  <si>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</si>
  <si>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</si>
  <si>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</si>
  <si>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</si>
  <si>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</si>
  <si>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</si>
  <si>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</si>
  <si>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</si>
  <si>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</si>
  <si>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</si>
  <si>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</si>
  <si>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</si>
  <si>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</si>
  <si>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</si>
  <si>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</si>
  <si>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</si>
  <si>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</si>
  <si>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</si>
  <si>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</si>
  <si>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</si>
  <si>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</si>
  <si>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</si>
  <si>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</si>
  <si>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</si>
  <si>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</si>
  <si>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</si>
  <si>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</si>
  <si>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</si>
  <si>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</si>
  <si>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</si>
  <si>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</si>
  <si>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</si>
  <si>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</si>
  <si>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</si>
  <si>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</si>
  <si>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</si>
  <si>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</si>
  <si>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</si>
  <si>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</si>
  <si>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</si>
  <si>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</si>
  <si>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</si>
  <si>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</si>
  <si>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</si>
  <si>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</si>
  <si>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</si>
  <si>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</si>
  <si>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</si>
  <si>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</si>
  <si>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</si>
  <si>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</si>
  <si>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</si>
  <si>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</si>
  <si>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</si>
  <si>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</si>
  <si>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</si>
  <si>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</si>
  <si>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</si>
  <si>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</si>
  <si>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</si>
  <si>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</si>
  <si>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</si>
  <si>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</si>
  <si>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</si>
  <si>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</si>
  <si>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</si>
  <si>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</si>
  <si>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</si>
  <si>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</si>
  <si>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</si>
  <si>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</si>
  <si>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</si>
  <si>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</si>
  <si>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</si>
  <si>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</si>
  <si>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</si>
  <si>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</si>
  <si>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</si>
  <si>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</si>
  <si>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</si>
  <si>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</si>
  <si>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</si>
  <si>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</si>
  <si>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</si>
  <si>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</si>
  <si>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</si>
  <si>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</si>
  <si>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</si>
  <si>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</si>
  <si>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</si>
  <si>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</si>
  <si>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</si>
  <si>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</si>
  <si>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</si>
  <si>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</si>
  <si>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</si>
  <si>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</si>
  <si>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</si>
  <si>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</si>
  <si>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</si>
  <si>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</si>
  <si>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</si>
  <si>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</si>
  <si>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</si>
  <si>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</si>
  <si>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</si>
  <si>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</si>
  <si>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</si>
  <si>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</si>
  <si>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</si>
  <si>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</si>
  <si>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</si>
  <si>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</si>
  <si>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</si>
  <si>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</si>
  <si>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</si>
  <si>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</si>
  <si>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</si>
  <si>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</si>
  <si>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</si>
  <si>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</si>
  <si>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</si>
  <si>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</si>
  <si>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</si>
  <si>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</si>
  <si>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</si>
  <si>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</si>
  <si>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</si>
  <si>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</si>
  <si>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</si>
  <si>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</si>
  <si>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</si>
  <si>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</si>
  <si>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</si>
  <si>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</si>
  <si>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</si>
  <si>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</si>
  <si>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</si>
  <si>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</si>
  <si>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</si>
  <si>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</si>
  <si>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</si>
  <si>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</si>
  <si>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</si>
  <si>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</si>
  <si>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</si>
  <si>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</si>
  <si>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</si>
  <si>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</si>
  <si>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</si>
  <si>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</si>
  <si>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</si>
  <si>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</si>
  <si>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</si>
  <si>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</si>
  <si>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</si>
  <si>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</si>
  <si>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</si>
  <si>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</si>
  <si>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</si>
  <si>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</si>
  <si>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</si>
  <si>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</si>
  <si>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</si>
  <si>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</si>
  <si>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</si>
  <si>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</si>
  <si>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</si>
  <si>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</si>
  <si>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</si>
  <si>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</si>
  <si>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</si>
  <si>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</si>
  <si>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</si>
  <si>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</si>
  <si>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</si>
  <si>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</si>
  <si>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</si>
  <si>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</si>
  <si>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</si>
  <si>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</si>
  <si>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</si>
  <si>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</si>
  <si>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</si>
  <si>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</si>
  <si>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</si>
  <si>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</si>
  <si>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</si>
  <si>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</si>
  <si>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</si>
  <si>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</si>
  <si>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</si>
  <si>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</si>
  <si>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</si>
  <si>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</si>
  <si>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</si>
  <si>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</si>
  <si>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</si>
  <si>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</si>
  <si>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</si>
  <si>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</si>
  <si>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</si>
  <si>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</si>
  <si>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</si>
  <si>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</si>
  <si>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</si>
  <si>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</si>
  <si>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</si>
  <si>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</si>
  <si>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</si>
  <si>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</si>
  <si>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</si>
  <si>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</si>
  <si>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</si>
  <si>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</si>
  <si>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</si>
  <si>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</si>
  <si>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</si>
  <si>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</si>
  <si>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</si>
  <si>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</si>
  <si>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</si>
  <si>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</si>
  <si>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</si>
  <si>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</si>
  <si>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</si>
  <si>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</si>
  <si>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</si>
  <si>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</si>
  <si>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</si>
  <si>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</si>
  <si>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</si>
  <si>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</si>
  <si>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</si>
  <si>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</si>
  <si>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</si>
  <si>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</si>
  <si>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</si>
  <si>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</si>
  <si>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</si>
  <si>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</si>
  <si>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</si>
  <si>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</si>
  <si>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</si>
  <si>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</si>
  <si>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</si>
  <si>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</si>
  <si>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</si>
  <si>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</si>
  <si>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</si>
  <si>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</si>
  <si>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</si>
  <si>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</si>
  <si>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</si>
  <si>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</si>
  <si>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</si>
  <si>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</si>
  <si>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</si>
  <si>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</si>
  <si>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</si>
  <si>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</si>
  <si>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</si>
  <si>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</si>
  <si>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</si>
  <si>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</si>
  <si>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</si>
  <si>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</si>
  <si>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</si>
  <si>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</si>
  <si>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</si>
  <si>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</si>
  <si>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</si>
  <si>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</si>
  <si>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</si>
  <si>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</si>
  <si>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</si>
  <si>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</si>
  <si>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</si>
  <si>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</si>
  <si>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</si>
  <si>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</si>
  <si>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</si>
  <si>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</si>
  <si>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</si>
  <si>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</si>
  <si>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</si>
  <si>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</si>
  <si>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</si>
  <si>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</si>
  <si>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</si>
  <si>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</si>
  <si>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</si>
  <si>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</si>
  <si>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</si>
  <si>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</si>
  <si>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</si>
  <si>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</si>
  <si>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</si>
  <si>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</si>
  <si>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</si>
  <si>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</si>
  <si>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</si>
  <si>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</si>
  <si>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</si>
  <si>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</si>
  <si>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</si>
  <si>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</si>
  <si>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</si>
  <si>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</si>
  <si>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</si>
  <si>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</si>
  <si>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</si>
  <si>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</si>
  <si>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</si>
  <si>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</si>
  <si>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</si>
  <si>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</si>
  <si>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</si>
  <si>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</si>
  <si>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</si>
  <si>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</si>
  <si>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</si>
  <si>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</si>
  <si>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</si>
  <si>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</si>
  <si>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</si>
  <si>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</si>
  <si>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</si>
  <si>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</si>
  <si>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</si>
  <si>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</si>
  <si>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</si>
  <si>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</si>
  <si>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</si>
  <si>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</si>
  <si>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</si>
  <si>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</si>
  <si>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</si>
  <si>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</si>
  <si>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</si>
  <si>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</si>
  <si>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</si>
  <si>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</si>
  <si>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</si>
  <si>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</si>
  <si>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</si>
  <si>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</si>
  <si>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</si>
  <si>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</si>
  <si>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</si>
  <si>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</si>
  <si>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</si>
  <si>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</si>
  <si>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</si>
  <si>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</si>
  <si>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</si>
  <si>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</si>
  <si>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</si>
  <si>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</si>
  <si>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</si>
  <si>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</si>
  <si>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</si>
  <si>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</si>
  <si>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</si>
  <si>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</si>
  <si>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</si>
  <si>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</si>
  <si>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</si>
  <si>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</si>
  <si>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</si>
  <si>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</si>
  <si>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</si>
  <si>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</si>
  <si>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</si>
  <si>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</si>
  <si>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</si>
  <si>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</si>
  <si>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</si>
  <si>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</si>
  <si>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</si>
  <si>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</si>
  <si>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</si>
  <si>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</si>
  <si>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</si>
  <si>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</si>
  <si>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</si>
  <si>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</si>
  <si>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</si>
  <si>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</si>
  <si>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</si>
  <si>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</si>
  <si>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</si>
  <si>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</si>
  <si>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</si>
  <si>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</si>
  <si>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</si>
  <si>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</si>
  <si>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</si>
  <si>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</si>
  <si>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</si>
  <si>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</si>
  <si>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</si>
  <si>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</si>
  <si>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</si>
  <si>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</si>
  <si>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</si>
  <si>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</si>
  <si>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</si>
  <si>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</si>
  <si>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</si>
  <si>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</si>
  <si>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</si>
  <si>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</si>
  <si>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</si>
  <si>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</si>
  <si>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</si>
  <si>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</si>
  <si>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</si>
  <si>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</si>
  <si>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</si>
  <si>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</si>
  <si>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</si>
  <si>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</si>
  <si>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</si>
  <si>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</si>
  <si>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</si>
  <si>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</si>
  <si>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</si>
  <si>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</si>
  <si>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</si>
  <si>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</si>
  <si>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</si>
  <si>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</si>
  <si>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</si>
  <si>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</si>
  <si>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</si>
  <si>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</si>
  <si>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</si>
  <si>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</si>
  <si>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</si>
  <si>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</si>
  <si>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</si>
  <si>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</si>
  <si>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</si>
  <si>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</si>
  <si>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</si>
  <si>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</si>
  <si>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</si>
  <si>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</si>
  <si>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</si>
  <si>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</si>
  <si>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</si>
  <si>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</si>
  <si>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</si>
  <si>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</si>
  <si>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</si>
  <si>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</si>
  <si>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</si>
  <si>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</si>
  <si>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</si>
  <si>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</si>
  <si>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</si>
  <si>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</si>
  <si>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</si>
  <si>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</si>
  <si>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</si>
  <si>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</si>
  <si>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</si>
  <si>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</si>
  <si>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</si>
  <si>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</si>
  <si>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</si>
  <si>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</si>
  <si>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</si>
  <si>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</si>
  <si>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</si>
  <si>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</si>
  <si>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</si>
  <si>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</si>
  <si>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</si>
  <si>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</si>
  <si>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</si>
  <si>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</si>
  <si>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</si>
  <si>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</si>
  <si>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</si>
  <si>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</si>
  <si>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</si>
  <si>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</si>
  <si>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</si>
  <si>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</si>
  <si>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</si>
  <si>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</si>
  <si>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</si>
  <si>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</si>
  <si>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</si>
  <si>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</si>
  <si>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</si>
  <si>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</si>
  <si>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</si>
  <si>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</si>
  <si>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</si>
  <si>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</si>
  <si>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</si>
  <si>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</si>
  <si>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</si>
  <si>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</si>
  <si>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</si>
  <si>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</si>
  <si>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</si>
  <si>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</si>
  <si>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</si>
  <si>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</si>
  <si>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</si>
  <si>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</si>
  <si>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</si>
  <si>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</si>
  <si>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</si>
  <si>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</si>
  <si>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</si>
  <si>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</si>
  <si>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</si>
  <si>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</si>
  <si>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</si>
  <si>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</si>
  <si>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</si>
  <si>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</si>
  <si>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</si>
  <si>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</si>
  <si>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</si>
  <si>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</si>
  <si>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</si>
  <si>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</si>
  <si>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</si>
  <si>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</si>
  <si>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</si>
  <si>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</si>
  <si>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</si>
  <si>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</si>
  <si>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</si>
  <si>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</si>
  <si>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</si>
  <si>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</si>
  <si>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</si>
  <si>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</si>
  <si>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</si>
  <si>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</si>
  <si>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</si>
  <si>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</si>
  <si>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</si>
  <si>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</si>
  <si>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</si>
  <si>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</si>
  <si>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</si>
  <si>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</si>
  <si>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</si>
  <si>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</si>
  <si>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</si>
  <si>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</si>
  <si>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</si>
  <si>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</si>
  <si>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</si>
  <si>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</si>
  <si>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</si>
  <si>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</si>
  <si>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</si>
  <si>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</si>
  <si>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</si>
  <si>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</si>
  <si>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</si>
  <si>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</si>
  <si>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</si>
  <si>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</si>
  <si>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</si>
  <si>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</si>
  <si>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</si>
  <si>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</si>
  <si>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</si>
  <si>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</si>
  <si>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</si>
  <si>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</si>
  <si>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</si>
  <si>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</si>
  <si>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</si>
  <si>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</si>
  <si>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</si>
  <si>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</si>
  <si>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</si>
  <si>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</si>
  <si>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</si>
  <si>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</si>
  <si>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</si>
  <si>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</si>
  <si>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</si>
  <si>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</si>
  <si>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</si>
  <si>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</si>
  <si>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</si>
  <si>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</si>
  <si>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</si>
  <si>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</si>
  <si>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</si>
  <si>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</si>
  <si>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</si>
  <si>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</si>
  <si>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</si>
  <si>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</si>
  <si>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</si>
  <si>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</si>
  <si>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</si>
  <si>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</si>
  <si>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</si>
  <si>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</si>
  <si>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</si>
  <si>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</si>
  <si>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</si>
  <si>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</si>
  <si>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</si>
  <si>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</si>
  <si>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</si>
  <si>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</si>
  <si>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</si>
  <si>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</si>
  <si>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</si>
  <si>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</si>
  <si>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</si>
  <si>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</si>
  <si>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</si>
  <si>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</si>
  <si>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</si>
  <si>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</si>
  <si>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</si>
  <si>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</si>
  <si>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</si>
  <si>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</si>
  <si>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</si>
  <si>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</si>
  <si>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</si>
  <si>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</si>
  <si>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</si>
  <si>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</si>
  <si>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</si>
  <si>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</si>
  <si>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</si>
  <si>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</si>
  <si>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</si>
  <si>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</si>
  <si>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</si>
  <si>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</si>
  <si>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</si>
  <si>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</si>
  <si>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</si>
  <si>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</si>
  <si>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</si>
  <si>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</si>
  <si>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</si>
  <si>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</si>
  <si>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</si>
  <si>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</si>
  <si>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</si>
  <si>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</si>
  <si>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</si>
  <si>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</si>
  <si>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</si>
  <si>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</si>
  <si>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</si>
  <si>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</si>
  <si>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</si>
  <si>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</si>
  <si>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</si>
  <si>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</si>
  <si>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</si>
  <si>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</si>
  <si>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</si>
  <si>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</si>
  <si>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</si>
  <si>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</si>
  <si>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</si>
  <si>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</si>
  <si>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</si>
  <si>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</si>
  <si>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</si>
  <si>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</si>
  <si>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</si>
  <si>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</si>
  <si>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</si>
  <si>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</si>
  <si>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</si>
  <si>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</si>
  <si>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</si>
  <si>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</si>
  <si>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</si>
  <si>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</si>
  <si>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</si>
  <si>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</si>
  <si>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</si>
  <si>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</si>
  <si>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</si>
  <si>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</si>
  <si>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</si>
  <si>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</si>
  <si>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</si>
  <si>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</si>
  <si>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</si>
  <si>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</si>
  <si>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</si>
  <si>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</si>
  <si>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</si>
  <si>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</si>
  <si>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</si>
  <si>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</si>
  <si>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</si>
  <si>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</si>
  <si>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</si>
  <si>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</si>
  <si>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</si>
  <si>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</si>
  <si>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</si>
  <si>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</si>
  <si>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</si>
  <si>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</si>
  <si>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</si>
  <si>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</si>
  <si>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</si>
  <si>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</si>
  <si>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</si>
  <si>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</si>
  <si>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</si>
  <si>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</si>
  <si>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</si>
  <si>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</si>
  <si>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</si>
  <si>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</si>
  <si>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</si>
  <si>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</si>
  <si>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</si>
  <si>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</si>
  <si>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</si>
  <si>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</si>
  <si>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</si>
  <si>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</si>
  <si>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</si>
  <si>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</si>
  <si>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</si>
  <si>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</si>
  <si>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</si>
  <si>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</si>
  <si>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</si>
  <si>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</si>
  <si>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</si>
  <si>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</si>
  <si>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</si>
  <si>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</si>
  <si>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</si>
  <si>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</si>
  <si>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</si>
  <si>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</si>
  <si>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</si>
  <si>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</si>
  <si>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</si>
  <si>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</si>
  <si>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</si>
  <si>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</si>
  <si>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</si>
  <si>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</si>
  <si>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</si>
  <si>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</si>
  <si>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</si>
  <si>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</si>
  <si>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</si>
  <si>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</si>
  <si>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</si>
  <si>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</si>
  <si>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</si>
  <si>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</si>
  <si>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</si>
  <si>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</si>
  <si>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</si>
  <si>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</si>
  <si>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</si>
  <si>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</si>
  <si>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</si>
  <si>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</si>
  <si>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</si>
  <si>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</si>
  <si>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</si>
  <si>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</si>
  <si>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</si>
  <si>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</si>
  <si>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</si>
  <si>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</si>
  <si>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</si>
  <si>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</si>
  <si>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</si>
  <si>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</si>
  <si>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</si>
  <si>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</si>
  <si>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</si>
  <si>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</si>
  <si>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</si>
  <si>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</si>
  <si>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</si>
  <si>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</si>
  <si>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</si>
  <si>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</si>
  <si>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</si>
  <si>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</si>
  <si>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</si>
  <si>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</si>
  <si>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</si>
  <si>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</si>
  <si>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</si>
  <si>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</si>
  <si>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</si>
  <si>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</si>
  <si>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</si>
  <si>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</si>
  <si>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</si>
  <si>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</si>
  <si>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</si>
  <si>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</si>
  <si>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</si>
  <si>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</si>
  <si>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</si>
  <si>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</si>
  <si>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</si>
  <si>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</si>
  <si>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</si>
  <si>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</si>
  <si>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</si>
  <si>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</si>
  <si>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</si>
  <si>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</si>
  <si>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</si>
  <si>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</si>
  <si>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</si>
  <si>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</si>
  <si>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</si>
  <si>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</si>
  <si>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</si>
  <si>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</si>
  <si>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</si>
  <si>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</si>
  <si>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</si>
  <si>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</si>
  <si>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</si>
  <si>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</si>
  <si>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</si>
  <si>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</si>
  <si>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</si>
  <si>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</si>
  <si>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</si>
  <si>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</si>
  <si>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</si>
  <si>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</si>
  <si>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</si>
  <si>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</si>
  <si>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</si>
  <si>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</si>
  <si>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</si>
  <si>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</si>
  <si>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</si>
  <si>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</si>
  <si>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</si>
  <si>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</si>
  <si>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</si>
  <si>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</si>
  <si>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</si>
  <si>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</si>
  <si>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</si>
  <si>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</si>
  <si>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</si>
  <si>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</si>
  <si>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</si>
  <si>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</si>
  <si>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</si>
  <si>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</si>
  <si>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</si>
  <si>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</si>
  <si>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</si>
  <si>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</si>
  <si>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</si>
  <si>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</si>
  <si>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</si>
  <si>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</si>
  <si>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</si>
  <si>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</si>
  <si>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</si>
  <si>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</si>
  <si>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</si>
  <si>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</si>
  <si>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</si>
  <si>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</si>
  <si>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</si>
  <si>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</si>
  <si>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</si>
  <si>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</si>
  <si>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</si>
  <si>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</si>
  <si>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</si>
  <si>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</si>
  <si>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</si>
  <si>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</si>
  <si>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</si>
  <si>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</si>
  <si>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</si>
  <si>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</si>
  <si>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</si>
  <si>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</si>
  <si>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</si>
  <si>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</si>
  <si>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</si>
  <si>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</si>
  <si>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</si>
  <si>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</si>
  <si>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</si>
  <si>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</si>
  <si>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</si>
  <si>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</si>
  <si>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</si>
  <si>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</si>
  <si>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</si>
  <si>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</si>
  <si>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</si>
  <si>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</si>
  <si>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</si>
  <si>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</si>
  <si>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</si>
  <si>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</si>
  <si>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</si>
  <si>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</si>
  <si>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</si>
  <si>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</si>
  <si>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</si>
  <si>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</si>
  <si>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</si>
  <si>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</si>
  <si>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</si>
  <si>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</si>
  <si>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</si>
  <si>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</si>
  <si>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</si>
  <si>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</si>
  <si>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</si>
  <si>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</si>
  <si>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</si>
  <si>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</si>
  <si>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</si>
  <si>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</si>
  <si>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</si>
  <si>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</si>
  <si>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</si>
  <si>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</si>
  <si>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</si>
  <si>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</si>
  <si>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</si>
  <si>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</si>
  <si>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</si>
  <si>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</si>
  <si>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</si>
  <si>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</si>
  <si>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</si>
  <si>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</si>
  <si>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</si>
  <si>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</si>
  <si>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</si>
  <si>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</si>
  <si>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</si>
  <si>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</si>
  <si>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</si>
  <si>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</si>
  <si>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</si>
  <si>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</si>
  <si>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</si>
  <si>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</si>
  <si>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</si>
  <si>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</si>
  <si>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</si>
  <si>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</si>
  <si>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</si>
  <si>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</si>
  <si>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</si>
  <si>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</si>
  <si>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</si>
  <si>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</si>
  <si>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</si>
  <si>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</si>
  <si>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</si>
  <si>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</si>
  <si>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</si>
  <si>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</si>
  <si>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</si>
  <si>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</si>
  <si>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</si>
  <si>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</si>
  <si>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</si>
  <si>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</si>
  <si>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</si>
  <si>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</si>
  <si>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</si>
  <si>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</si>
  <si>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</si>
  <si>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</si>
  <si>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</si>
  <si>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</si>
  <si>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</si>
  <si>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</si>
  <si>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</si>
  <si>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</si>
  <si>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</si>
  <si>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</si>
  <si>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</si>
  <si>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</si>
  <si>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</si>
  <si>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</si>
  <si>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</si>
  <si>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</si>
  <si>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</si>
  <si>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</si>
  <si>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</si>
  <si>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</si>
  <si>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</si>
  <si>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</si>
  <si>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</si>
  <si>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</si>
  <si>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</si>
  <si>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</si>
  <si>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</si>
  <si>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</si>
  <si>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</si>
  <si>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</si>
  <si>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</si>
  <si>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</si>
  <si>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</si>
  <si>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</si>
  <si>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</si>
  <si>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</si>
  <si>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</si>
  <si>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</si>
  <si>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</si>
  <si>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</si>
  <si>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</si>
  <si>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</si>
  <si>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</si>
  <si>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</si>
  <si>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</si>
  <si>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</si>
  <si>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</si>
  <si>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</si>
  <si>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</si>
  <si>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</si>
  <si>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</si>
  <si>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</si>
  <si>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</si>
  <si>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</si>
  <si>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</si>
  <si>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</si>
  <si>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</si>
  <si>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</si>
  <si>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</si>
  <si>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</si>
  <si>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</si>
  <si>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</si>
  <si>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</si>
  <si>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</si>
  <si>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</si>
  <si>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</si>
  <si>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</si>
  <si>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</si>
  <si>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</si>
  <si>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</si>
  <si>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</si>
  <si>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</si>
  <si>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</si>
  <si>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</si>
  <si>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</si>
  <si>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</si>
  <si>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</si>
  <si>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</si>
  <si>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</si>
  <si>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</si>
  <si>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</si>
  <si>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</si>
  <si>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</si>
  <si>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</si>
  <si>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</si>
  <si>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</si>
  <si>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</si>
  <si>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</si>
  <si>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</si>
  <si>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</si>
  <si>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</si>
  <si>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</si>
  <si>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</si>
  <si>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</si>
  <si>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</si>
  <si>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</si>
  <si>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</si>
  <si>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</si>
  <si>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</si>
  <si>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</si>
  <si>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</si>
  <si>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</si>
  <si>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</si>
  <si>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</si>
  <si>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</si>
  <si>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</si>
  <si>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</si>
  <si>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</si>
  <si>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</si>
  <si>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</si>
  <si>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</si>
  <si>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</si>
  <si>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</si>
  <si>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</si>
  <si>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</si>
  <si>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</si>
  <si>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</si>
  <si>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</si>
  <si>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</si>
  <si>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</si>
  <si>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</si>
  <si>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</si>
  <si>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</si>
  <si>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</si>
  <si>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</si>
  <si>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</si>
  <si>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</si>
  <si>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</si>
  <si>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</si>
  <si>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</si>
  <si>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</si>
  <si>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</si>
  <si>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</si>
  <si>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</si>
  <si>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</si>
  <si>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</si>
  <si>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</si>
  <si>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</si>
  <si>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</si>
  <si>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</si>
  <si>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</si>
  <si>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</si>
  <si>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</si>
  <si>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</si>
  <si>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</si>
  <si>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</si>
  <si>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</si>
  <si>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</si>
  <si>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</si>
  <si>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</si>
  <si>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</si>
  <si>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</si>
  <si>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</si>
  <si>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</si>
  <si>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</si>
  <si>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</si>
  <si>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</si>
  <si>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</si>
  <si>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</si>
  <si>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</si>
  <si>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</si>
  <si>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</si>
  <si>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</si>
  <si>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</si>
  <si>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</si>
  <si>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</si>
  <si>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</si>
  <si>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</si>
  <si>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</si>
  <si>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</si>
  <si>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</si>
  <si>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</si>
  <si>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</si>
  <si>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</si>
  <si>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</si>
  <si>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</si>
  <si>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</si>
  <si>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</si>
  <si>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</si>
  <si>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</si>
  <si>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</si>
  <si>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</si>
  <si>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</si>
  <si>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</si>
  <si>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</si>
  <si>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</si>
  <si>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</si>
  <si>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</si>
  <si>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</si>
  <si>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</si>
  <si>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</si>
  <si>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</si>
  <si>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</si>
  <si>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</si>
  <si>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</si>
  <si>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</si>
  <si>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</si>
  <si>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</si>
  <si>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</si>
  <si>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</si>
  <si>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</si>
  <si>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</si>
  <si>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</si>
  <si>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</si>
  <si>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</si>
  <si>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</si>
  <si>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</si>
  <si>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</si>
  <si>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</si>
  <si>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</si>
  <si>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</si>
  <si>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</si>
  <si>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</si>
  <si>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</si>
  <si>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</si>
  <si>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</si>
  <si>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</si>
  <si>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</si>
  <si>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</si>
  <si>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</si>
  <si>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</si>
  <si>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</si>
  <si>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</si>
  <si>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</si>
  <si>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</si>
  <si>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</si>
  <si>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</si>
  <si>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</si>
  <si>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</si>
  <si>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</si>
  <si>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</si>
  <si>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</si>
  <si>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</si>
  <si>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</si>
  <si>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</si>
  <si>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</si>
  <si>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</si>
  <si>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</si>
  <si>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</si>
  <si>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</si>
  <si>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</si>
  <si>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</si>
  <si>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</si>
  <si>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</si>
  <si>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</si>
  <si>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</si>
  <si>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</si>
  <si>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</si>
  <si>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</si>
  <si>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</si>
  <si>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</si>
  <si>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</si>
  <si>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</si>
  <si>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</si>
  <si>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</si>
  <si>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</si>
  <si>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</si>
  <si>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</si>
  <si>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</si>
  <si>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</si>
  <si>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</si>
  <si>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</si>
  <si>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</si>
  <si>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</si>
  <si>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</si>
  <si>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</si>
  <si>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</si>
  <si>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</si>
  <si>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</si>
  <si>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</si>
  <si>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</si>
  <si>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</si>
  <si>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</si>
  <si>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</si>
  <si>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</si>
  <si>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</si>
  <si>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</si>
  <si>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</si>
  <si>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</si>
  <si>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</si>
  <si>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</si>
  <si>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</si>
  <si>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</si>
  <si>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</si>
  <si>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</si>
  <si>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</si>
  <si>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</si>
  <si>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</si>
  <si>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</si>
  <si>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</si>
  <si>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</si>
  <si>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</si>
  <si>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</si>
  <si>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</si>
  <si>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</si>
  <si>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</si>
  <si>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</si>
  <si>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</si>
  <si>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</si>
  <si>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</si>
  <si>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</si>
  <si>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</si>
  <si>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</si>
  <si>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</si>
  <si>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</si>
  <si>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</si>
  <si>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</si>
  <si>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</si>
  <si>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</si>
  <si>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</si>
  <si>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</si>
  <si>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</si>
  <si>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</si>
  <si>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</si>
  <si>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</si>
  <si>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</si>
  <si>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</si>
  <si>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</si>
  <si>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</si>
  <si>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</si>
  <si>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</si>
  <si>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</si>
  <si>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</si>
  <si>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</si>
  <si>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</si>
  <si>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</si>
  <si>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</si>
  <si>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</si>
  <si>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</si>
  <si>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</si>
  <si>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</si>
  <si>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</si>
  <si>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</si>
  <si>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</si>
  <si>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</si>
  <si>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</si>
  <si>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</si>
  <si>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</si>
  <si>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</si>
  <si>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</si>
  <si>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</si>
  <si>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</si>
  <si>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</si>
  <si>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</si>
  <si>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</si>
  <si>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</si>
  <si>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</si>
  <si>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</si>
  <si>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</si>
  <si>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</si>
  <si>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</si>
  <si>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</si>
  <si>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</si>
  <si>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</si>
  <si>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</si>
  <si>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</si>
  <si>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</si>
  <si>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</si>
  <si>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</si>
  <si>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</si>
  <si>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</si>
  <si>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</si>
  <si>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</si>
  <si>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</si>
  <si>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</si>
  <si>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</si>
  <si>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</si>
  <si>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</si>
  <si>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</si>
  <si>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</si>
  <si>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</si>
  <si>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</si>
  <si>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</si>
  <si>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</si>
  <si>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</si>
  <si>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</si>
  <si>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</si>
  <si>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</si>
  <si>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</si>
  <si>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</si>
  <si>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</si>
  <si>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</si>
  <si>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</si>
  <si>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</si>
  <si>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</si>
  <si>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</si>
  <si>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</si>
  <si>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</si>
  <si>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</si>
  <si>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</si>
  <si>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</si>
  <si>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</si>
  <si>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</si>
  <si>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</si>
  <si>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</si>
  <si>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</si>
  <si>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</si>
  <si>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</si>
  <si>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</si>
  <si>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</si>
  <si>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</si>
  <si>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</si>
  <si>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</si>
  <si>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</si>
  <si>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</si>
  <si>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</si>
  <si>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</si>
  <si>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</si>
  <si>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</si>
  <si>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</si>
  <si>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</si>
  <si>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</si>
  <si>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</si>
  <si>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</si>
  <si>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</si>
  <si>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</si>
  <si>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</si>
  <si>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</si>
  <si>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</si>
  <si>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</si>
  <si>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</si>
  <si>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</si>
  <si>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</si>
  <si>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</si>
  <si>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</si>
  <si>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</si>
  <si>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</si>
  <si>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</si>
  <si>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</si>
  <si>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</si>
  <si>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</si>
  <si>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</si>
  <si>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</si>
  <si>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</si>
  <si>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</si>
  <si>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</si>
  <si>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</si>
  <si>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</si>
  <si>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</si>
  <si>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</si>
  <si>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</si>
  <si>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</si>
  <si>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</si>
  <si>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</si>
  <si>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</si>
  <si>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</si>
  <si>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</si>
  <si>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</si>
  <si>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</si>
  <si>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</si>
  <si>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</si>
  <si>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</si>
  <si>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</si>
  <si>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</si>
  <si>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</si>
  <si>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</si>
  <si>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</si>
  <si>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</si>
  <si>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</si>
  <si>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</si>
  <si>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</si>
  <si>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</si>
  <si>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</si>
  <si>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</si>
  <si>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</si>
  <si>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</si>
  <si>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</si>
  <si>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</si>
  <si>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</si>
  <si>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</si>
  <si>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</si>
  <si>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</si>
  <si>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</si>
  <si>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</si>
  <si>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</si>
  <si>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</si>
  <si>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</si>
  <si>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</si>
  <si>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</si>
  <si>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</si>
  <si>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</si>
  <si>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</si>
  <si>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</si>
  <si>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</si>
  <si>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</si>
  <si>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</si>
  <si>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</si>
  <si>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</si>
  <si>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</si>
  <si>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</si>
  <si>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</si>
  <si>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</si>
  <si>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</si>
  <si>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</si>
  <si>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</si>
  <si>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</si>
  <si>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</si>
  <si>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</si>
  <si>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</si>
  <si>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</si>
  <si>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</si>
  <si>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</si>
  <si>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</si>
  <si>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</si>
  <si>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</si>
  <si>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</si>
  <si>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</si>
  <si>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</si>
  <si>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</si>
  <si>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</si>
  <si>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</si>
  <si>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</si>
  <si>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</si>
  <si>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</si>
  <si>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</si>
  <si>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</si>
  <si>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</si>
  <si>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</si>
  <si>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</si>
  <si>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</si>
  <si>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</si>
  <si>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</si>
  <si>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</si>
  <si>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</si>
  <si>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</si>
  <si>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</si>
  <si>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</si>
  <si>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</si>
  <si>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</si>
  <si>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</si>
  <si>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</si>
  <si>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</si>
  <si>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</si>
  <si>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</si>
  <si>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</si>
  <si>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</si>
  <si>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</si>
  <si>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</si>
  <si>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</si>
  <si>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</si>
  <si>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</si>
  <si>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</si>
  <si>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</si>
  <si>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</si>
  <si>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</si>
  <si>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</si>
  <si>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</si>
  <si>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</si>
  <si>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</si>
  <si>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</si>
  <si>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</si>
  <si>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</si>
  <si>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</si>
  <si>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</si>
  <si>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</si>
  <si>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</si>
  <si>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</si>
  <si>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</si>
  <si>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</si>
  <si>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</si>
  <si>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</si>
  <si>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</si>
  <si>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</si>
  <si>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</si>
  <si>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</si>
  <si>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</si>
  <si>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</si>
  <si>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</si>
  <si>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</si>
  <si>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</si>
  <si>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</si>
  <si>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</si>
  <si>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</si>
  <si>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</si>
  <si>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</si>
  <si>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</si>
  <si>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</si>
  <si>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</si>
  <si>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</si>
  <si>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</si>
  <si>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</si>
  <si>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</si>
  <si>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</si>
  <si>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</si>
  <si>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</si>
  <si>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</si>
  <si>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</si>
  <si>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</si>
  <si>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</si>
  <si>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</si>
  <si>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</si>
  <si>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</si>
  <si>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</si>
  <si>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</si>
  <si>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</si>
  <si>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</si>
  <si>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</si>
  <si>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</si>
  <si>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</si>
  <si>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</si>
  <si>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</si>
  <si>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</si>
  <si>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</si>
  <si>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</si>
  <si>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</si>
  <si>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</si>
  <si>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</si>
  <si>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</si>
  <si>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</si>
  <si>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</si>
  <si>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</si>
  <si>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</si>
  <si>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</si>
  <si>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</si>
  <si>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</si>
  <si>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</si>
  <si>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</si>
  <si>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</si>
  <si>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</si>
  <si>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</si>
  <si>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</si>
  <si>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</si>
  <si>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</si>
  <si>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</si>
  <si>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</si>
  <si>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</si>
  <si>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</si>
  <si>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</si>
  <si>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</si>
  <si>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</si>
  <si>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</si>
  <si>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</si>
  <si>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</si>
  <si>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</si>
  <si>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</si>
  <si>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</si>
  <si>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</si>
  <si>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</si>
  <si>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</si>
  <si>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</si>
  <si>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</si>
  <si>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</si>
  <si>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</si>
  <si>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</si>
  <si>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</si>
  <si>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</si>
  <si>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</si>
  <si>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</si>
  <si>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</si>
  <si>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</si>
  <si>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</si>
  <si>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</si>
  <si>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</si>
  <si>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</si>
  <si>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</si>
  <si>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</si>
  <si>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</si>
  <si>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</si>
  <si>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</si>
  <si>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</si>
  <si>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</si>
  <si>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</si>
  <si>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</si>
  <si>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</si>
  <si>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</si>
  <si>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</si>
  <si>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</si>
  <si>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</si>
  <si>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</si>
  <si>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</si>
  <si>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</si>
  <si>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</si>
  <si>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</si>
  <si>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</si>
  <si>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</si>
  <si>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</si>
  <si>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</si>
  <si>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</si>
  <si>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</si>
  <si>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</si>
  <si>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</si>
  <si>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</si>
  <si>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</si>
  <si>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</si>
  <si>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</si>
  <si>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</si>
  <si>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</si>
  <si>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</si>
  <si>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</si>
  <si>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</si>
  <si>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</si>
  <si>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</si>
  <si>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</si>
  <si>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</si>
  <si>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</si>
  <si>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</si>
  <si>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</si>
  <si>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</si>
  <si>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</si>
  <si>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</si>
  <si>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</si>
  <si>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</si>
  <si>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</si>
  <si>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</si>
  <si>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</si>
  <si>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</si>
  <si>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</si>
  <si>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</si>
  <si>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</si>
  <si>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</si>
  <si>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</si>
  <si>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</si>
  <si>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</si>
  <si>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</si>
  <si>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</si>
  <si>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</si>
  <si>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</si>
  <si>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</si>
  <si>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</si>
  <si>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</si>
  <si>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</si>
  <si>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</si>
  <si>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</si>
  <si>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</si>
  <si>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</si>
  <si>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</si>
  <si>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</si>
  <si>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</si>
  <si>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</si>
  <si>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</si>
  <si>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</si>
  <si>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</si>
  <si>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</si>
  <si>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</si>
  <si>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</si>
  <si>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</si>
  <si>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</si>
  <si>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</si>
  <si>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</si>
  <si>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</si>
  <si>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</si>
  <si>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</si>
  <si>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</si>
  <si>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</si>
  <si>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</si>
  <si>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</si>
  <si>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</si>
  <si>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</si>
  <si>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</si>
  <si>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</si>
  <si>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</si>
  <si>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</si>
  <si>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</si>
  <si>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</si>
  <si>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</si>
  <si>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</si>
  <si>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</si>
  <si>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</si>
  <si>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</si>
  <si>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</si>
  <si>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</si>
  <si>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</si>
  <si>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</si>
  <si>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</si>
  <si>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</si>
  <si>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</si>
  <si>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</si>
  <si>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</si>
  <si>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</si>
  <si>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</si>
  <si>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</si>
  <si>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</si>
  <si>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</si>
  <si>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</si>
  <si>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</si>
  <si>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</si>
  <si>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</si>
  <si>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</si>
  <si>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</si>
  <si>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</si>
  <si>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</si>
  <si>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</si>
  <si>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</si>
  <si>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</si>
  <si>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</si>
  <si>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</si>
  <si>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</si>
  <si>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</si>
  <si>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</si>
  <si>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</si>
  <si>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</si>
  <si>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</si>
  <si>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</si>
  <si>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</si>
  <si>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</si>
  <si>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</si>
  <si>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</si>
  <si>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</si>
  <si>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</si>
  <si>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</si>
  <si>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</si>
  <si>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</si>
  <si>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</si>
  <si>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</si>
  <si>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</si>
  <si>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</si>
  <si>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</si>
  <si>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</si>
  <si>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</si>
  <si>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</si>
  <si>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</si>
  <si>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</si>
  <si>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</si>
  <si>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</si>
  <si>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</si>
  <si>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</si>
  <si>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</si>
  <si>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</si>
  <si>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</si>
  <si>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</si>
  <si>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</si>
  <si>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</si>
  <si>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</si>
  <si>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</si>
  <si>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</si>
  <si>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</si>
  <si>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</si>
  <si>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</si>
  <si>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</si>
  <si>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</si>
  <si>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</si>
  <si>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</si>
  <si>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</si>
  <si>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</si>
  <si>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</si>
  <si>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</si>
  <si>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</si>
  <si>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</si>
  <si>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</si>
  <si>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</si>
  <si>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</si>
  <si>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</si>
  <si>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</si>
  <si>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</si>
  <si>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</si>
  <si>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</si>
  <si>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</si>
  <si>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</si>
  <si>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</si>
  <si>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</si>
  <si>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</si>
  <si>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</si>
  <si>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</si>
  <si>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</si>
  <si>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</si>
  <si>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</si>
  <si>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</si>
  <si>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</si>
  <si>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</si>
  <si>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</si>
  <si>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</si>
  <si>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</si>
  <si>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</si>
  <si>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</si>
  <si>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</si>
  <si>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</si>
  <si>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</si>
  <si>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</si>
  <si>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</si>
  <si>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</si>
  <si>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</si>
  <si>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</si>
  <si>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</si>
  <si>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</si>
  <si>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</si>
  <si>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</si>
  <si>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</si>
  <si>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</si>
  <si>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</si>
  <si>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</si>
  <si>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</si>
  <si>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</si>
  <si>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</si>
  <si>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</si>
  <si>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</si>
  <si>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</si>
  <si>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</si>
  <si>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</si>
  <si>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</si>
  <si>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</si>
  <si>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</si>
  <si>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</si>
  <si>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</si>
  <si>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</si>
  <si>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</si>
  <si>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</si>
  <si>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</si>
  <si>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</si>
  <si>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</si>
  <si>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</si>
  <si>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</si>
  <si>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</si>
  <si>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</si>
  <si>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</si>
  <si>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</si>
  <si>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</si>
  <si>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</si>
  <si>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</si>
  <si>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</si>
  <si>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</si>
  <si>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</si>
  <si>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</si>
  <si>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</si>
  <si>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</si>
  <si>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</si>
  <si>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</si>
  <si>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</si>
  <si>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</si>
  <si>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</si>
  <si>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</si>
  <si>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</si>
  <si>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</si>
  <si>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</si>
  <si>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</si>
  <si>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</si>
  <si>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</si>
  <si>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</si>
  <si>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</si>
  <si>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</si>
  <si>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</si>
  <si>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</si>
  <si>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</si>
  <si>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</si>
  <si>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</si>
  <si>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</si>
  <si>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</si>
  <si>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</si>
  <si>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</si>
  <si>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</si>
  <si>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</si>
  <si>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</si>
  <si>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</si>
  <si>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</si>
  <si>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</si>
  <si>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</si>
  <si>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</si>
  <si>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</si>
  <si>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</si>
  <si>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</si>
  <si>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</si>
  <si>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</si>
  <si>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</si>
  <si>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</si>
  <si>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</si>
  <si>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</si>
  <si>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</si>
  <si>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</si>
  <si>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</si>
  <si>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</si>
  <si>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</si>
  <si>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</si>
  <si>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</si>
  <si>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</si>
  <si>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</si>
  <si>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</si>
  <si>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</si>
  <si>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</si>
  <si>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</si>
  <si>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</si>
  <si>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</si>
  <si>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</si>
  <si>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</si>
  <si>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</si>
  <si>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</si>
  <si>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</si>
  <si>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</si>
  <si>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</si>
  <si>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</si>
  <si>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</si>
  <si>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</si>
  <si>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</si>
  <si>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</si>
  <si>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</si>
  <si>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</si>
  <si>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</si>
  <si>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</si>
  <si>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</si>
  <si>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</si>
  <si>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</si>
  <si>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</si>
  <si>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</si>
  <si>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</si>
  <si>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</si>
  <si>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</si>
  <si>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</si>
  <si>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</si>
  <si>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</si>
  <si>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</si>
  <si>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</si>
  <si>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</si>
  <si>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</si>
  <si>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</si>
  <si>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</si>
  <si>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</si>
  <si>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</si>
  <si>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</si>
  <si>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</si>
  <si>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</si>
  <si>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</si>
  <si>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</si>
  <si>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</si>
  <si>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</si>
  <si>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</si>
  <si>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</si>
  <si>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</si>
  <si>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</si>
  <si>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</si>
  <si>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</si>
  <si>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</si>
  <si>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</si>
  <si>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</si>
  <si>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</si>
  <si>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</si>
  <si>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</si>
  <si>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</si>
  <si>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</si>
  <si>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</si>
  <si>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</si>
  <si>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</si>
  <si>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</si>
  <si>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</si>
  <si>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</si>
  <si>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</si>
  <si>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</si>
  <si>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</si>
  <si>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</si>
  <si>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</si>
  <si>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</si>
  <si>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</si>
  <si>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</si>
  <si>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</si>
  <si>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</si>
  <si>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</si>
  <si>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</si>
  <si>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</si>
  <si>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</si>
  <si>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</si>
  <si>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</si>
  <si>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</si>
  <si>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</si>
  <si>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</si>
  <si>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</si>
  <si>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</si>
  <si>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</si>
  <si>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</si>
  <si>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</si>
  <si>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</si>
  <si>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</si>
  <si>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</si>
  <si>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</si>
  <si>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</si>
  <si>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</si>
  <si>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</si>
  <si>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</si>
  <si>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</si>
  <si>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</si>
  <si>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</si>
  <si>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</si>
  <si>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</si>
  <si>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</si>
  <si>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</si>
  <si>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</si>
  <si>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</si>
  <si>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</si>
  <si>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</si>
  <si>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</si>
  <si>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</si>
  <si>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</si>
  <si>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</si>
  <si>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</si>
  <si>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</si>
  <si>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</si>
  <si>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</si>
  <si>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</si>
  <si>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</si>
  <si>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</si>
  <si>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</si>
  <si>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</si>
  <si>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</si>
  <si>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</si>
  <si>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</si>
  <si>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</si>
  <si>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</si>
  <si>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</si>
  <si>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</si>
  <si>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</si>
  <si>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</si>
  <si>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</si>
  <si>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</si>
  <si>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</si>
  <si>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</si>
  <si>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</si>
  <si>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</si>
  <si>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</si>
  <si>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</si>
  <si>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</si>
  <si>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</si>
  <si>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</si>
  <si>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</si>
  <si>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</si>
  <si>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</si>
  <si>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</si>
  <si>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</si>
  <si>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</si>
  <si>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</si>
  <si>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</si>
  <si>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</si>
  <si>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</si>
  <si>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</si>
  <si>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</si>
  <si>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</si>
  <si>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</si>
  <si>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</si>
  <si>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</si>
  <si>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</si>
  <si>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</si>
  <si>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</si>
  <si>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</si>
  <si>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</si>
  <si>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</si>
  <si>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</si>
  <si>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</si>
  <si>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</si>
  <si>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</si>
  <si>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</si>
  <si>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</si>
  <si>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</si>
  <si>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</si>
  <si>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</si>
  <si>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</si>
  <si>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</si>
  <si>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</si>
  <si>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</si>
  <si>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</si>
  <si>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</si>
  <si>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</si>
  <si>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</si>
  <si>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</si>
  <si>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</si>
  <si>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</si>
  <si>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</si>
  <si>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</si>
  <si>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</si>
  <si>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</si>
  <si>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</si>
  <si>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</si>
  <si>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</si>
  <si>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</si>
  <si>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</si>
  <si>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</si>
  <si>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</si>
  <si>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</si>
  <si>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</si>
  <si>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</si>
  <si>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</si>
  <si>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</si>
  <si>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</si>
  <si>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</si>
  <si>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</si>
  <si>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</si>
  <si>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</si>
  <si>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</si>
  <si>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</si>
  <si>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</si>
  <si>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</si>
  <si>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</si>
  <si>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</si>
  <si>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</si>
  <si>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</si>
  <si>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</si>
  <si>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</si>
  <si>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</si>
  <si>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</si>
  <si>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</si>
  <si>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</si>
  <si>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</si>
  <si>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</si>
  <si>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</si>
  <si>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</si>
  <si>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</si>
  <si>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</si>
  <si>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</si>
  <si>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</si>
  <si>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</si>
  <si>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</si>
  <si>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</si>
  <si>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</si>
  <si>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</si>
  <si>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</si>
  <si>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</si>
  <si>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</si>
  <si>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</si>
  <si>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</si>
  <si>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</si>
  <si>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</si>
  <si>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</si>
  <si>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</si>
  <si>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</si>
  <si>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</si>
  <si>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</si>
  <si>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</si>
  <si>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</si>
  <si>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</si>
  <si>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</si>
  <si>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</si>
  <si>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</si>
  <si>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</si>
  <si>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</si>
  <si>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</si>
  <si>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</si>
  <si>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</si>
  <si>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</si>
  <si>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</si>
  <si>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</si>
  <si>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</si>
  <si>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</si>
  <si>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</si>
  <si>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</si>
  <si>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</si>
  <si>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</si>
  <si>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</si>
  <si>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</si>
  <si>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</si>
  <si>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</si>
  <si>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</si>
  <si>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</si>
  <si>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</si>
  <si>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</si>
  <si>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</si>
  <si>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</si>
  <si>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</si>
  <si>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</si>
  <si>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</si>
  <si>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</si>
  <si>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</si>
  <si>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</si>
  <si>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</si>
  <si>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</si>
  <si>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</si>
  <si>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</si>
  <si>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</si>
  <si>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</si>
  <si>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</si>
  <si>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</si>
  <si>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</si>
  <si>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</si>
  <si>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</si>
  <si>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</si>
  <si>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</si>
  <si>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</si>
  <si>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</si>
  <si>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</si>
  <si>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</si>
  <si>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</si>
  <si>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</si>
  <si>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</si>
  <si>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</si>
  <si>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</si>
  <si>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</si>
  <si>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</si>
  <si>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</si>
  <si>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</si>
  <si>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</si>
  <si>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</si>
  <si>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</si>
  <si>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</si>
  <si>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</si>
  <si>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</si>
  <si>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</si>
  <si>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</si>
  <si>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</si>
  <si>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</si>
  <si>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</si>
  <si>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</si>
  <si>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</si>
  <si>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</si>
  <si>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</si>
  <si>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</si>
  <si>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</si>
  <si>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</si>
  <si>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</si>
  <si>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</si>
  <si>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</si>
  <si>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</si>
  <si>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</si>
  <si>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</si>
  <si>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</si>
  <si>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</si>
  <si>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</si>
  <si>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</si>
  <si>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</si>
  <si>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</si>
  <si>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</si>
  <si>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</si>
  <si>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</si>
  <si>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</si>
  <si>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</si>
  <si>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</si>
  <si>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</si>
  <si>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</si>
  <si>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</si>
  <si>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</si>
  <si>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</si>
  <si>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</si>
  <si>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</si>
  <si>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</si>
  <si>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</si>
  <si>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</si>
  <si>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</si>
  <si>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</si>
  <si>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</si>
  <si>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</si>
  <si>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</si>
  <si>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</si>
  <si>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</si>
  <si>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</si>
  <si>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</si>
  <si>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</si>
  <si>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</si>
  <si>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</si>
  <si>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</si>
  <si>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</si>
  <si>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</si>
  <si>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</si>
  <si>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</si>
  <si>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</si>
  <si>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</si>
  <si>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</si>
  <si>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</si>
  <si>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</si>
  <si>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</si>
  <si>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</si>
  <si>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</si>
  <si>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</si>
  <si>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</si>
  <si>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</si>
  <si>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</si>
  <si>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</si>
  <si>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</si>
  <si>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</si>
  <si>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</si>
  <si>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</si>
  <si>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</si>
  <si>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</si>
  <si>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</si>
  <si>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</si>
  <si>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</si>
  <si>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</si>
  <si>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</si>
  <si>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</si>
  <si>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</si>
  <si>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</si>
  <si>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</si>
  <si>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</si>
  <si>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</si>
  <si>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</si>
  <si>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</si>
  <si>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</si>
  <si>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</si>
  <si>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</si>
  <si>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</si>
  <si>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</si>
  <si>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</si>
  <si>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</si>
  <si>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</si>
  <si>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</si>
  <si>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</si>
  <si>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</si>
  <si>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</si>
  <si>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</si>
  <si>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</si>
  <si>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</si>
  <si>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</si>
  <si>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</si>
  <si>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</si>
  <si>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</si>
  <si>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</si>
  <si>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</si>
  <si>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</si>
  <si>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</si>
  <si>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</si>
  <si>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</si>
  <si>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</si>
  <si>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</si>
  <si>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</si>
  <si>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</si>
  <si>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</si>
  <si>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</si>
  <si>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</si>
  <si>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</si>
  <si>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</si>
  <si>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</si>
  <si>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</si>
  <si>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</si>
  <si>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</si>
  <si>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</si>
  <si>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</si>
  <si>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</si>
  <si>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</si>
  <si>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</si>
  <si>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</si>
  <si>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</si>
  <si>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</si>
  <si>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</si>
  <si>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</si>
  <si>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</si>
  <si>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</si>
  <si>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</si>
  <si>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</si>
  <si>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</si>
  <si>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</si>
  <si>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</si>
  <si>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</si>
  <si>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</si>
  <si>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</si>
  <si>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</si>
  <si>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</si>
  <si>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</si>
  <si>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</si>
  <si>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</si>
  <si>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</si>
  <si>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</si>
  <si>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</si>
  <si>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</si>
  <si>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</si>
  <si>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</si>
  <si>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</si>
  <si>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</si>
  <si>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</si>
  <si>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</si>
  <si>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</si>
  <si>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</si>
  <si>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</si>
  <si>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</si>
  <si>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</si>
  <si>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</si>
  <si>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</si>
  <si>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</si>
  <si>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</si>
  <si>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</si>
  <si>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</si>
  <si>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</si>
  <si>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</si>
  <si>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</si>
  <si>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</si>
  <si>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</si>
  <si>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</si>
  <si>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</si>
  <si>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</si>
  <si>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</si>
  <si>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</si>
  <si>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</si>
  <si>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</si>
  <si>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</si>
  <si>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</si>
  <si>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</si>
  <si>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</si>
  <si>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</si>
  <si>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</si>
  <si>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</si>
  <si>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</si>
  <si>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</si>
  <si>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</si>
  <si>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</si>
  <si>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</si>
  <si>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</si>
  <si>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</si>
  <si>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</si>
  <si>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</si>
  <si>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</si>
  <si>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</si>
  <si>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</si>
  <si>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</si>
  <si>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</si>
  <si>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</si>
  <si>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</si>
  <si>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</si>
  <si>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</si>
  <si>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</si>
  <si>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</si>
  <si>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</si>
  <si>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</si>
  <si>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</si>
  <si>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</si>
  <si>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</si>
  <si>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</si>
  <si>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</si>
  <si>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</si>
  <si>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</si>
  <si>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</si>
  <si>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</si>
  <si>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</si>
  <si>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</si>
  <si>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</si>
  <si>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</si>
  <si>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</si>
  <si>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</si>
  <si>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</si>
  <si>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</si>
  <si>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</si>
  <si>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</si>
  <si>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</si>
  <si>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</si>
  <si>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</si>
  <si>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</si>
  <si>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</si>
  <si>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</si>
  <si>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</si>
  <si>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</si>
  <si>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</si>
  <si>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</si>
  <si>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</si>
  <si>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</si>
  <si>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</si>
  <si>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</si>
  <si>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</si>
  <si>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</si>
  <si>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</si>
  <si>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</si>
  <si>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</si>
  <si>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</si>
  <si>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</si>
  <si>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</si>
  <si>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</si>
  <si>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</si>
  <si>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</si>
  <si>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</si>
  <si>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</si>
  <si>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</si>
  <si>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</si>
  <si>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</si>
  <si>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</si>
  <si>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</si>
  <si>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</si>
  <si>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</si>
  <si>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</si>
  <si>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</si>
  <si>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</si>
  <si>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</si>
  <si>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</si>
  <si>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</si>
  <si>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</si>
  <si>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</si>
  <si>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</si>
  <si>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</si>
  <si>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</si>
  <si>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</si>
  <si>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</si>
  <si>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</si>
  <si>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</si>
  <si>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</si>
  <si>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</si>
  <si>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</si>
  <si>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</si>
  <si>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</si>
  <si>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</si>
  <si>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</si>
  <si>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</si>
  <si>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</si>
  <si>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</si>
  <si>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</si>
  <si>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</si>
  <si>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</si>
  <si>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</si>
  <si>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</si>
  <si>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</si>
  <si>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</si>
  <si>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</si>
  <si>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</si>
  <si>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</si>
  <si>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</si>
  <si>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</si>
  <si>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</si>
  <si>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</si>
  <si>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</si>
  <si>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</si>
  <si>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</si>
  <si>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</si>
  <si>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</si>
  <si>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</si>
  <si>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</si>
  <si>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</si>
  <si>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</si>
  <si>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</si>
  <si>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</si>
  <si>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</si>
  <si>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</si>
  <si>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</si>
  <si>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</si>
  <si>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</si>
  <si>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</si>
  <si>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</si>
  <si>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</si>
  <si>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</si>
  <si>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</si>
  <si>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</si>
  <si>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</si>
  <si>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</si>
  <si>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</si>
  <si>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</si>
  <si>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</si>
  <si>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</si>
  <si>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</si>
  <si>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</si>
  <si>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</si>
  <si>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</si>
  <si>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</si>
  <si>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</si>
  <si>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</si>
  <si>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</si>
  <si>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</si>
  <si>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</si>
  <si>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</si>
  <si>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</si>
  <si>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</si>
  <si>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</si>
  <si>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</si>
  <si>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</si>
  <si>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</si>
  <si>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</si>
  <si>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</si>
  <si>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</si>
  <si>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</si>
  <si>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</si>
  <si>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</si>
  <si>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</si>
  <si>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</si>
  <si>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</si>
  <si>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</si>
  <si>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</si>
  <si>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</si>
  <si>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</si>
  <si>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</si>
  <si>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</si>
  <si>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</si>
  <si>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</si>
  <si>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</si>
  <si>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</si>
  <si>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</si>
  <si>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</si>
  <si>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</si>
  <si>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</si>
  <si>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</si>
  <si>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</si>
  <si>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</si>
  <si>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</si>
  <si>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</si>
  <si>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</si>
  <si>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</si>
  <si>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</si>
  <si>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</si>
  <si>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</si>
  <si>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</si>
  <si>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</si>
  <si>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</si>
  <si>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</si>
  <si>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</si>
  <si>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</si>
  <si>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</si>
  <si>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</si>
  <si>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</si>
  <si>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</si>
  <si>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</si>
  <si>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</si>
  <si>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</si>
  <si>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</si>
  <si>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</si>
  <si>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</si>
  <si>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</si>
  <si>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</si>
  <si>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</si>
  <si>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</si>
  <si>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</si>
  <si>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</si>
  <si>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</si>
  <si>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</si>
  <si>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</si>
  <si>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</si>
  <si>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</si>
  <si>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</si>
  <si>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</si>
  <si>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</si>
  <si>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</si>
  <si>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</si>
  <si>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</si>
  <si>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</si>
  <si>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</si>
  <si>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</si>
  <si>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</si>
  <si>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</si>
  <si>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</si>
  <si>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</si>
  <si>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</si>
  <si>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</si>
  <si>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</si>
  <si>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</si>
  <si>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</si>
  <si>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</si>
  <si>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</si>
  <si>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</si>
  <si>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</si>
  <si>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</si>
  <si>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</si>
  <si>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</si>
  <si>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</si>
  <si>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</si>
  <si>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</si>
  <si>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</si>
  <si>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</si>
  <si>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</si>
  <si>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</si>
  <si>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</si>
  <si>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</si>
  <si>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</si>
  <si>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</si>
  <si>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</si>
  <si>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</si>
  <si>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</si>
  <si>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</si>
  <si>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</si>
  <si>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</si>
  <si>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</si>
  <si>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</si>
  <si>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</si>
  <si>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</si>
  <si>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</si>
  <si>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</si>
  <si>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</si>
  <si>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</si>
  <si>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</si>
  <si>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</si>
  <si>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</si>
  <si>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</si>
  <si>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</si>
  <si>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</si>
  <si>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</si>
  <si>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</si>
  <si>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</si>
  <si>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</si>
  <si>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</si>
  <si>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</si>
  <si>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</si>
  <si>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</si>
  <si>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</si>
  <si>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</si>
  <si>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</si>
  <si>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</si>
  <si>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</si>
  <si>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</si>
  <si>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</si>
  <si>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</si>
  <si>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</si>
  <si>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</si>
  <si>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</si>
  <si>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</si>
  <si>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</si>
  <si>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</si>
  <si>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</si>
  <si>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</si>
  <si>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</si>
  <si>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</si>
  <si>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</si>
  <si>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</si>
  <si>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</si>
  <si>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</si>
  <si>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</si>
  <si>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</si>
  <si>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</si>
  <si>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</si>
  <si>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</si>
  <si>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</si>
  <si>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</si>
  <si>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</si>
  <si>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</si>
  <si>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</si>
  <si>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</si>
  <si>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</si>
  <si>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</si>
  <si>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</si>
  <si>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</si>
  <si>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</si>
  <si>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</si>
  <si>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</si>
  <si>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</si>
  <si>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</si>
  <si>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</si>
  <si>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</si>
  <si>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</si>
  <si>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</si>
  <si>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</si>
  <si>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</si>
  <si>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</si>
  <si>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</si>
  <si>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</si>
  <si>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</si>
  <si>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</si>
  <si>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</si>
  <si>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</si>
  <si>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</si>
  <si>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</si>
  <si>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</si>
  <si>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</si>
  <si>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</si>
  <si>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</si>
  <si>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</si>
  <si>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</si>
  <si>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</si>
  <si>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</si>
  <si>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</si>
  <si>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</si>
  <si>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</si>
  <si>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</si>
  <si>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</si>
  <si>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</si>
  <si>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</si>
  <si>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</si>
  <si>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</si>
  <si>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</si>
  <si>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</si>
  <si>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</si>
  <si>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</si>
  <si>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</si>
  <si>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</si>
  <si>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</si>
  <si>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</si>
  <si>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</si>
  <si>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</si>
  <si>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</si>
  <si>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</si>
  <si>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</si>
  <si>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</si>
  <si>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</si>
  <si>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</si>
  <si>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</si>
  <si>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</si>
  <si>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</si>
  <si>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</si>
  <si>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</si>
  <si>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</si>
  <si>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</si>
  <si>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</si>
  <si>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</si>
  <si>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</si>
  <si>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</si>
  <si>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</si>
  <si>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</si>
  <si>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</si>
  <si>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</si>
  <si>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</si>
  <si>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</si>
  <si>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</si>
  <si>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</si>
  <si>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</si>
  <si>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</si>
  <si>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</si>
  <si>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</si>
  <si>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</si>
  <si>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</si>
  <si>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</si>
  <si>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</si>
  <si>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</si>
  <si>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</si>
  <si>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</si>
  <si>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</si>
  <si>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</si>
  <si>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</si>
  <si>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</si>
  <si>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</si>
  <si>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</si>
  <si>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</si>
  <si>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</si>
  <si>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</si>
  <si>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</si>
  <si>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</si>
  <si>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</si>
  <si>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</si>
  <si>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</si>
  <si>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</si>
  <si>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</si>
  <si>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</si>
  <si>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</si>
  <si>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</si>
  <si>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</si>
  <si>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</si>
  <si>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</si>
  <si>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</si>
  <si>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</si>
  <si>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</si>
  <si>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</si>
  <si>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</si>
  <si>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</si>
  <si>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</si>
  <si>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</si>
  <si>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</si>
  <si>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</si>
  <si>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</si>
  <si>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</si>
  <si>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</si>
  <si>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</si>
  <si>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</si>
  <si>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</si>
  <si>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</si>
  <si>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</si>
  <si>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</si>
  <si>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</si>
  <si>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</si>
  <si>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</si>
  <si>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</si>
  <si>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</si>
  <si>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</si>
  <si>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</si>
  <si>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</si>
  <si>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</si>
  <si>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</si>
  <si>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</si>
  <si>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</si>
  <si>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</si>
  <si>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</si>
  <si>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</si>
  <si>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</si>
  <si>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</si>
  <si>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</si>
  <si>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</si>
  <si>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</si>
  <si>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</si>
  <si>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</si>
  <si>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</si>
  <si>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</si>
  <si>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</si>
  <si>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</si>
  <si>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</si>
  <si>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</si>
  <si>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</si>
  <si>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</si>
  <si>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</si>
  <si>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</si>
  <si>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</si>
  <si>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</si>
  <si>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</si>
  <si>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</si>
  <si>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</si>
  <si>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</si>
  <si>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</si>
  <si>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</si>
  <si>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</si>
  <si>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</si>
  <si>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</si>
  <si>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</si>
  <si>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</si>
  <si>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</si>
  <si>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</si>
  <si>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</si>
  <si>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</si>
  <si>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</si>
  <si>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</si>
  <si>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</si>
  <si>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</si>
  <si>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</si>
  <si>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</si>
  <si>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</si>
  <si>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</si>
  <si>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</si>
  <si>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</si>
  <si>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</si>
  <si>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</si>
  <si>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</si>
  <si>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</si>
  <si>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</si>
  <si>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</si>
  <si>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</si>
  <si>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</si>
  <si>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</si>
  <si>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</si>
  <si>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</si>
  <si>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</si>
  <si>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</si>
  <si>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</si>
  <si>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</si>
  <si>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</si>
  <si>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</si>
  <si>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</si>
  <si>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</si>
  <si>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</si>
  <si>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</si>
  <si>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</si>
  <si>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</si>
  <si>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</si>
  <si>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</si>
  <si>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</si>
  <si>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</si>
  <si>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</si>
  <si>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</si>
  <si>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</si>
  <si>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</si>
  <si>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</si>
  <si>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</si>
  <si>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</si>
  <si>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</si>
  <si>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</si>
  <si>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</si>
  <si>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</si>
  <si>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</si>
  <si>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</si>
  <si>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</si>
  <si>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</si>
  <si>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</si>
  <si>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</si>
  <si>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</si>
  <si>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</si>
  <si>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</si>
  <si>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</si>
  <si>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</si>
  <si>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</si>
  <si>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</si>
  <si>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</si>
  <si>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</si>
  <si>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</si>
  <si>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</si>
  <si>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</si>
  <si>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</si>
  <si>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</si>
  <si>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</si>
  <si>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</si>
  <si>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</si>
  <si>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</si>
  <si>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</si>
  <si>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</si>
  <si>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</si>
  <si>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</si>
  <si>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</si>
  <si>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</si>
  <si>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</si>
  <si>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</si>
  <si>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</si>
  <si>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</si>
  <si>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</si>
  <si>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</si>
  <si>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</si>
  <si>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</si>
  <si>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</si>
  <si>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</si>
  <si>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</si>
  <si>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</si>
  <si>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</si>
  <si>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</si>
  <si>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</si>
  <si>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</si>
  <si>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</si>
  <si>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</si>
  <si>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</si>
  <si>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</si>
  <si>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</si>
  <si>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</si>
  <si>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</si>
  <si>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</si>
  <si>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</si>
  <si>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</si>
  <si>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</si>
  <si>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</si>
  <si>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</si>
  <si>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</si>
  <si>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</si>
  <si>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</si>
  <si>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</si>
  <si>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</si>
  <si>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</si>
  <si>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</si>
  <si>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</si>
  <si>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</si>
  <si>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</si>
  <si>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</si>
  <si>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</si>
  <si>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</si>
  <si>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</si>
  <si>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</si>
  <si>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</si>
  <si>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</si>
  <si>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</si>
  <si>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</si>
  <si>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</si>
  <si>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</si>
  <si>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</si>
  <si>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</si>
  <si>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</si>
  <si>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</si>
  <si>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</si>
  <si>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</si>
  <si>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</si>
  <si>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</si>
  <si>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</si>
  <si>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</si>
  <si>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</si>
  <si>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</si>
  <si>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</si>
  <si>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</si>
  <si>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</si>
  <si>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</si>
  <si>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</si>
  <si>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</si>
  <si>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</si>
  <si>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</si>
  <si>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</si>
  <si>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</si>
  <si>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</si>
  <si>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</si>
  <si>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</si>
  <si>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</si>
  <si>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</si>
  <si>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</si>
  <si>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</si>
  <si>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</si>
  <si>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</si>
  <si>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</si>
  <si>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</si>
  <si>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</si>
  <si>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</si>
  <si>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</si>
  <si>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</si>
  <si>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</si>
  <si>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</si>
  <si>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</si>
  <si>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</si>
  <si>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</si>
  <si>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</si>
  <si>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</si>
  <si>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</si>
  <si>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</si>
  <si>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</si>
  <si>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</si>
  <si>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</si>
  <si>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</si>
  <si>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</si>
  <si>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</si>
  <si>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</si>
  <si>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</si>
  <si>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</si>
  <si>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</si>
  <si>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</si>
  <si>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</si>
  <si>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</si>
  <si>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</si>
  <si>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</si>
  <si>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</si>
  <si>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</si>
  <si>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</si>
  <si>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</si>
  <si>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</si>
  <si>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</si>
  <si>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</si>
  <si>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</si>
  <si>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</si>
  <si>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</si>
  <si>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</si>
  <si>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</si>
  <si>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</si>
  <si>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</si>
  <si>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</si>
  <si>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</si>
  <si>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</si>
  <si>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</si>
  <si>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</si>
  <si>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</si>
  <si>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</si>
  <si>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</si>
  <si>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</si>
  <si>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</si>
  <si>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</si>
  <si>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</si>
  <si>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</si>
  <si>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</si>
  <si>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</si>
  <si>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</si>
  <si>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</si>
  <si>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</si>
  <si>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</si>
  <si>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</si>
  <si>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</si>
  <si>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</si>
  <si>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</si>
  <si>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</si>
  <si>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</si>
  <si>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</si>
  <si>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</si>
  <si>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</si>
  <si>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</si>
  <si>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</si>
  <si>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</si>
  <si>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</si>
  <si>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</si>
  <si>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</si>
  <si>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</si>
  <si>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</si>
  <si>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</si>
  <si>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</si>
  <si>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</si>
  <si>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</si>
  <si>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</si>
  <si>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</si>
  <si>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</si>
  <si>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</si>
  <si>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</si>
  <si>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</si>
  <si>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</si>
  <si>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</si>
  <si>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</si>
  <si>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</si>
  <si>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</si>
  <si>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</si>
  <si>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</si>
  <si>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</si>
  <si>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</si>
  <si>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</si>
  <si>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</si>
  <si>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</si>
  <si>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</si>
  <si>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</si>
  <si>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</si>
  <si>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</si>
  <si>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</si>
  <si>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</si>
  <si>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</si>
  <si>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</si>
  <si>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</si>
  <si>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</si>
  <si>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</si>
  <si>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</si>
  <si>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</si>
  <si>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</si>
  <si>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</si>
  <si>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</si>
  <si>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</si>
  <si>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</si>
  <si>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</si>
  <si>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</si>
  <si>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</si>
  <si>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</si>
  <si>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</si>
  <si>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</si>
  <si>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</si>
  <si>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</si>
  <si>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</si>
  <si>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</si>
  <si>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</si>
  <si>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</si>
  <si>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</si>
  <si>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</si>
  <si>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</si>
  <si>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</si>
  <si>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</si>
  <si>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</si>
  <si>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</si>
  <si>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</si>
  <si>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</si>
  <si>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</si>
  <si>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</si>
  <si>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</si>
  <si>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</si>
  <si>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</si>
  <si>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</si>
  <si>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</si>
  <si>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</si>
  <si>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</si>
  <si>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</si>
  <si>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</si>
  <si>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</si>
  <si>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</si>
  <si>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</si>
  <si>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</si>
  <si>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</si>
  <si>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</si>
  <si>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</si>
  <si>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</si>
  <si>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</si>
  <si>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</si>
  <si>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</si>
  <si>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</si>
  <si>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</si>
  <si>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</si>
  <si>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</si>
  <si>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</si>
  <si>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</si>
  <si>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</si>
  <si>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</si>
  <si>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</si>
  <si>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</si>
  <si>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</si>
  <si>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</si>
  <si>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</si>
  <si>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</si>
  <si>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</si>
  <si>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</si>
  <si>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</si>
  <si>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</si>
  <si>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</si>
  <si>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</si>
  <si>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</si>
  <si>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</si>
  <si>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</si>
  <si>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</si>
  <si>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</si>
  <si>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</si>
  <si>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</si>
  <si>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</si>
  <si>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</si>
  <si>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</si>
  <si>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</si>
  <si>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</si>
  <si>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</si>
  <si>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</si>
  <si>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</si>
  <si>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</si>
  <si>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</si>
  <si>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</si>
  <si>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</si>
  <si>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</si>
  <si>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</si>
  <si>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</si>
  <si>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</si>
  <si>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</si>
  <si>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</si>
  <si>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</si>
  <si>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</si>
  <si>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</si>
  <si>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</si>
  <si>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</si>
  <si>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</si>
  <si>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</si>
  <si>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</si>
  <si>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</si>
  <si>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</si>
  <si>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</si>
  <si>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</si>
  <si>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</si>
  <si>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</si>
  <si>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</si>
  <si>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</si>
  <si>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</si>
  <si>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</si>
  <si>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</si>
  <si>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</si>
  <si>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</si>
  <si>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</si>
  <si>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</si>
  <si>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</si>
  <si>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</si>
  <si>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</si>
  <si>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</si>
  <si>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</si>
  <si>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</si>
  <si>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</si>
  <si>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</si>
  <si>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</si>
  <si>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</si>
  <si>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</si>
  <si>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</si>
  <si>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</si>
  <si>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</si>
  <si>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</si>
  <si>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</si>
  <si>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</si>
  <si>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</si>
  <si>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</si>
  <si>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</si>
  <si>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</si>
  <si>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</si>
  <si>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</si>
  <si>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</si>
  <si>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</si>
  <si>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</si>
  <si>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</si>
  <si>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</si>
  <si>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</si>
  <si>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</si>
  <si>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</si>
  <si>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</si>
  <si>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</si>
  <si>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</si>
  <si>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</si>
  <si>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</si>
  <si>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</si>
  <si>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</si>
  <si>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</si>
  <si>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</si>
  <si>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</si>
  <si>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</si>
  <si>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</si>
  <si>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</si>
  <si>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</si>
  <si>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</si>
  <si>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</si>
  <si>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</si>
  <si>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</si>
  <si>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</si>
  <si>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</si>
  <si>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</si>
  <si>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</si>
  <si>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</si>
  <si>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</si>
  <si>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</si>
  <si>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</si>
  <si>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</si>
  <si>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</si>
  <si>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</si>
  <si>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</si>
  <si>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</si>
  <si>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</si>
  <si>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</si>
  <si>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</si>
  <si>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</si>
  <si>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</si>
  <si>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</si>
  <si>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</si>
  <si>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</si>
  <si>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</si>
  <si>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</si>
  <si>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</si>
  <si>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</si>
  <si>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</si>
  <si>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</si>
  <si>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</si>
  <si>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</si>
  <si>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</si>
  <si>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</si>
  <si>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</si>
  <si>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</si>
  <si>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</si>
  <si>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</si>
  <si>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</si>
  <si>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</si>
  <si>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</si>
  <si>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</si>
  <si>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</si>
  <si>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</si>
  <si>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</si>
  <si>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</si>
  <si>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</si>
  <si>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</si>
  <si>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</si>
  <si>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</si>
  <si>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</si>
  <si>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</si>
  <si>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</si>
  <si>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</si>
  <si>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</si>
  <si>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</si>
  <si>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</si>
  <si>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</si>
  <si>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</si>
  <si>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</si>
  <si>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</si>
  <si>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</si>
  <si>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</si>
  <si>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</si>
  <si>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</si>
  <si>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</si>
  <si>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</si>
  <si>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</si>
  <si>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</si>
  <si>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</si>
  <si>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</si>
  <si>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</si>
  <si>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</si>
  <si>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</si>
  <si>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</si>
  <si>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</si>
  <si>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</si>
  <si>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</si>
  <si>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</si>
  <si>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</si>
  <si>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</si>
  <si>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</si>
  <si>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</si>
  <si>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</si>
  <si>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</si>
  <si>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</si>
  <si>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</si>
  <si>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</si>
  <si>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</si>
  <si>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</si>
  <si>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</si>
  <si>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</si>
  <si>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</si>
  <si>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</si>
  <si>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</si>
  <si>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</si>
  <si>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</si>
  <si>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</si>
  <si>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</si>
  <si>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</si>
  <si>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</si>
  <si>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</si>
  <si>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</si>
  <si>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</si>
  <si>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</si>
  <si>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</si>
  <si>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</si>
  <si>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</si>
  <si>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</si>
  <si>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</si>
  <si>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</si>
  <si>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</si>
  <si>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</si>
  <si>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</si>
  <si>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</si>
  <si>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</si>
  <si>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</si>
  <si>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</si>
  <si>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</si>
  <si>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</si>
  <si>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</si>
  <si>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</si>
  <si>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</si>
  <si>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</si>
  <si>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</si>
  <si>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</si>
  <si>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</si>
  <si>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</si>
  <si>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</si>
  <si>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</si>
  <si>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</si>
  <si>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</si>
  <si>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</si>
  <si>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</si>
  <si>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</si>
  <si>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</si>
  <si>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</si>
  <si>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</si>
  <si>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</si>
  <si>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</si>
  <si>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</si>
  <si>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</si>
  <si>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</si>
  <si>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</si>
  <si>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</si>
  <si>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</si>
  <si>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</si>
  <si>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</si>
  <si>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</si>
  <si>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</si>
  <si>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</si>
  <si>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</si>
  <si>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</si>
  <si>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</si>
  <si>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</si>
  <si>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</si>
  <si>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</si>
  <si>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</si>
  <si>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</si>
  <si>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</si>
  <si>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</si>
  <si>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</si>
  <si>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</si>
  <si>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</si>
  <si>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</si>
  <si>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</si>
  <si>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</si>
  <si>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</si>
  <si>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</si>
  <si>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</si>
  <si>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</si>
  <si>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</si>
  <si>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</si>
  <si>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</si>
  <si>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</si>
  <si>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</si>
  <si>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</si>
  <si>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</si>
  <si>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</si>
  <si>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</si>
  <si>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</si>
  <si>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</si>
  <si>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</si>
  <si>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</si>
  <si>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</si>
  <si>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</si>
  <si>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</si>
  <si>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</si>
  <si>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</si>
  <si>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</si>
  <si>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</si>
  <si>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</si>
  <si>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</si>
  <si>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</si>
  <si>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</si>
  <si>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</si>
  <si>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</si>
  <si>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</si>
  <si>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</si>
  <si>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</si>
  <si>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</si>
  <si>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</si>
  <si>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</si>
  <si>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</si>
  <si>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</si>
  <si>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</si>
  <si>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</si>
  <si>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</si>
  <si>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</si>
  <si>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</si>
  <si>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</si>
  <si>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</si>
  <si>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</si>
  <si>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</si>
  <si>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</si>
  <si>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</si>
  <si>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</si>
  <si>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</si>
  <si>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</si>
  <si>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</si>
  <si>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</si>
  <si>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</si>
  <si>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</si>
  <si>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</si>
  <si>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</si>
  <si>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</si>
  <si>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</si>
  <si>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</si>
  <si>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</si>
  <si>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</si>
  <si>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</si>
  <si>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</si>
  <si>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</si>
  <si>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</si>
  <si>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</si>
  <si>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</si>
  <si>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</si>
  <si>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</si>
  <si>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</si>
  <si>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</si>
  <si>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</si>
  <si>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</si>
  <si>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</si>
  <si>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</si>
  <si>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</si>
  <si>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</si>
  <si>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</si>
  <si>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</si>
  <si>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</si>
  <si>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</si>
  <si>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</si>
  <si>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</si>
  <si>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</si>
  <si>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</si>
  <si>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</si>
  <si>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</si>
  <si>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</si>
  <si>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</si>
  <si>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</si>
  <si>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</si>
  <si>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</si>
  <si>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</si>
  <si>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</si>
  <si>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</si>
  <si>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</si>
  <si>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</si>
  <si>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</si>
  <si>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</si>
  <si>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</si>
  <si>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</si>
  <si>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</si>
  <si>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</si>
  <si>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</si>
  <si>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</si>
  <si>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</si>
  <si>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</si>
  <si>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</si>
  <si>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</si>
  <si>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</si>
  <si>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</si>
  <si>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</si>
  <si>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</si>
  <si>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</si>
  <si>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</si>
  <si>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</si>
  <si>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</si>
  <si>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</si>
  <si>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</si>
  <si>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</si>
  <si>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</si>
  <si>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</si>
  <si>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</si>
  <si>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</si>
  <si>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</si>
  <si>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</si>
  <si>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</si>
  <si>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</si>
  <si>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</si>
  <si>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</si>
  <si>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</si>
  <si>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</si>
  <si>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</si>
  <si>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</si>
  <si>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</si>
  <si>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</si>
  <si>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</si>
  <si>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</si>
  <si>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</si>
  <si>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</si>
  <si>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</si>
  <si>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</si>
  <si>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</si>
  <si>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</si>
  <si>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</si>
  <si>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</si>
  <si>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</si>
  <si>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</si>
  <si>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</si>
  <si>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</si>
  <si>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</si>
  <si>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</si>
  <si>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</si>
  <si>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</si>
  <si>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</si>
  <si>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</si>
  <si>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</si>
  <si>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</si>
  <si>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</si>
  <si>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</si>
  <si>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</si>
  <si>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</si>
  <si>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</si>
  <si>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</si>
  <si>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</si>
  <si>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</si>
  <si>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</si>
  <si>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</si>
  <si>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</si>
  <si>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</si>
  <si>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</si>
  <si>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</si>
  <si>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</si>
  <si>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</si>
  <si>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</si>
  <si>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</si>
  <si>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</si>
  <si>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</si>
  <si>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</si>
  <si>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</si>
  <si>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</si>
  <si>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</si>
  <si>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</si>
  <si>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</si>
  <si>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</si>
  <si>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</si>
  <si>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</si>
  <si>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</si>
  <si>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</si>
  <si>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</si>
  <si>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</si>
  <si>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</si>
  <si>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</si>
  <si>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</si>
  <si>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</si>
  <si>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</si>
  <si>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</si>
  <si>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</si>
  <si>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</si>
  <si>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</si>
  <si>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</si>
  <si>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</si>
  <si>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</si>
  <si>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</si>
  <si>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</si>
  <si>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</si>
  <si>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</si>
  <si>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</si>
  <si>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</si>
  <si>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</si>
  <si>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</si>
  <si>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</si>
  <si>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</si>
  <si>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</si>
  <si>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</si>
  <si>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</si>
  <si>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</si>
  <si>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</si>
  <si>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</si>
  <si>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</si>
  <si>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</si>
  <si>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</si>
  <si>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</si>
  <si>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</si>
  <si>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</si>
  <si>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</si>
  <si>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</si>
  <si>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</si>
  <si>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</si>
  <si>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</si>
  <si>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</si>
  <si>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</si>
  <si>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</si>
  <si>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</si>
  <si>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</si>
  <si>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</si>
  <si>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</si>
  <si>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</si>
  <si>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</si>
  <si>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</si>
  <si>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</si>
  <si>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</si>
  <si>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</si>
  <si>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</si>
  <si>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</si>
  <si>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</si>
  <si>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</si>
  <si>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</si>
  <si>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</si>
  <si>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</si>
  <si>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</si>
  <si>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</si>
  <si>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</si>
  <si>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</si>
  <si>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</si>
  <si>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</si>
  <si>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</si>
  <si>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</si>
  <si>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</si>
  <si>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</si>
  <si>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</si>
  <si>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</si>
  <si>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</si>
  <si>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</si>
  <si>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</si>
  <si>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</si>
  <si>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</si>
  <si>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</si>
  <si>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</si>
  <si>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</si>
  <si>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</si>
  <si>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</si>
  <si>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</si>
  <si>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</si>
  <si>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</si>
  <si>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</si>
  <si>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</si>
  <si>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</si>
  <si>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</si>
  <si>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</si>
  <si>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</si>
  <si>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</si>
  <si>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</si>
  <si>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</si>
  <si>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</si>
  <si>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</si>
  <si>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</si>
  <si>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</si>
  <si>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</si>
  <si>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</si>
  <si>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</si>
  <si>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</si>
  <si>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</si>
  <si>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</si>
  <si>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</si>
  <si>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</si>
  <si>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</si>
  <si>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</si>
  <si>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</si>
  <si>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</si>
  <si>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</si>
  <si>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</si>
  <si>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</si>
  <si>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</si>
  <si>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</si>
  <si>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</si>
  <si>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</si>
  <si>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</si>
  <si>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</si>
  <si>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</si>
  <si>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</si>
  <si>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</si>
  <si>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</si>
  <si>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</si>
  <si>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</si>
  <si>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</si>
  <si>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</si>
  <si>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</si>
  <si>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</si>
  <si>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</si>
  <si>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</si>
  <si>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</si>
  <si>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</si>
  <si>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</si>
  <si>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</si>
  <si>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</si>
  <si>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</si>
  <si>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</si>
  <si>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</si>
  <si>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</si>
  <si>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</si>
  <si>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</si>
  <si>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</si>
  <si>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</si>
  <si>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</si>
  <si>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</si>
  <si>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</si>
  <si>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</si>
  <si>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</si>
  <si>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</si>
  <si>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</si>
  <si>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</si>
  <si>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</si>
  <si>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</si>
  <si>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</si>
  <si>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</si>
  <si>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</si>
  <si>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</si>
  <si>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</si>
  <si>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</si>
  <si>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</si>
  <si>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</si>
  <si>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</si>
  <si>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</si>
  <si>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</si>
  <si>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</si>
  <si>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</si>
  <si>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</si>
  <si>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</si>
  <si>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</si>
  <si>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</si>
  <si>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</si>
  <si>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</si>
  <si>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</si>
  <si>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</si>
  <si>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</si>
  <si>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</si>
  <si>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</si>
  <si>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</si>
  <si>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</si>
  <si>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</si>
  <si>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</si>
  <si>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</si>
  <si>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</si>
  <si>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</si>
  <si>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</si>
  <si>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</si>
  <si>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</si>
  <si>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</si>
  <si>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</si>
  <si>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</si>
  <si>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</si>
  <si>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</si>
  <si>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</si>
  <si>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</si>
  <si>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</si>
  <si>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</si>
  <si>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</si>
  <si>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</si>
  <si>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</si>
  <si>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</si>
  <si>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</si>
  <si>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</si>
  <si>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</si>
  <si>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</si>
  <si>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</si>
  <si>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</si>
  <si>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</si>
  <si>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</si>
  <si>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</si>
  <si>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</si>
  <si>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</si>
  <si>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</si>
  <si>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</si>
  <si>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</si>
  <si>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</si>
  <si>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</si>
  <si>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</si>
  <si>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</si>
  <si>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</si>
  <si>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</si>
  <si>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</si>
  <si>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</si>
  <si>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</si>
  <si>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</si>
  <si>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</si>
  <si>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</si>
  <si>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</si>
  <si>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</si>
  <si>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</si>
  <si>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</si>
  <si>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</si>
  <si>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</si>
  <si>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</si>
  <si>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</si>
  <si>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</si>
  <si>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</si>
  <si>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</si>
  <si>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</si>
  <si>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</si>
  <si>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</si>
  <si>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</si>
  <si>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</si>
  <si>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</si>
  <si>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</si>
  <si>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</si>
  <si>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</si>
  <si>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</si>
  <si>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</si>
  <si>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</si>
  <si>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</si>
  <si>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</si>
  <si>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</si>
  <si>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</si>
  <si>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</si>
  <si>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</si>
  <si>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</si>
  <si>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</si>
  <si>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</si>
  <si>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</si>
  <si>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</si>
  <si>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</si>
  <si>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</si>
  <si>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</si>
  <si>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</si>
  <si>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</si>
  <si>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</si>
  <si>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</si>
  <si>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</si>
  <si>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</si>
  <si>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</si>
  <si>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</si>
  <si>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</si>
  <si>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</si>
  <si>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</si>
  <si>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</si>
  <si>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</si>
  <si>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</si>
  <si>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</si>
  <si>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</si>
  <si>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</si>
  <si>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</si>
  <si>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</si>
  <si>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</si>
  <si>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</si>
  <si>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</si>
  <si>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</si>
  <si>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</si>
  <si>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</si>
  <si>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</si>
  <si>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</si>
  <si>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</si>
  <si>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</si>
  <si>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</si>
  <si>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</si>
  <si>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</si>
  <si>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</si>
  <si>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</si>
  <si>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</si>
  <si>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</si>
  <si>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</si>
  <si>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</si>
  <si>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</si>
  <si>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</si>
  <si>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</si>
  <si>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</si>
  <si>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</si>
  <si>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</si>
  <si>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</si>
  <si>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</si>
  <si>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</si>
  <si>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</si>
  <si>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</si>
  <si>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</si>
  <si>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</si>
  <si>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</si>
  <si>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</si>
  <si>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</si>
  <si>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</si>
  <si>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</si>
  <si>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</si>
  <si>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</si>
  <si>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</si>
  <si>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</si>
  <si>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</si>
  <si>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</si>
  <si>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</si>
  <si>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</si>
  <si>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</si>
  <si>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</si>
  <si>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</si>
  <si>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</si>
  <si>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</si>
  <si>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</si>
  <si>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</si>
  <si>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</si>
  <si>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</si>
  <si>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</si>
  <si>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</si>
  <si>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</si>
  <si>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</si>
  <si>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</si>
  <si>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</si>
  <si>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</si>
  <si>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</si>
  <si>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</si>
  <si>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</si>
  <si>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</si>
  <si>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</si>
  <si>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</si>
  <si>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</si>
  <si>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</si>
  <si>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</si>
  <si>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</si>
  <si>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</si>
  <si>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</si>
  <si>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</si>
  <si>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</si>
  <si>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</si>
  <si>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</si>
  <si>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</si>
  <si>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</si>
  <si>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</si>
  <si>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</si>
  <si>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</si>
  <si>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</si>
  <si>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</si>
  <si>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</si>
  <si>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</si>
  <si>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</si>
  <si>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</si>
  <si>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</si>
  <si>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</si>
  <si>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</si>
  <si>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</si>
  <si>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</si>
  <si>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</si>
  <si>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</si>
  <si>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</si>
  <si>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</si>
  <si>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</si>
  <si>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</si>
  <si>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</si>
  <si>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</si>
  <si>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</si>
  <si>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</si>
  <si>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</si>
  <si>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</si>
  <si>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</si>
  <si>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</si>
  <si>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</si>
  <si>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</si>
  <si>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</si>
  <si>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</si>
  <si>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</si>
  <si>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</si>
  <si>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</si>
  <si>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</si>
  <si>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</si>
  <si>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</si>
  <si>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</si>
  <si>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</si>
  <si>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</si>
  <si>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</si>
  <si>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</si>
  <si>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</si>
  <si>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</si>
  <si>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</si>
  <si>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</si>
  <si>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</si>
  <si>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</si>
  <si>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</si>
  <si>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</si>
  <si>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</si>
  <si>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</si>
  <si>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</si>
  <si>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</si>
  <si>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</si>
  <si>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</si>
  <si>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</si>
  <si>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</si>
  <si>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</si>
  <si>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</si>
  <si>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</si>
  <si>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</si>
  <si>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</si>
  <si>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</si>
  <si>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</si>
  <si>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</si>
  <si>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</si>
  <si>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</si>
  <si>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</si>
  <si>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</si>
  <si>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</si>
  <si>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</si>
  <si>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</si>
  <si>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</si>
  <si>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</si>
  <si>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</si>
  <si>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</si>
  <si>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</si>
  <si>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</si>
  <si>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</si>
  <si>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</si>
  <si>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</si>
  <si>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</si>
  <si>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</si>
  <si>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</si>
  <si>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</si>
  <si>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</si>
  <si>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</si>
  <si>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</si>
  <si>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</si>
  <si>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</si>
  <si>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</si>
  <si>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</si>
  <si>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</si>
  <si>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</si>
  <si>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</si>
  <si>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</si>
  <si>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</si>
  <si>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</si>
  <si>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</si>
  <si>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</si>
  <si>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</si>
  <si>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</si>
  <si>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</si>
  <si>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</si>
  <si>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</si>
  <si>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</si>
  <si>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</si>
  <si>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</si>
  <si>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</si>
  <si>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</si>
  <si>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</si>
  <si>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</si>
  <si>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</si>
  <si>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</si>
  <si>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</si>
  <si>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</si>
  <si>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</si>
  <si>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</si>
  <si>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</si>
  <si>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</si>
  <si>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</si>
  <si>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</si>
  <si>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</si>
  <si>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</si>
  <si>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</si>
  <si>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</si>
  <si>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</si>
  <si>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</si>
  <si>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</si>
  <si>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</si>
  <si>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</si>
  <si>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</si>
  <si>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</si>
  <si>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</si>
  <si>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</si>
  <si>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</si>
  <si>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</si>
  <si>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</si>
  <si>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</si>
  <si>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</si>
  <si>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</si>
  <si>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</si>
  <si>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</si>
  <si>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</si>
  <si>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</si>
  <si>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</si>
  <si>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</si>
  <si>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</si>
  <si>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</si>
  <si>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</si>
  <si>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</si>
  <si>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</si>
  <si>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</si>
  <si>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</si>
  <si>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</si>
  <si>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</si>
  <si>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</si>
  <si>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</si>
  <si>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</si>
  <si>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</si>
  <si>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</si>
  <si>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</si>
  <si>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</si>
  <si>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</si>
  <si>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</si>
  <si>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</si>
  <si>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</si>
  <si>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</si>
  <si>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</si>
  <si>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</si>
  <si>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</si>
  <si>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</si>
  <si>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</si>
  <si>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</si>
  <si>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</si>
  <si>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</si>
  <si>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</si>
  <si>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</si>
  <si>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</si>
  <si>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</si>
  <si>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</si>
  <si>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</si>
  <si>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</si>
  <si>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</si>
  <si>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</si>
  <si>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</si>
  <si>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</si>
  <si>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</si>
  <si>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</si>
  <si>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</si>
  <si>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</si>
  <si>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</si>
  <si>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</si>
  <si>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</si>
  <si>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</si>
  <si>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</si>
  <si>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</si>
  <si>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</si>
  <si>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</si>
  <si>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</si>
  <si>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</si>
  <si>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</si>
  <si>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</si>
  <si>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</si>
  <si>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</si>
  <si>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</si>
  <si>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</si>
  <si>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</si>
  <si>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</si>
  <si>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</si>
  <si>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</si>
  <si>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</si>
  <si>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</si>
  <si>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</si>
  <si>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</si>
  <si>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</si>
  <si>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</si>
  <si>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</si>
  <si>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</si>
  <si>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</si>
  <si>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</si>
  <si>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</si>
  <si>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</si>
  <si>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</si>
  <si>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</si>
  <si>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</si>
  <si>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</si>
  <si>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</si>
  <si>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</si>
  <si>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</si>
  <si>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</si>
  <si>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</si>
  <si>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</si>
  <si>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</si>
  <si>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</si>
  <si>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</si>
  <si>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</si>
  <si>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</si>
  <si>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</si>
  <si>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</si>
  <si>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</si>
  <si>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</si>
  <si>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</si>
  <si>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</si>
  <si>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</si>
  <si>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</si>
  <si>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</si>
  <si>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</si>
  <si>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</si>
  <si>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</si>
  <si>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</si>
  <si>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</si>
  <si>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</si>
  <si>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</si>
  <si>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</si>
  <si>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</si>
  <si>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</si>
  <si>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</si>
  <si>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</si>
  <si>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</si>
  <si>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</si>
  <si>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</si>
  <si>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</si>
  <si>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</si>
  <si>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</si>
  <si>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</si>
  <si>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</si>
  <si>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</si>
  <si>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</si>
  <si>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</si>
  <si>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</si>
  <si>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</si>
  <si>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</si>
  <si>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</si>
  <si>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</si>
  <si>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</si>
  <si>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</si>
  <si>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</si>
  <si>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</si>
  <si>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</si>
  <si>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</si>
  <si>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</si>
  <si>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</si>
  <si>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</si>
  <si>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</si>
  <si>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</si>
  <si>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</si>
  <si>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</si>
  <si>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</si>
  <si>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</si>
  <si>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</si>
  <si>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</si>
  <si>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</si>
  <si>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</si>
  <si>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</si>
  <si>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</si>
  <si>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</si>
  <si>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</si>
  <si>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</si>
  <si>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</si>
  <si>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</si>
  <si>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</si>
  <si>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</si>
  <si>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</si>
  <si>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</si>
  <si>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</si>
  <si>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</si>
  <si>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</si>
  <si>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</si>
  <si>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</si>
  <si>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</si>
  <si>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</si>
  <si>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</si>
  <si>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</si>
  <si>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</si>
  <si>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</si>
  <si>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</si>
  <si>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</si>
  <si>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</si>
  <si>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</si>
  <si>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</si>
  <si>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</si>
  <si>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</si>
  <si>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</si>
  <si>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</si>
  <si>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</si>
  <si>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</si>
  <si>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</si>
  <si>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</si>
  <si>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</si>
  <si>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</si>
  <si>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</si>
  <si>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</si>
  <si>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</si>
  <si>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</si>
  <si>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</si>
  <si>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</si>
  <si>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</si>
  <si>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</si>
  <si>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</si>
  <si>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</si>
  <si>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</si>
  <si>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</si>
  <si>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</si>
  <si>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</si>
  <si>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</si>
  <si>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</si>
  <si>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</si>
  <si>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</si>
  <si>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</si>
  <si>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</si>
  <si>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</si>
  <si>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</si>
  <si>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</si>
  <si>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</si>
  <si>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</si>
  <si>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</si>
  <si>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</si>
  <si>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</si>
  <si>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</si>
  <si>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</si>
  <si>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</si>
  <si>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</si>
  <si>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</si>
  <si>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</si>
  <si>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</si>
  <si>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</si>
  <si>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</si>
  <si>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</si>
  <si>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</si>
  <si>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</si>
  <si>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</si>
  <si>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</si>
  <si>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</si>
  <si>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</si>
  <si>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</si>
  <si>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</si>
  <si>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</si>
  <si>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</si>
  <si>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</si>
  <si>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</si>
  <si>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</si>
  <si>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</si>
  <si>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</si>
  <si>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</si>
  <si>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</si>
  <si>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</si>
  <si>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</si>
  <si>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</si>
  <si>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</si>
  <si>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</si>
  <si>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</si>
  <si>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</si>
  <si>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</si>
  <si>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</si>
  <si>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</si>
  <si>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</si>
  <si>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</si>
  <si>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</si>
  <si>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</si>
  <si>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</si>
  <si>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</si>
  <si>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</si>
  <si>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</si>
  <si>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</si>
  <si>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</si>
  <si>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</si>
  <si>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</si>
  <si>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</si>
  <si>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</si>
  <si>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</si>
  <si>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</si>
  <si>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</si>
  <si>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</si>
  <si>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</si>
  <si>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</si>
  <si>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</si>
  <si>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</si>
  <si>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</si>
  <si>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</si>
  <si>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</si>
  <si>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</si>
  <si>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</si>
  <si>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</si>
  <si>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</si>
  <si>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</si>
  <si>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</si>
  <si>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</si>
  <si>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</si>
  <si>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</si>
  <si>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</si>
  <si>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</si>
  <si>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</si>
  <si>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</si>
  <si>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</si>
  <si>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</si>
  <si>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</si>
  <si>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</si>
  <si>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</si>
  <si>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</si>
  <si>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</si>
  <si>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</si>
  <si>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</si>
  <si>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</si>
  <si>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</si>
  <si>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</si>
  <si>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</si>
  <si>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</si>
  <si>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</si>
  <si>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</si>
  <si>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</si>
  <si>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</si>
  <si>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</si>
  <si>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</si>
  <si>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</si>
  <si>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</si>
  <si>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</si>
  <si>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</si>
  <si>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</si>
  <si>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</si>
  <si>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</si>
  <si>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</si>
  <si>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</si>
  <si>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</si>
  <si>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</si>
  <si>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</si>
  <si>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</si>
  <si>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</si>
  <si>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</si>
  <si>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</si>
  <si>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</si>
  <si>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</si>
  <si>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</si>
  <si>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</si>
  <si>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</si>
  <si>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</si>
  <si>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</si>
  <si>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</si>
  <si>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</si>
  <si>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</si>
  <si>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</si>
  <si>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</si>
  <si>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</si>
  <si>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</si>
  <si>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</si>
  <si>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</si>
  <si>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</si>
  <si>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</si>
  <si>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</si>
  <si>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</si>
  <si>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</si>
  <si>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</si>
  <si>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</si>
  <si>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</si>
  <si>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</si>
  <si>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</si>
  <si>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</si>
  <si>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</si>
  <si>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</si>
  <si>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</si>
  <si>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</si>
  <si>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</si>
  <si>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</si>
  <si>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</si>
  <si>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</si>
  <si>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</si>
  <si>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</si>
  <si>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</si>
  <si>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</si>
  <si>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</si>
  <si>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</si>
  <si>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</si>
  <si>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</si>
  <si>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</si>
  <si>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</si>
  <si>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</si>
  <si>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</si>
  <si>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</si>
  <si>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</si>
  <si>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</si>
  <si>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</si>
  <si>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</si>
  <si>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</si>
  <si>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</si>
  <si>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</si>
  <si>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</si>
  <si>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</si>
  <si>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</si>
  <si>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</si>
  <si>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</si>
  <si>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</si>
  <si>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</si>
  <si>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</si>
  <si>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</si>
  <si>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</si>
  <si>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</si>
  <si>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</si>
  <si>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</si>
  <si>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</si>
  <si>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</si>
  <si>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</si>
  <si>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</si>
  <si>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</si>
  <si>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</si>
  <si>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</si>
  <si>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</si>
  <si>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</si>
  <si>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</si>
  <si>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</si>
  <si>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</si>
  <si>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</si>
  <si>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</si>
  <si>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</si>
  <si>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</si>
  <si>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</si>
  <si>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</si>
  <si>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</si>
  <si>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</si>
  <si>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</si>
  <si>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</si>
  <si>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</si>
  <si>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</si>
  <si>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</si>
  <si>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</si>
  <si>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</si>
  <si>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</si>
  <si>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</si>
  <si>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</si>
  <si>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</si>
  <si>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</si>
  <si>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</si>
  <si>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</si>
  <si>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</si>
  <si>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</si>
  <si>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</si>
  <si>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</si>
  <si>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</si>
  <si>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</si>
  <si>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</si>
  <si>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</si>
  <si>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</si>
  <si>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</si>
  <si>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</si>
  <si>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</si>
  <si>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</si>
  <si>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</si>
  <si>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</si>
  <si>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</si>
  <si>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</si>
  <si>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</si>
  <si>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</si>
  <si>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</si>
  <si>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</si>
  <si>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</si>
  <si>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</si>
  <si>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</si>
  <si>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</si>
  <si>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</si>
  <si>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</si>
  <si>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</si>
  <si>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</si>
  <si>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</si>
  <si>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</si>
  <si>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</si>
  <si>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</si>
  <si>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</si>
  <si>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</si>
  <si>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</si>
  <si>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</si>
  <si>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</si>
  <si>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</si>
  <si>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</si>
  <si>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</si>
  <si>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</si>
  <si>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</si>
  <si>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</si>
  <si>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</si>
  <si>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</si>
  <si>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</si>
  <si>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</si>
  <si>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</si>
  <si>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</si>
  <si>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</si>
  <si>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</si>
  <si>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</si>
  <si>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</si>
  <si>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</si>
  <si>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</si>
  <si>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</si>
  <si>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</si>
  <si>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</si>
  <si>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</si>
  <si>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</si>
  <si>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</si>
  <si>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</si>
  <si>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</si>
  <si>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</si>
  <si>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</si>
  <si>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</si>
  <si>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</si>
  <si>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</si>
  <si>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</si>
  <si>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</si>
  <si>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</si>
  <si>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</si>
  <si>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</si>
  <si>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</si>
  <si>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</si>
  <si>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</si>
  <si>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</si>
  <si>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</si>
  <si>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</si>
  <si>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</si>
  <si>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</si>
  <si>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</si>
  <si>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</si>
  <si>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</si>
  <si>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</si>
  <si>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</si>
  <si>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</si>
  <si>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</si>
  <si>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</si>
  <si>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</si>
  <si>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</si>
  <si>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</si>
  <si>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</si>
  <si>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</si>
  <si>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</si>
  <si>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</si>
  <si>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</si>
  <si>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</si>
  <si>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</si>
  <si>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</si>
  <si>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</si>
  <si>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</si>
  <si>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</si>
  <si>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</si>
  <si>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</si>
  <si>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</si>
  <si>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</si>
  <si>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</si>
  <si>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</si>
  <si>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</si>
  <si>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</si>
  <si>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</si>
  <si>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</si>
  <si>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</si>
  <si>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</si>
  <si>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</si>
  <si>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</si>
  <si>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</si>
  <si>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</si>
  <si>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</si>
  <si>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</si>
  <si>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</si>
  <si>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</si>
  <si>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</si>
  <si>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</si>
  <si>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</si>
  <si>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</si>
  <si>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</si>
  <si>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</si>
  <si>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</si>
  <si>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</si>
  <si>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</si>
  <si>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</si>
  <si>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</si>
  <si>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</si>
  <si>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</si>
  <si>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</si>
  <si>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</si>
  <si>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</si>
  <si>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</si>
  <si>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</si>
  <si>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</si>
  <si>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</si>
  <si>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</si>
  <si>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</si>
  <si>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</si>
  <si>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</si>
  <si>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</si>
  <si>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</si>
  <si>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</si>
  <si>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</si>
  <si>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</si>
  <si>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</si>
  <si>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</si>
  <si>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</si>
  <si>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</si>
  <si>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</si>
  <si>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</si>
  <si>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</si>
  <si>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</si>
  <si>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</si>
  <si>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</si>
  <si>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</si>
  <si>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</si>
  <si>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</si>
  <si>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</si>
  <si>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</si>
  <si>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</si>
  <si>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</si>
  <si>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</si>
  <si>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</si>
  <si>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</si>
  <si>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</si>
  <si>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</si>
  <si>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</si>
  <si>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</si>
  <si>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</si>
  <si>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</si>
  <si>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</si>
  <si>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</si>
  <si>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</si>
  <si>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</si>
  <si>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</si>
  <si>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</si>
  <si>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</si>
  <si>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</si>
  <si>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</si>
  <si>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</si>
  <si>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</si>
  <si>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</si>
  <si>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</si>
  <si>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</si>
  <si>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</si>
  <si>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</si>
  <si>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</si>
  <si>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</si>
  <si>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</si>
  <si>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</si>
  <si>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</si>
  <si>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</si>
  <si>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</si>
  <si>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</si>
  <si>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</si>
  <si>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</si>
  <si>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</si>
  <si>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</si>
  <si>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</si>
  <si>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</si>
  <si>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</si>
  <si>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</si>
  <si>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</si>
  <si>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</si>
  <si>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</si>
  <si>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</si>
  <si>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</si>
  <si>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</si>
  <si>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</si>
  <si>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</si>
  <si>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</si>
  <si>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</si>
  <si>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</si>
  <si>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</si>
  <si>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</si>
  <si>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</si>
  <si>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</si>
  <si>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</si>
  <si>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</si>
  <si>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</si>
  <si>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</si>
  <si>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</si>
  <si>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</si>
  <si>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</si>
  <si>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</si>
  <si>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</si>
  <si>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</si>
  <si>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</si>
  <si>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</si>
  <si>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</si>
  <si>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</si>
  <si>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</si>
  <si>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</si>
  <si>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</si>
  <si>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</si>
  <si>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</si>
  <si>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</si>
  <si>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</si>
  <si>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</si>
  <si>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</si>
  <si>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</si>
  <si>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</si>
  <si>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</si>
  <si>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</si>
  <si>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</si>
  <si>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</si>
  <si>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</si>
  <si>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</si>
  <si>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</si>
  <si>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</si>
  <si>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</si>
  <si>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</si>
  <si>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</si>
  <si>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</si>
  <si>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</si>
  <si>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</si>
  <si>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</si>
  <si>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</si>
  <si>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</si>
  <si>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</si>
  <si>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</si>
  <si>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</si>
  <si>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</si>
  <si>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</si>
  <si>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</si>
  <si>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</si>
  <si>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</si>
  <si>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</si>
  <si>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</si>
  <si>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</si>
  <si>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</si>
  <si>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</si>
  <si>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</si>
  <si>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</si>
  <si>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</si>
  <si>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</si>
  <si>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</si>
  <si>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</si>
  <si>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</si>
  <si>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</si>
  <si>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</si>
  <si>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</si>
  <si>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</si>
  <si>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</si>
  <si>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</si>
  <si>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</si>
  <si>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</si>
  <si>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</si>
  <si>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</si>
  <si>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</si>
  <si>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</si>
  <si>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</si>
  <si>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</si>
  <si>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</si>
  <si>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</si>
  <si>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</si>
  <si>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</si>
  <si>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</si>
  <si>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</si>
  <si>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</si>
  <si>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</si>
  <si>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</si>
  <si>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</si>
  <si>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</si>
  <si>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</si>
  <si>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</si>
  <si>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</si>
  <si>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</si>
  <si>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</si>
  <si>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</si>
  <si>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</si>
  <si>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</si>
  <si>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</si>
  <si>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</si>
  <si>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</si>
  <si>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</si>
  <si>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</si>
  <si>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</si>
  <si>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</si>
  <si>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</si>
  <si>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</si>
  <si>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</si>
  <si>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</si>
  <si>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</si>
  <si>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</si>
  <si>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</si>
  <si>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</si>
  <si>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</si>
  <si>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</si>
  <si>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</si>
  <si>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</si>
  <si>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</si>
  <si>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</si>
  <si>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</si>
  <si>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</si>
  <si>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</si>
  <si>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</si>
  <si>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</si>
  <si>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</si>
  <si>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</si>
  <si>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</si>
  <si>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</si>
  <si>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</si>
  <si>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</si>
  <si>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</si>
  <si>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</si>
  <si>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</si>
  <si>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</si>
  <si>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</si>
  <si>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</si>
  <si>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</si>
  <si>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</si>
  <si>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</si>
  <si>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</si>
  <si>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</si>
  <si>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</si>
  <si>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</si>
  <si>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</si>
  <si>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</si>
  <si>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</si>
  <si>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</si>
  <si>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</si>
  <si>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</si>
  <si>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</si>
  <si>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</si>
  <si>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</si>
  <si>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</si>
  <si>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</si>
  <si>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</si>
  <si>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</si>
  <si>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</si>
  <si>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</si>
  <si>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</si>
  <si>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</si>
  <si>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</si>
  <si>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</si>
  <si>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</si>
  <si>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</si>
  <si>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</si>
  <si>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</si>
  <si>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</si>
  <si>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</si>
  <si>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</si>
  <si>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</si>
  <si>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</si>
  <si>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</si>
  <si>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</si>
  <si>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</si>
  <si>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</si>
  <si>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</si>
  <si>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</si>
  <si>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</si>
  <si>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</si>
  <si>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</si>
  <si>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</si>
  <si>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</si>
  <si>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</si>
  <si>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</si>
  <si>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</si>
  <si>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</si>
  <si>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</si>
  <si>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</si>
  <si>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</si>
  <si>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</si>
  <si>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</si>
  <si>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</si>
  <si>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</si>
  <si>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</si>
  <si>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</si>
  <si>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</si>
  <si>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</si>
  <si>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</si>
  <si>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</si>
  <si>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</si>
  <si>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</si>
  <si>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</si>
  <si>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</si>
  <si>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</si>
  <si>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</si>
  <si>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</si>
  <si>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</si>
  <si>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</si>
  <si>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</si>
  <si>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</si>
  <si>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</si>
  <si>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</si>
  <si>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</si>
  <si>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</si>
  <si>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</si>
  <si>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</si>
  <si>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</si>
  <si>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</si>
  <si>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</si>
  <si>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</si>
  <si>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</si>
  <si>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</si>
  <si>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</si>
  <si>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</si>
  <si>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</si>
  <si>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</si>
  <si>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</si>
  <si>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</si>
  <si>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</si>
  <si>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</si>
  <si>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</si>
  <si>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</si>
  <si>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</si>
  <si>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</si>
  <si>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</si>
  <si>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</si>
  <si>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</si>
  <si>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</si>
  <si>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</si>
  <si>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</si>
  <si>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</si>
  <si>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</si>
  <si>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</si>
  <si>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</si>
  <si>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</si>
  <si>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</si>
  <si>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</si>
  <si>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</si>
  <si>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</si>
  <si>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</si>
  <si>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</si>
  <si>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</si>
  <si>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</si>
  <si>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</si>
  <si>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</si>
  <si>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</si>
  <si>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</si>
  <si>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</si>
  <si>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</si>
  <si>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</si>
  <si>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</si>
  <si>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</si>
  <si>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</si>
  <si>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</si>
  <si>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</si>
  <si>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</si>
  <si>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</si>
  <si>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</si>
  <si>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</si>
  <si>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</si>
  <si>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</si>
  <si>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</si>
  <si>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</si>
  <si>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</si>
  <si>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</si>
  <si>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</si>
  <si>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</si>
  <si>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</si>
  <si>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</si>
  <si>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</si>
  <si>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</si>
  <si>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</si>
  <si>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</si>
  <si>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</si>
  <si>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</si>
  <si>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</si>
  <si>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</si>
  <si>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</si>
  <si>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</si>
  <si>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</si>
  <si>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</si>
  <si>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</si>
  <si>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</si>
  <si>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</si>
  <si>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</si>
  <si>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</si>
  <si>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</si>
  <si>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</si>
  <si>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</si>
  <si>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</si>
  <si>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</si>
  <si>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</si>
  <si>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</si>
  <si>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</si>
  <si>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</si>
  <si>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</si>
  <si>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</si>
  <si>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</si>
  <si>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</si>
  <si>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</si>
  <si>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</si>
  <si>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</si>
  <si>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</si>
  <si>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</si>
  <si>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</si>
  <si>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</si>
  <si>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</si>
  <si>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</si>
  <si>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</si>
  <si>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</si>
  <si>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</si>
  <si>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</si>
  <si>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</si>
  <si>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</si>
  <si>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</si>
  <si>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</si>
  <si>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</si>
  <si>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</si>
  <si>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</si>
  <si>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</si>
  <si>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</si>
  <si>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</si>
  <si>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</si>
  <si>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</si>
  <si>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</si>
  <si>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</si>
  <si>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</si>
  <si>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</si>
  <si>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</si>
  <si>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</si>
  <si>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</si>
  <si>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</si>
  <si>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</si>
  <si>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</si>
  <si>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</si>
  <si>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</si>
  <si>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</si>
  <si>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</si>
  <si>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</si>
  <si>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</si>
  <si>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</si>
  <si>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</si>
  <si>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</si>
  <si>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</si>
  <si>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</si>
  <si>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</si>
  <si>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</si>
  <si>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</si>
  <si>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</si>
  <si>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</si>
  <si>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</si>
  <si>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</si>
  <si>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</si>
  <si>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</si>
  <si>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</si>
  <si>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</si>
  <si>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</si>
  <si>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</si>
  <si>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</si>
  <si>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</si>
  <si>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</si>
  <si>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</si>
  <si>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</si>
  <si>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</si>
  <si>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</si>
  <si>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</si>
  <si>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</si>
  <si>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</si>
  <si>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</si>
  <si>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</si>
  <si>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</si>
  <si>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</si>
  <si>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</si>
  <si>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</si>
  <si>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</si>
  <si>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</si>
  <si>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</si>
  <si>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</si>
  <si>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</si>
  <si>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</si>
  <si>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</si>
  <si>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</si>
  <si>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</si>
  <si>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</si>
  <si>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</si>
  <si>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</si>
  <si>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</si>
  <si>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</si>
  <si>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</si>
  <si>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</si>
  <si>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</si>
  <si>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</si>
  <si>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</si>
  <si>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</si>
  <si>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</si>
  <si>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</si>
  <si>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</si>
  <si>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</si>
  <si>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</si>
  <si>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</si>
  <si>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</si>
  <si>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</si>
  <si>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</si>
  <si>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</si>
  <si>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</si>
  <si>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</si>
  <si>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</si>
  <si>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</si>
  <si>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</si>
  <si>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</si>
  <si>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</si>
  <si>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</si>
  <si>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</si>
  <si>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</si>
  <si>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</si>
  <si>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</si>
  <si>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</si>
  <si>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</si>
  <si>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</si>
  <si>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</si>
  <si>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</si>
  <si>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</si>
  <si>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</si>
  <si>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</si>
  <si>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</si>
  <si>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</si>
  <si>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</si>
  <si>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</si>
  <si>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</si>
  <si>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</si>
  <si>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</si>
  <si>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</si>
  <si>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</si>
  <si>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</si>
  <si>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</si>
  <si>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</si>
  <si>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</si>
  <si>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</si>
  <si>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</si>
  <si>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</si>
  <si>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</si>
  <si>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</si>
  <si>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</si>
  <si>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</si>
  <si>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</si>
  <si>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</si>
  <si>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</si>
  <si>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</si>
  <si>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</si>
  <si>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</si>
  <si>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</si>
  <si>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</si>
  <si>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</si>
  <si>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</si>
  <si>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</si>
  <si>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</si>
  <si>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</si>
  <si>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</si>
  <si>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</si>
  <si>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</si>
  <si>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</si>
  <si>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</si>
  <si>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</si>
  <si>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</si>
  <si>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</si>
  <si>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</si>
  <si>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</si>
  <si>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</si>
  <si>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</si>
  <si>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</si>
  <si>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</si>
  <si>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</si>
  <si>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</si>
  <si>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</si>
  <si>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</si>
  <si>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</si>
  <si>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</si>
  <si>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</si>
  <si>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</si>
  <si>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</si>
  <si>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</si>
  <si>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</si>
  <si>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</si>
  <si>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</si>
  <si>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</si>
  <si>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</si>
  <si>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</si>
  <si>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</si>
  <si>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</si>
  <si>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</si>
  <si>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</si>
  <si>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</si>
  <si>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</si>
  <si>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</si>
  <si>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</si>
  <si>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</si>
  <si>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</si>
  <si>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</si>
  <si>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</si>
  <si>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</si>
  <si>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</si>
  <si>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</si>
  <si>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</si>
  <si>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</si>
  <si>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</si>
  <si>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</si>
  <si>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</si>
  <si>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</si>
  <si>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</si>
  <si>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</si>
  <si>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</si>
  <si>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</si>
  <si>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</si>
  <si>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</si>
  <si>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</si>
  <si>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</si>
  <si>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</si>
  <si>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</si>
  <si>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</si>
  <si>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</si>
  <si>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</si>
  <si>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</si>
  <si>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</si>
  <si>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</si>
  <si>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</si>
  <si>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</si>
  <si>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</si>
  <si>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</si>
  <si>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</si>
  <si>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</si>
  <si>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</si>
  <si>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</si>
  <si>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</si>
  <si>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</si>
  <si>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</si>
  <si>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</si>
  <si>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</si>
  <si>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</si>
  <si>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</si>
  <si>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</si>
  <si>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</si>
  <si>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</si>
  <si>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</si>
  <si>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</si>
  <si>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</si>
  <si>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</si>
  <si>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</si>
  <si>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</si>
  <si>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</si>
  <si>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</si>
  <si>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</si>
  <si>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</si>
  <si>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</si>
  <si>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</si>
  <si>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</si>
  <si>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</si>
  <si>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</si>
  <si>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</si>
  <si>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</si>
  <si>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</si>
  <si>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</si>
  <si>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</si>
  <si>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</si>
  <si>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</si>
  <si>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</si>
  <si>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</si>
  <si>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</si>
  <si>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</si>
  <si>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</si>
  <si>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</si>
  <si>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</si>
  <si>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</si>
  <si>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</si>
  <si>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</si>
  <si>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</si>
  <si>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</si>
  <si>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</si>
  <si>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</si>
  <si>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</si>
  <si>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</si>
  <si>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</si>
  <si>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</si>
  <si>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</si>
  <si>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</si>
  <si>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</si>
  <si>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</si>
  <si>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</si>
  <si>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</si>
  <si>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</si>
  <si>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</si>
  <si>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</si>
  <si>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</si>
  <si>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</si>
  <si>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</si>
  <si>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</si>
  <si>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</si>
  <si>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</si>
  <si>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</si>
  <si>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</si>
  <si>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</si>
  <si>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</si>
  <si>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</si>
  <si>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</si>
  <si>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</si>
  <si>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</si>
  <si>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</si>
  <si>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</si>
  <si>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</si>
  <si>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</si>
  <si>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</si>
  <si>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</si>
  <si>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</si>
  <si>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</si>
  <si>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</si>
  <si>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</si>
  <si>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</si>
  <si>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</si>
  <si>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</si>
  <si>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</si>
  <si>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</si>
  <si>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</si>
  <si>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</si>
  <si>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</si>
  <si>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</si>
  <si>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</si>
  <si>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</si>
  <si>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</si>
  <si>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</si>
  <si>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</si>
  <si>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</si>
  <si>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</si>
  <si>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</si>
  <si>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</si>
  <si>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</si>
  <si>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</si>
  <si>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</si>
  <si>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</si>
  <si>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</si>
  <si>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</si>
  <si>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</si>
  <si>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</si>
  <si>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</si>
  <si>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</si>
  <si>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</si>
  <si>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</si>
  <si>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</si>
  <si>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</si>
  <si>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</si>
  <si>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</si>
  <si>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</si>
  <si>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</si>
  <si>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</si>
  <si>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</si>
  <si>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</si>
  <si>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</si>
  <si>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</si>
  <si>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</si>
  <si>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</si>
  <si>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</si>
  <si>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</si>
  <si>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</si>
  <si>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</si>
  <si>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</si>
  <si>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</si>
  <si>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</si>
  <si>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</si>
  <si>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</si>
  <si>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</si>
  <si>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</si>
  <si>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</si>
  <si>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</si>
  <si>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</si>
  <si>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</si>
  <si>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</si>
  <si>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</si>
  <si>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</si>
  <si>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</si>
  <si>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</si>
  <si>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</si>
  <si>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</si>
  <si>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</si>
  <si>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</si>
  <si>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</si>
  <si>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</si>
  <si>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</si>
  <si>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</si>
  <si>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</si>
  <si>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</si>
  <si>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</si>
  <si>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</si>
  <si>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</si>
  <si>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</si>
  <si>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</si>
  <si>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</si>
  <si>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</si>
  <si>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</si>
  <si>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</si>
  <si>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</si>
  <si>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</si>
  <si>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</si>
  <si>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</si>
  <si>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</si>
  <si>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</si>
  <si>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</si>
  <si>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</si>
  <si>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</si>
  <si>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</si>
  <si>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</si>
  <si>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</si>
  <si>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</si>
  <si>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</si>
  <si>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</si>
  <si>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</si>
  <si>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</si>
  <si>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</si>
  <si>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</si>
  <si>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</si>
  <si>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</si>
  <si>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</si>
  <si>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</si>
  <si>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</si>
  <si>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</si>
  <si>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</si>
  <si>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</si>
  <si>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</si>
  <si>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</si>
  <si>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</si>
  <si>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</si>
  <si>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</si>
  <si>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</si>
  <si>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</si>
  <si>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</si>
  <si>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</si>
  <si>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</si>
  <si>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</si>
  <si>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</si>
  <si>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</si>
  <si>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</si>
  <si>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</si>
  <si>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</si>
  <si>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</si>
  <si>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</si>
  <si>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</si>
  <si>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</si>
  <si>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</si>
  <si>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</si>
  <si>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</si>
  <si>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</si>
  <si>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</si>
  <si>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</si>
  <si>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</si>
  <si>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</si>
  <si>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</si>
  <si>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</si>
  <si>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</si>
  <si>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</si>
  <si>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</si>
  <si>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</si>
  <si>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</si>
  <si>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</si>
  <si>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</si>
  <si>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</si>
  <si>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</si>
  <si>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</si>
  <si>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</si>
  <si>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</si>
  <si>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</si>
  <si>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</si>
  <si>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</si>
  <si>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</si>
  <si>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</si>
  <si>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</si>
  <si>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</si>
  <si>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</si>
  <si>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</si>
  <si>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</si>
  <si>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</si>
  <si>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</si>
  <si>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</si>
  <si>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</si>
  <si>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</si>
  <si>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</si>
  <si>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</si>
  <si>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</si>
  <si>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</si>
  <si>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</si>
  <si>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</si>
  <si>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</si>
  <si>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</si>
  <si>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</si>
  <si>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</si>
  <si>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</si>
  <si>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</si>
  <si>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</si>
  <si>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</si>
  <si>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</si>
  <si>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</si>
  <si>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</si>
  <si>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</si>
  <si>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</si>
  <si>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</si>
  <si>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</si>
  <si>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</si>
  <si>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</si>
  <si>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</si>
  <si>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</si>
  <si>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</si>
  <si>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</si>
  <si>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</si>
  <si>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</si>
  <si>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</si>
  <si>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</si>
  <si>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</si>
  <si>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</si>
  <si>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</si>
  <si>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</si>
  <si>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</si>
  <si>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</si>
  <si>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</si>
  <si>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</si>
  <si>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</si>
  <si>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</si>
  <si>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</si>
  <si>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</si>
  <si>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</si>
  <si>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</si>
  <si>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</si>
  <si>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</si>
  <si>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</si>
  <si>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</si>
  <si>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</si>
  <si>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</si>
  <si>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</si>
  <si>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</si>
  <si>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</si>
  <si>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</si>
  <si>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</si>
  <si>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</si>
  <si>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</si>
  <si>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</si>
  <si>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</si>
  <si>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</si>
  <si>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</si>
  <si>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</si>
  <si>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</si>
  <si>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</si>
  <si>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</si>
  <si>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</si>
  <si>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</si>
  <si>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</si>
  <si>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</si>
  <si>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</si>
  <si>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</si>
  <si>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</si>
  <si>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</si>
  <si>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</si>
  <si>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</si>
  <si>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</si>
  <si>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</si>
  <si>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</si>
  <si>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</si>
  <si>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</si>
  <si>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</si>
  <si>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</si>
  <si>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</si>
  <si>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</si>
  <si>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</si>
  <si>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</si>
  <si>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</si>
  <si>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</si>
  <si>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</si>
  <si>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</si>
  <si>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</si>
  <si>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</si>
  <si>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</si>
  <si>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</si>
  <si>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</si>
  <si>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</si>
  <si>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</si>
  <si>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</si>
  <si>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</si>
  <si>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</si>
  <si>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</si>
  <si>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</si>
  <si>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</si>
  <si>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</si>
  <si>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</si>
  <si>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</si>
  <si>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</si>
  <si>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</si>
  <si>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</si>
  <si>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</si>
  <si>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</si>
  <si>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</si>
  <si>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</si>
  <si>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</si>
  <si>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</si>
  <si>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</si>
  <si>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</si>
  <si>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</si>
  <si>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</si>
  <si>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</si>
  <si>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</si>
  <si>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</si>
  <si>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</si>
  <si>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</si>
  <si>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</si>
  <si>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</si>
  <si>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</si>
  <si>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</si>
  <si>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</si>
  <si>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</si>
  <si>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</si>
  <si>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</si>
  <si>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</si>
  <si>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</si>
  <si>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</si>
  <si>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</si>
  <si>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</si>
  <si>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</si>
  <si>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</si>
  <si>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</si>
  <si>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</si>
  <si>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</si>
  <si>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</si>
  <si>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</si>
  <si>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</si>
  <si>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</si>
  <si>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</si>
  <si>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</si>
  <si>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</si>
  <si>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</si>
  <si>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</si>
  <si>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</si>
  <si>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</si>
  <si>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</si>
  <si>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</si>
  <si>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</si>
  <si>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</si>
  <si>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</si>
  <si>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</si>
  <si>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</si>
  <si>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</si>
  <si>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</si>
  <si>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</si>
  <si>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</si>
  <si>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</si>
  <si>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</si>
  <si>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</si>
  <si>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</si>
  <si>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</si>
  <si>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</si>
  <si>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</si>
  <si>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</si>
  <si>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</si>
  <si>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</si>
  <si>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</si>
  <si>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</si>
  <si>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</si>
  <si>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</si>
  <si>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</si>
  <si>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</si>
  <si>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</si>
  <si>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</si>
  <si>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</si>
  <si>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</si>
  <si>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</si>
  <si>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</si>
  <si>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</si>
  <si>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</si>
  <si>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</si>
  <si>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</si>
  <si>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</si>
  <si>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</si>
  <si>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</si>
  <si>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</si>
  <si>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</si>
  <si>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</si>
  <si>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</si>
  <si>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</si>
  <si>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</si>
  <si>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</si>
  <si>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</si>
  <si>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</si>
  <si>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</si>
  <si>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</si>
  <si>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</si>
  <si>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</si>
  <si>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</si>
  <si>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</si>
  <si>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</si>
  <si>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</si>
  <si>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</si>
  <si>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</si>
  <si>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</si>
  <si>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</si>
  <si>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</si>
  <si>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</si>
  <si>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</si>
  <si>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</si>
  <si>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</si>
  <si>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</si>
  <si>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</si>
  <si>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</si>
  <si>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</si>
  <si>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</si>
  <si>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</si>
  <si>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</si>
  <si>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</si>
  <si>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</si>
  <si>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</si>
  <si>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</si>
  <si>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</si>
  <si>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</si>
  <si>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</si>
  <si>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</si>
  <si>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</si>
  <si>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</si>
  <si>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</si>
  <si>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</si>
  <si>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</si>
  <si>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</si>
  <si>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</si>
  <si>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</si>
  <si>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</si>
  <si>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</si>
  <si>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</si>
  <si>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</si>
  <si>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</si>
  <si>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</si>
  <si>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</si>
  <si>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</si>
  <si>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</si>
  <si>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</si>
  <si>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</si>
  <si>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</si>
  <si>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</si>
  <si>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</si>
  <si>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</si>
  <si>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</si>
  <si>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</si>
  <si>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</si>
  <si>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</si>
  <si>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</si>
  <si>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</si>
  <si>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</si>
  <si>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</si>
  <si>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</si>
  <si>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</si>
  <si>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</si>
  <si>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</si>
  <si>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</si>
  <si>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</si>
  <si>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</si>
  <si>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</si>
  <si>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</si>
  <si>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</si>
  <si>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</si>
  <si>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</si>
  <si>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</si>
  <si>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</si>
  <si>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</si>
  <si>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</si>
  <si>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</si>
  <si>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</si>
  <si>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</si>
  <si>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</si>
  <si>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</si>
  <si>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</si>
  <si>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</si>
  <si>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</si>
  <si>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</si>
  <si>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</si>
  <si>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</si>
  <si>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</si>
  <si>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</si>
  <si>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</si>
  <si>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</si>
  <si>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</si>
  <si>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</si>
  <si>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</si>
  <si>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</si>
  <si>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</si>
  <si>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</si>
  <si>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</si>
  <si>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</si>
  <si>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</si>
  <si>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</si>
  <si>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</si>
  <si>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</si>
  <si>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</si>
  <si>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</si>
  <si>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</si>
  <si>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</si>
  <si>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</si>
  <si>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</si>
  <si>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</si>
  <si>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</si>
  <si>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</si>
  <si>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</si>
  <si>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</si>
  <si>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</si>
  <si>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</si>
  <si>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</si>
  <si>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</si>
  <si>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</si>
  <si>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</si>
  <si>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</si>
  <si>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</si>
  <si>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</si>
  <si>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</si>
  <si>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</si>
  <si>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</si>
  <si>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</si>
  <si>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</si>
  <si>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</si>
  <si>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</si>
  <si>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</si>
  <si>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</si>
  <si>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</si>
  <si>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</si>
  <si>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</si>
  <si>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</si>
  <si>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</si>
  <si>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</si>
  <si>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</si>
  <si>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</si>
  <si>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</si>
  <si>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</si>
  <si>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</si>
  <si>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</si>
  <si>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</si>
  <si>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</si>
  <si>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</si>
  <si>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</si>
  <si>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</si>
  <si>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</si>
  <si>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</si>
  <si>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</si>
  <si>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</si>
  <si>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</si>
  <si>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</si>
  <si>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</si>
  <si>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</si>
  <si>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</si>
  <si>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</si>
  <si>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</si>
  <si>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</si>
  <si>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</si>
  <si>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</si>
  <si>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</si>
  <si>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</si>
  <si>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</si>
  <si>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</si>
  <si>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</si>
  <si>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</si>
  <si>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</si>
  <si>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</si>
  <si>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</si>
  <si>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</si>
  <si>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</si>
  <si>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</si>
  <si>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</si>
  <si>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</si>
  <si>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</si>
  <si>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</si>
  <si>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</si>
  <si>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</si>
  <si>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</si>
  <si>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</si>
  <si>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</si>
  <si>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</si>
  <si>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</si>
  <si>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</si>
  <si>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</si>
  <si>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</si>
  <si>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</si>
  <si>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</si>
  <si>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</si>
  <si>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</si>
  <si>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</si>
  <si>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</si>
  <si>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</si>
  <si>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</si>
  <si>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</si>
  <si>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</si>
  <si>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</si>
  <si>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</si>
  <si>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</si>
  <si>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</si>
  <si>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</si>
  <si>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</si>
  <si>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</si>
  <si>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</si>
  <si>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</si>
  <si>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</si>
  <si>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</si>
  <si>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</si>
  <si>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</si>
  <si>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</si>
  <si>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</si>
  <si>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</si>
  <si>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</si>
  <si>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</si>
  <si>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</si>
  <si>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</si>
  <si>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</si>
  <si>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</si>
  <si>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</si>
  <si>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</si>
  <si>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</si>
  <si>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</si>
  <si>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</si>
  <si>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</si>
  <si>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</si>
  <si>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</si>
  <si>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</si>
  <si>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</si>
  <si>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</si>
  <si>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</si>
  <si>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</si>
  <si>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</si>
  <si>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</si>
  <si>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</si>
  <si>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</si>
  <si>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</si>
  <si>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</si>
  <si>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</si>
  <si>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</si>
  <si>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</si>
  <si>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</si>
  <si>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</si>
  <si>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</si>
  <si>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</si>
  <si>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</si>
  <si>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</si>
  <si>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</si>
  <si>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</si>
  <si>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</si>
  <si>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</si>
  <si>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</si>
  <si>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</si>
  <si>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</si>
  <si>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</si>
  <si>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</si>
  <si>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</si>
  <si>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</si>
  <si>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</si>
  <si>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</si>
  <si>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</si>
  <si>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</si>
  <si>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</si>
  <si>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</si>
  <si>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</si>
  <si>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</si>
  <si>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</si>
  <si>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</si>
  <si>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</si>
  <si>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</si>
  <si>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</si>
  <si>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</si>
  <si>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</si>
  <si>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</si>
  <si>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</si>
  <si>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</si>
  <si>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</si>
  <si>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</si>
  <si>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</si>
  <si>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</si>
  <si>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</si>
  <si>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</si>
  <si>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</si>
  <si>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</si>
  <si>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</si>
  <si>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</si>
  <si>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</si>
  <si>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</si>
  <si>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</si>
  <si>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</si>
  <si>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</si>
  <si>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</si>
  <si>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</si>
  <si>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</si>
  <si>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</si>
  <si>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</si>
  <si>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</si>
  <si>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</si>
  <si>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</si>
  <si>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</si>
  <si>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</si>
  <si>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</si>
  <si>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</si>
  <si>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</si>
  <si>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</si>
  <si>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</si>
  <si>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</si>
  <si>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</si>
  <si>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</si>
  <si>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</si>
  <si>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</si>
  <si>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</si>
  <si>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</si>
  <si>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</si>
  <si>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</si>
  <si>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</si>
  <si>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</si>
  <si>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</si>
  <si>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</si>
  <si>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</si>
  <si>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</si>
  <si>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</si>
  <si>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</si>
  <si>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</si>
  <si>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</si>
  <si>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</si>
  <si>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</si>
  <si>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</si>
  <si>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</si>
  <si>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</si>
  <si>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</si>
  <si>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</si>
  <si>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</si>
  <si>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</si>
  <si>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</si>
  <si>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</si>
  <si>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</si>
  <si>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</si>
  <si>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</si>
  <si>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</si>
  <si>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</si>
  <si>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</si>
  <si>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</si>
  <si>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</si>
  <si>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</si>
  <si>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</si>
  <si>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</si>
  <si>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</si>
  <si>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</si>
  <si>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</si>
  <si>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</si>
  <si>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</si>
  <si>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</si>
  <si>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</si>
  <si>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</si>
  <si>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</si>
  <si>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</si>
  <si>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</si>
  <si>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</si>
  <si>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</si>
  <si>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</si>
  <si>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</si>
  <si>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</si>
  <si>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</si>
  <si>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</si>
  <si>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</si>
  <si>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</si>
  <si>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</si>
  <si>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</si>
  <si>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</si>
  <si>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</si>
  <si>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</si>
  <si>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</si>
  <si>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</si>
  <si>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</si>
  <si>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</si>
  <si>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</si>
  <si>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</si>
  <si>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</si>
  <si>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</si>
  <si>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</si>
  <si>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</si>
  <si>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</si>
  <si>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</si>
  <si>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</si>
  <si>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</si>
  <si>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</si>
  <si>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</si>
  <si>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</si>
  <si>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</si>
  <si>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</si>
  <si>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</si>
  <si>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</si>
  <si>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</si>
  <si>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</si>
  <si>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</si>
  <si>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</si>
  <si>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</si>
  <si>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</si>
  <si>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</si>
  <si>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</si>
  <si>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</si>
  <si>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</si>
  <si>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</si>
  <si>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</si>
  <si>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</si>
  <si>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</si>
  <si>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</si>
  <si>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</si>
  <si>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</si>
  <si>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</si>
  <si>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</si>
  <si>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</si>
  <si>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</si>
  <si>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</si>
  <si>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</si>
  <si>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</si>
  <si>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</si>
  <si>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</si>
  <si>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</si>
  <si>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</si>
  <si>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</si>
  <si>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</si>
  <si>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</si>
  <si>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</si>
  <si>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</si>
  <si>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</si>
  <si>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</si>
  <si>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</si>
  <si>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</si>
  <si>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</si>
  <si>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</si>
  <si>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</si>
  <si>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</si>
  <si>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</si>
  <si>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</si>
  <si>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</si>
  <si>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</si>
  <si>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</si>
  <si>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</si>
  <si>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</si>
  <si>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</si>
  <si>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</si>
  <si>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</si>
  <si>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</si>
  <si>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</si>
  <si>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</si>
  <si>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</si>
  <si>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</si>
  <si>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</si>
  <si>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</si>
  <si>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</si>
  <si>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</si>
  <si>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</si>
  <si>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</si>
  <si>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</si>
  <si>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</si>
  <si>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</si>
  <si>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</si>
  <si>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</si>
  <si>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</si>
  <si>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</si>
  <si>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</si>
  <si>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</si>
  <si>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</si>
  <si>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</si>
  <si>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</si>
  <si>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</si>
  <si>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</si>
  <si>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</si>
  <si>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</si>
  <si>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</si>
  <si>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</si>
  <si>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</si>
  <si>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</si>
  <si>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</si>
  <si>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</si>
  <si>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</si>
  <si>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</si>
  <si>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</si>
  <si>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</si>
  <si>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</si>
  <si>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</si>
  <si>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</si>
  <si>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</si>
  <si>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</si>
  <si>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</si>
  <si>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</si>
  <si>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</si>
  <si>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</si>
  <si>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</si>
  <si>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</si>
  <si>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</si>
  <si>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</si>
  <si>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</si>
  <si>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</si>
  <si>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</si>
  <si>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</si>
  <si>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</si>
  <si>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</si>
  <si>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</si>
  <si>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</si>
  <si>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</si>
  <si>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</si>
  <si>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</si>
  <si>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</si>
  <si>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</si>
  <si>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</si>
  <si>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</si>
  <si>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</si>
  <si>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</si>
  <si>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</si>
  <si>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</si>
  <si>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</si>
  <si>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</si>
  <si>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</si>
  <si>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</si>
  <si>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</si>
  <si>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</si>
  <si>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</si>
  <si>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</si>
  <si>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</si>
  <si>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</si>
  <si>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</si>
  <si>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</si>
  <si>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</si>
  <si>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</si>
  <si>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</si>
  <si>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</si>
  <si>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</si>
  <si>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</si>
  <si>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</si>
  <si>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</si>
  <si>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</si>
  <si>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</si>
  <si>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</si>
  <si>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</si>
  <si>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</si>
  <si>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</si>
  <si>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</si>
  <si>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</si>
  <si>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</si>
  <si>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</si>
  <si>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</si>
  <si>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</si>
  <si>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</si>
  <si>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</si>
  <si>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</si>
  <si>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</si>
  <si>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</si>
  <si>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</si>
  <si>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</si>
  <si>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</si>
  <si>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</si>
  <si>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</si>
  <si>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</si>
  <si>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</si>
  <si>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</si>
  <si>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</si>
  <si>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</si>
  <si>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</si>
  <si>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</si>
  <si>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</si>
  <si>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</si>
  <si>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</si>
  <si>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</si>
  <si>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</si>
  <si>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</si>
  <si>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</si>
  <si>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</si>
  <si>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</si>
  <si>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</si>
  <si>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</si>
  <si>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</si>
  <si>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</si>
  <si>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</si>
  <si>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</si>
  <si>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</si>
  <si>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</si>
  <si>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</si>
  <si>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</si>
  <si>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</si>
  <si>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</si>
  <si>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</si>
  <si>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</si>
  <si>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</si>
  <si>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</si>
  <si>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</si>
  <si>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</si>
  <si>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</si>
  <si>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</si>
  <si>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</si>
  <si>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</si>
  <si>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</si>
  <si>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</si>
  <si>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</si>
  <si>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</si>
  <si>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</si>
  <si>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</si>
  <si>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</si>
  <si>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</si>
  <si>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</si>
  <si>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</si>
  <si>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</si>
  <si>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</si>
  <si>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</si>
  <si>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</si>
  <si>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</si>
  <si>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</si>
  <si>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</si>
  <si>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</si>
  <si>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</si>
  <si>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</si>
  <si>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</si>
  <si>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</si>
  <si>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</si>
  <si>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</si>
  <si>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</si>
  <si>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</si>
  <si>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</si>
  <si>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</si>
  <si>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</si>
  <si>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</si>
  <si>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</si>
  <si>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</si>
  <si>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</si>
  <si>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</si>
  <si>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</si>
  <si>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</si>
  <si>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</si>
  <si>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</si>
  <si>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</si>
  <si>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</si>
  <si>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</si>
  <si>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</si>
  <si>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</si>
  <si>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</si>
  <si>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</si>
  <si>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</si>
  <si>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</si>
  <si>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</si>
  <si>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</si>
  <si>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</si>
  <si>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</si>
  <si>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</si>
  <si>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</si>
  <si>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</si>
  <si>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</si>
  <si>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</si>
  <si>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</si>
  <si>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</si>
  <si>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</si>
  <si>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</si>
  <si>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</si>
  <si>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</si>
  <si>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</si>
  <si>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</si>
  <si>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</si>
  <si>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</si>
  <si>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</si>
  <si>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</si>
  <si>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</si>
  <si>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</si>
  <si>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</si>
  <si>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</si>
  <si>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</si>
  <si>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</si>
  <si>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</si>
  <si>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</si>
  <si>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</si>
  <si>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</si>
  <si>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</si>
  <si>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</si>
  <si>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</si>
  <si>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</si>
  <si>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</si>
  <si>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</si>
  <si>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</si>
  <si>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</si>
  <si>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</si>
  <si>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</si>
  <si>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</si>
  <si>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</si>
  <si>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</si>
  <si>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</si>
  <si>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</si>
  <si>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</si>
  <si>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</si>
  <si>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</si>
  <si>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</si>
  <si>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</si>
  <si>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</si>
  <si>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</si>
  <si>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</si>
  <si>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</si>
  <si>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</si>
  <si>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</si>
  <si>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</si>
  <si>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</si>
  <si>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</si>
  <si>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</si>
  <si>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</si>
  <si>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</si>
  <si>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</si>
  <si>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</si>
  <si>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</si>
  <si>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</si>
  <si>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</si>
  <si>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</si>
  <si>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</si>
  <si>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</si>
  <si>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</si>
  <si>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</si>
  <si>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</si>
  <si>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</si>
  <si>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</si>
  <si>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</si>
  <si>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</si>
  <si>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</si>
  <si>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</si>
  <si>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</si>
  <si>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</si>
  <si>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</si>
  <si>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</si>
  <si>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</si>
  <si>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</si>
  <si>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</si>
  <si>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</si>
  <si>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</si>
  <si>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</si>
  <si>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</si>
  <si>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</si>
  <si>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</si>
  <si>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</si>
  <si>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</si>
  <si>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</si>
  <si>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</si>
  <si>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</si>
  <si>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</si>
  <si>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</si>
  <si>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</si>
  <si>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</si>
  <si>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</si>
  <si>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</si>
  <si>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</si>
  <si>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</si>
  <si>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</si>
  <si>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</si>
  <si>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</si>
  <si>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</si>
  <si>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</si>
  <si>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</si>
  <si>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</si>
  <si>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</si>
  <si>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</si>
  <si>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</si>
  <si>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</si>
  <si>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</si>
  <si>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</si>
  <si>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</si>
  <si>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</si>
  <si>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</si>
  <si>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</si>
  <si>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</si>
  <si>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</si>
  <si>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</si>
  <si>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</si>
  <si>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</si>
  <si>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</si>
  <si>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</si>
  <si>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</si>
  <si>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</si>
  <si>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</si>
  <si>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</si>
  <si>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</si>
  <si>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</si>
  <si>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</si>
  <si>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</si>
  <si>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</si>
  <si>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</si>
  <si>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</si>
  <si>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</si>
  <si>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</si>
  <si>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</si>
  <si>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</si>
  <si>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</si>
  <si>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</si>
  <si>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</si>
  <si>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</si>
  <si>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</si>
  <si>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</si>
  <si>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</si>
  <si>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</si>
  <si>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</si>
  <si>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</si>
  <si>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</si>
  <si>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</si>
  <si>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</si>
  <si>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</si>
  <si>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</si>
  <si>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</si>
  <si>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</si>
  <si>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</si>
  <si>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</si>
  <si>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</si>
  <si>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</si>
  <si>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</si>
  <si>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</si>
  <si>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</si>
  <si>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</si>
  <si>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</si>
  <si>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</si>
  <si>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</si>
  <si>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</si>
  <si>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</si>
  <si>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</si>
  <si>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</si>
  <si>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</si>
  <si>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</si>
  <si>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</si>
  <si>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</si>
  <si>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</si>
  <si>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</si>
  <si>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</si>
  <si>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</si>
  <si>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</si>
  <si>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</si>
  <si>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</si>
  <si>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</si>
  <si>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</si>
  <si>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</si>
  <si>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</si>
  <si>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</si>
  <si>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</si>
  <si>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</si>
  <si>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</si>
  <si>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</si>
  <si>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</si>
  <si>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</si>
  <si>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</si>
  <si>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</si>
  <si>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</si>
  <si>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</si>
  <si>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</si>
  <si>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</si>
  <si>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</si>
  <si>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</si>
  <si>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</si>
  <si>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</si>
  <si>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</si>
  <si>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</si>
  <si>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</si>
  <si>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</si>
  <si>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</si>
  <si>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</si>
  <si>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</si>
  <si>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</si>
  <si>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</si>
  <si>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</si>
  <si>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</si>
  <si>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</si>
  <si>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</si>
  <si>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</si>
  <si>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</si>
  <si>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</si>
  <si>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</si>
  <si>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</si>
  <si>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</si>
  <si>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</si>
  <si>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</si>
  <si>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</si>
  <si>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</si>
  <si>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</si>
  <si>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</si>
  <si>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</si>
  <si>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</si>
  <si>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</si>
  <si>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</si>
  <si>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</si>
  <si>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</si>
  <si>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</si>
  <si>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</si>
  <si>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</si>
  <si>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</si>
  <si>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</si>
  <si>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</si>
  <si>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</si>
  <si>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</si>
  <si>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</si>
  <si>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</si>
  <si>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</si>
  <si>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</si>
  <si>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</si>
  <si>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</si>
  <si>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</si>
  <si>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</si>
  <si>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</si>
  <si>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</si>
  <si>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</si>
  <si>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</si>
  <si>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</si>
  <si>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</si>
  <si>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</si>
  <si>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</si>
  <si>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</si>
  <si>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</si>
  <si>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</si>
  <si>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</si>
  <si>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</si>
  <si>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</si>
  <si>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</si>
  <si>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</si>
  <si>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</si>
  <si>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</si>
  <si>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</si>
  <si>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</si>
  <si>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</si>
  <si>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</si>
  <si>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</si>
  <si>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</si>
  <si>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</si>
  <si>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</si>
  <si>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</si>
  <si>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</si>
  <si>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</si>
  <si>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</si>
  <si>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</si>
  <si>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</si>
  <si>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</si>
  <si>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</si>
  <si>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</si>
  <si>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</si>
  <si>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</si>
  <si>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</si>
  <si>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</si>
  <si>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</si>
  <si>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</si>
  <si>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</si>
  <si>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</si>
  <si>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</si>
  <si>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</si>
  <si>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</si>
  <si>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</si>
  <si>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</si>
  <si>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</si>
  <si>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</si>
  <si>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</si>
  <si>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</si>
  <si>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</si>
  <si>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</si>
  <si>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</si>
  <si>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</si>
  <si>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</si>
  <si>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</si>
  <si>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</si>
  <si>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</si>
  <si>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</si>
  <si>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</si>
  <si>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</si>
  <si>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</si>
  <si>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</si>
  <si>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</si>
  <si>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</si>
  <si>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</si>
  <si>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</si>
  <si>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</si>
  <si>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</si>
  <si>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</si>
  <si>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</si>
  <si>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</si>
  <si>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</si>
  <si>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</si>
  <si>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</si>
  <si>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</si>
  <si>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</si>
  <si>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</si>
  <si>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</si>
  <si>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</si>
  <si>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</si>
  <si>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</si>
  <si>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</si>
  <si>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</si>
  <si>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</si>
  <si>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</si>
  <si>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</si>
  <si>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</si>
  <si>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</si>
  <si>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</si>
  <si>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</si>
  <si>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</si>
  <si>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</si>
  <si>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</si>
  <si>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</si>
  <si>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</si>
  <si>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</si>
  <si>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</si>
  <si>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</si>
  <si>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</si>
  <si>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</si>
  <si>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</si>
  <si>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</si>
  <si>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</si>
  <si>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</si>
  <si>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</si>
  <si>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</si>
  <si>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</si>
  <si>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</si>
  <si>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</si>
  <si>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</si>
  <si>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</si>
  <si>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</si>
  <si>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</si>
  <si>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</si>
  <si>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</si>
  <si>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</si>
  <si>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</si>
  <si>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</si>
  <si>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</si>
  <si>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</si>
  <si>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</si>
  <si>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</si>
  <si>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</si>
  <si>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</si>
  <si>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</si>
  <si>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</si>
  <si>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</si>
  <si>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</si>
  <si>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</si>
  <si>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</si>
  <si>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</si>
  <si>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</si>
  <si>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</si>
  <si>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</si>
  <si>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</si>
  <si>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</si>
  <si>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</si>
  <si>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</si>
  <si>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</si>
  <si>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</si>
  <si>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</si>
  <si>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</si>
  <si>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</si>
  <si>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</si>
  <si>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</si>
  <si>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</si>
  <si>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</si>
  <si>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</si>
  <si>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</si>
  <si>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</si>
  <si>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</si>
  <si>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</si>
  <si>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</si>
  <si>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</si>
  <si>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</si>
  <si>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</si>
  <si>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</si>
  <si>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</si>
  <si>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</si>
  <si>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</si>
  <si>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</si>
  <si>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</si>
  <si>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</si>
  <si>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</si>
  <si>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</si>
  <si>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</si>
  <si>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</si>
  <si>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</si>
  <si>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</si>
  <si>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</si>
  <si>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</si>
  <si>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</si>
  <si>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</si>
  <si>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</si>
  <si>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</si>
  <si>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</si>
  <si>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</si>
  <si>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</si>
  <si>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</si>
  <si>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</si>
  <si>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</si>
  <si>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</si>
  <si>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</si>
  <si>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</si>
  <si>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</si>
  <si>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</si>
  <si>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</si>
  <si>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</si>
  <si>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</si>
  <si>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</si>
  <si>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</si>
  <si>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</si>
  <si>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</si>
  <si>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</si>
  <si>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</si>
  <si>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</si>
  <si>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</si>
  <si>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</si>
  <si>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</si>
  <si>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</si>
  <si>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</si>
  <si>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</si>
  <si>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</si>
  <si>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</si>
  <si>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</si>
  <si>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</si>
  <si>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</si>
  <si>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</si>
  <si>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</si>
  <si>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</si>
  <si>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</si>
  <si>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</si>
  <si>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</si>
  <si>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</si>
  <si>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</si>
  <si>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</si>
  <si>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</si>
  <si>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</si>
  <si>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</si>
  <si>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</si>
  <si>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</si>
  <si>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</si>
  <si>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</si>
  <si>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</si>
  <si>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</si>
  <si>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</si>
  <si>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</si>
  <si>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</si>
  <si>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</si>
  <si>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</si>
  <si>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</si>
  <si>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</si>
  <si>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</si>
  <si>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</si>
  <si>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</si>
  <si>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</si>
  <si>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</si>
  <si>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</si>
  <si>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</si>
  <si>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</si>
  <si>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</si>
  <si>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</si>
  <si>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</si>
  <si>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</si>
  <si>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</si>
  <si>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</si>
  <si>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</si>
  <si>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</si>
  <si>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</si>
  <si>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</si>
  <si>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</si>
  <si>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</si>
  <si>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</si>
  <si>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</si>
  <si>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</si>
  <si>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</si>
  <si>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</si>
  <si>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</si>
  <si>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</si>
  <si>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</si>
  <si>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</si>
  <si>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</si>
  <si>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</si>
  <si>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</si>
  <si>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</si>
  <si>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</si>
  <si>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</si>
  <si>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</si>
  <si>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</si>
  <si>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</si>
  <si>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</si>
  <si>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</si>
  <si>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</si>
  <si>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</si>
  <si>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</si>
  <si>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</si>
  <si>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</si>
  <si>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</si>
  <si>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</si>
  <si>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</si>
  <si>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</si>
  <si>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</si>
  <si>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</si>
  <si>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</si>
  <si>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</si>
  <si>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</si>
  <si>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</si>
  <si>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</si>
  <si>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</si>
  <si>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</si>
  <si>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</si>
  <si>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</si>
  <si>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</si>
  <si>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</si>
  <si>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</si>
  <si>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</si>
  <si>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</si>
  <si>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</si>
  <si>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</si>
  <si>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</si>
  <si>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</si>
  <si>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</si>
  <si>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</si>
  <si>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</si>
  <si>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</si>
  <si>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</si>
  <si>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</si>
  <si>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</si>
  <si>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</si>
  <si>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</si>
  <si>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</si>
  <si>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</si>
  <si>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</si>
  <si>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</si>
  <si>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</si>
  <si>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</si>
  <si>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</si>
  <si>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</si>
  <si>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</si>
  <si>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</si>
  <si>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</si>
  <si>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</si>
  <si>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</si>
  <si>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</si>
  <si>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</si>
  <si>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</si>
  <si>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</si>
  <si>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</si>
  <si>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</si>
  <si>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</si>
  <si>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</si>
  <si>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</si>
  <si>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</si>
  <si>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</si>
  <si>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</si>
  <si>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</si>
  <si>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</si>
  <si>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</si>
  <si>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</si>
  <si>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</si>
  <si>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</si>
  <si>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</si>
  <si>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</si>
  <si>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</si>
  <si>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</si>
  <si>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</si>
  <si>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</si>
  <si>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</si>
  <si>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</si>
  <si>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</si>
  <si>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</si>
  <si>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</si>
  <si>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</si>
  <si>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</si>
  <si>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</si>
  <si>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</si>
  <si>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</si>
  <si>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</si>
  <si>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</si>
  <si>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</si>
  <si>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</si>
  <si>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</si>
  <si>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</si>
  <si>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</si>
  <si>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</si>
  <si>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</si>
  <si>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</si>
  <si>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</si>
  <si>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</si>
  <si>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</si>
  <si>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</si>
  <si>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</si>
  <si>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</si>
  <si>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</si>
  <si>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</si>
  <si>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</si>
  <si>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</si>
  <si>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</si>
  <si>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</si>
  <si>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</si>
  <si>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</si>
  <si>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</si>
  <si>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</si>
  <si>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</si>
  <si>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</si>
  <si>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</si>
  <si>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</si>
  <si>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</si>
  <si>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</si>
  <si>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</si>
  <si>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</si>
  <si>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</si>
  <si>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</si>
  <si>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</si>
  <si>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</si>
  <si>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</si>
  <si>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</si>
  <si>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</si>
  <si>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</si>
  <si>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</si>
  <si>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</si>
  <si>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</si>
  <si>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</si>
  <si>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</si>
  <si>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</si>
  <si>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</si>
  <si>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</si>
  <si>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</si>
  <si>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</si>
  <si>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</si>
  <si>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</si>
  <si>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</si>
  <si>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</si>
  <si>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</si>
  <si>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</si>
  <si>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</si>
  <si>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</si>
  <si>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</si>
  <si>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</si>
  <si>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</si>
  <si>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</si>
  <si>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</si>
  <si>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</si>
  <si>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</si>
  <si>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</si>
  <si>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</si>
  <si>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</si>
  <si>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</si>
  <si>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</si>
  <si>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</si>
  <si>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</si>
  <si>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</si>
  <si>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</si>
  <si>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</si>
  <si>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</si>
  <si>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</si>
  <si>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</si>
  <si>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</si>
  <si>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</si>
  <si>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</si>
  <si>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</si>
  <si>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</si>
  <si>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</si>
  <si>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</si>
  <si>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</si>
  <si>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</si>
  <si>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</si>
  <si>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</si>
  <si>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</si>
  <si>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</si>
  <si>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</si>
  <si>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</si>
  <si>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</si>
  <si>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</si>
  <si>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</si>
  <si>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</si>
  <si>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</si>
  <si>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</si>
  <si>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</si>
  <si>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</si>
  <si>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</si>
  <si>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</si>
  <si>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</si>
  <si>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</si>
  <si>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</si>
  <si>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</si>
  <si>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</si>
  <si>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</si>
  <si>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</si>
  <si>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</si>
  <si>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</si>
  <si>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</si>
  <si>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</si>
  <si>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</si>
  <si>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</si>
  <si>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</si>
  <si>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</si>
  <si>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</si>
  <si>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</si>
  <si>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</si>
  <si>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</si>
  <si>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</si>
  <si>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</si>
  <si>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</si>
  <si>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</si>
  <si>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</si>
  <si>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</si>
  <si>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</si>
  <si>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</si>
  <si>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</si>
  <si>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</si>
  <si>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</si>
  <si>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</si>
  <si>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</si>
  <si>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</si>
  <si>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</si>
  <si>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</si>
  <si>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</si>
  <si>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</si>
  <si>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</si>
  <si>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</si>
  <si>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</si>
  <si>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</si>
  <si>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</si>
  <si>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</si>
  <si>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</si>
  <si>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</si>
  <si>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</si>
  <si>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</si>
  <si>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</si>
  <si>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</si>
  <si>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</si>
  <si>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</si>
  <si>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</si>
  <si>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</si>
  <si>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</si>
  <si>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</si>
  <si>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</si>
  <si>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</si>
  <si>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</si>
  <si>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</si>
  <si>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</si>
  <si>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</si>
  <si>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</si>
  <si>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</si>
  <si>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</si>
  <si>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</si>
  <si>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</si>
  <si>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</si>
  <si>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</si>
  <si>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</si>
  <si>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</si>
  <si>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</si>
  <si>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</si>
  <si>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</si>
  <si>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</si>
  <si>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</si>
  <si>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</si>
  <si>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</si>
  <si>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</si>
  <si>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</si>
  <si>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</si>
  <si>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</si>
  <si>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</si>
  <si>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</si>
  <si>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</si>
  <si>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</si>
  <si>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</si>
  <si>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</si>
  <si>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</si>
  <si>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</si>
  <si>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</si>
  <si>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</si>
  <si>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</si>
  <si>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</si>
  <si>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</si>
  <si>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</si>
  <si>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</si>
  <si>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</si>
  <si>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</si>
  <si>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</si>
  <si>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</si>
  <si>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</si>
  <si>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</si>
  <si>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</si>
  <si>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</si>
  <si>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</si>
  <si>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</si>
  <si>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</si>
  <si>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</si>
  <si>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</si>
  <si>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</si>
  <si>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</si>
  <si>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</si>
  <si>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</si>
  <si>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</si>
  <si>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</si>
  <si>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</si>
  <si>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</si>
  <si>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</si>
  <si>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</si>
  <si>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</si>
  <si>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</si>
  <si>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</si>
  <si>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</si>
  <si>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</si>
  <si>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</si>
  <si>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</si>
  <si>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</si>
  <si>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</si>
  <si>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</si>
  <si>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</si>
  <si>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</si>
  <si>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</si>
  <si>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</si>
  <si>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</si>
  <si>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</si>
  <si>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</si>
  <si>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</si>
  <si>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</si>
  <si>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</si>
  <si>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</si>
  <si>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</si>
  <si>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</si>
  <si>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</si>
  <si>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</si>
  <si>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</si>
  <si>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</si>
  <si>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</si>
  <si>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</si>
  <si>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</si>
  <si>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</si>
  <si>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</si>
  <si>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</si>
  <si>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</si>
  <si>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</si>
  <si>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</si>
  <si>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</si>
  <si>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</si>
  <si>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</si>
  <si>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</si>
  <si>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</si>
  <si>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</si>
  <si>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</si>
  <si>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</si>
  <si>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</si>
  <si>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</si>
  <si>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</si>
  <si>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</si>
  <si>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</si>
  <si>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</si>
  <si>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</si>
  <si>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</si>
  <si>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</si>
  <si>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</si>
  <si>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</si>
  <si>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</si>
  <si>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</si>
  <si>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</si>
  <si>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</si>
  <si>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</si>
  <si>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</si>
  <si>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</si>
  <si>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</si>
  <si>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</si>
  <si>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</si>
  <si>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</si>
  <si>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</si>
  <si>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</si>
  <si>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</si>
  <si>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</si>
  <si>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</si>
  <si>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</si>
  <si>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</si>
  <si>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</si>
  <si>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</si>
  <si>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</si>
  <si>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</si>
  <si>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</si>
  <si>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</si>
  <si>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</si>
  <si>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</si>
  <si>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</si>
  <si>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</si>
  <si>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</si>
  <si>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</si>
  <si>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</si>
  <si>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</si>
  <si>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</si>
  <si>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</si>
  <si>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</si>
  <si>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</si>
  <si>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</si>
  <si>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</si>
  <si>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</si>
  <si>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</si>
  <si>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</si>
  <si>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</si>
  <si>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</si>
  <si>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</si>
  <si>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</si>
  <si>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</si>
  <si>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</si>
  <si>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</si>
  <si>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</si>
  <si>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</si>
  <si>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</si>
  <si>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</si>
  <si>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</si>
  <si>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</si>
  <si>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</si>
  <si>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</si>
  <si>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</si>
  <si>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</si>
  <si>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</si>
  <si>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</si>
  <si>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</si>
  <si>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</si>
  <si>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</si>
  <si>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</si>
  <si>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</si>
  <si>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</si>
  <si>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</si>
  <si>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</si>
  <si>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</si>
  <si>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</si>
  <si>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</si>
  <si>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</si>
  <si>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</si>
  <si>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</si>
  <si>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</si>
  <si>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</si>
  <si>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</si>
  <si>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</si>
  <si>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</si>
  <si>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</si>
  <si>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</si>
  <si>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</si>
  <si>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</si>
  <si>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</si>
  <si>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</si>
  <si>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</si>
  <si>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</si>
  <si>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</si>
  <si>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</si>
  <si>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</si>
  <si>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</si>
  <si>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</si>
  <si>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</si>
  <si>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</si>
  <si>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</si>
  <si>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</si>
  <si>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</si>
  <si>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</si>
  <si>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</si>
  <si>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</si>
  <si>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</si>
  <si>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</si>
  <si>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</si>
  <si>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</si>
  <si>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</si>
  <si>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</si>
  <si>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</si>
  <si>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</si>
  <si>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</si>
  <si>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</si>
  <si>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</si>
  <si>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</si>
  <si>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</si>
  <si>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</si>
  <si>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</si>
  <si>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</si>
  <si>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</si>
  <si>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</si>
  <si>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</si>
  <si>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</si>
  <si>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</si>
  <si>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</si>
  <si>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</si>
  <si>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</si>
  <si>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</si>
  <si>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</si>
  <si>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</si>
  <si>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</si>
  <si>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</si>
  <si>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</si>
  <si>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</si>
  <si>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</si>
  <si>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</si>
  <si>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</si>
  <si>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</si>
  <si>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</si>
  <si>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</si>
  <si>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</si>
  <si>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</si>
  <si>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</si>
  <si>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</si>
  <si>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</si>
  <si>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</si>
  <si>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</si>
  <si>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</si>
  <si>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</si>
  <si>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</si>
  <si>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</si>
  <si>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</si>
  <si>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</si>
  <si>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</si>
  <si>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</si>
  <si>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</si>
  <si>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</si>
  <si>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</si>
  <si>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</si>
  <si>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</si>
  <si>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</si>
  <si>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</si>
  <si>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</si>
  <si>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</si>
  <si>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</si>
  <si>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</si>
  <si>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</si>
  <si>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</si>
  <si>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</si>
  <si>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</si>
  <si>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</si>
  <si>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</si>
  <si>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</si>
  <si>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</si>
  <si>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</si>
  <si>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</si>
  <si>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</si>
  <si>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</si>
  <si>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</si>
  <si>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</si>
  <si>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</si>
  <si>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</si>
  <si>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</si>
  <si>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</si>
  <si>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</si>
  <si>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</si>
  <si>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</si>
  <si>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</si>
  <si>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</si>
  <si>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</si>
  <si>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</si>
  <si>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</si>
  <si>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</si>
  <si>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</si>
  <si>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</si>
  <si>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</si>
  <si>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</si>
  <si>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</si>
  <si>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</si>
  <si>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</si>
  <si>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</si>
  <si>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</si>
  <si>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</si>
  <si>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</si>
  <si>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</si>
  <si>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</si>
  <si>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</si>
  <si>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</si>
  <si>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</si>
  <si>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</si>
  <si>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</si>
  <si>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</si>
  <si>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</si>
  <si>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</si>
  <si>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</si>
  <si>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</si>
  <si>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</si>
  <si>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</si>
  <si>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</si>
  <si>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</si>
  <si>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</si>
  <si>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</si>
  <si>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</si>
  <si>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</si>
  <si>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</si>
  <si>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</si>
  <si>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</si>
  <si>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</si>
  <si>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</si>
  <si>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</si>
  <si>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</si>
  <si>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</si>
  <si>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</si>
  <si>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</si>
  <si>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</si>
  <si>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</si>
  <si>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</si>
  <si>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</si>
  <si>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</si>
  <si>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</si>
  <si>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</si>
  <si>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</si>
  <si>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</si>
  <si>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</si>
  <si>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</si>
  <si>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</si>
  <si>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</si>
  <si>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</si>
  <si>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</si>
  <si>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</si>
  <si>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</si>
  <si>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</si>
  <si>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</si>
  <si>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</si>
  <si>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</si>
  <si>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</si>
  <si>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</si>
  <si>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</si>
  <si>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</si>
  <si>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</si>
  <si>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</si>
  <si>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</si>
  <si>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</si>
  <si>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</si>
  <si>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</si>
  <si>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</si>
  <si>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</si>
  <si>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</si>
  <si>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</si>
  <si>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</si>
  <si>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</si>
  <si>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</si>
  <si>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</si>
  <si>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</si>
  <si>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</si>
  <si>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</si>
  <si>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</si>
  <si>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</si>
  <si>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</si>
  <si>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</si>
  <si>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</si>
  <si>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</si>
  <si>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</si>
  <si>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</si>
  <si>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</si>
  <si>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</si>
  <si>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</si>
  <si>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</si>
  <si>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</si>
  <si>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</si>
  <si>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</si>
  <si>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</si>
  <si>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</si>
  <si>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</si>
  <si>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</si>
  <si>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</si>
  <si>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</si>
  <si>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</si>
  <si>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</si>
  <si>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</si>
  <si>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</si>
  <si>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</si>
  <si>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</si>
  <si>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</si>
  <si>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</si>
  <si>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</si>
  <si>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</si>
  <si>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</si>
  <si>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</si>
  <si>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</si>
  <si>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</si>
  <si>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</si>
  <si>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</si>
  <si>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</si>
  <si>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</si>
  <si>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</si>
  <si>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g.pdf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</si>
</sst>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5"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20" xfId="0" applyFont="1" applyFill="1" applyBorder="1" applyAlignment="1"/>
    <xf numFmtId="0" fontId="41" fillId="0" borderId="21" xfId="0" applyFont="1" applyFill="1" applyBorder="1" applyAlignment="1"/>
    <xf numFmtId="0" fontId="41" fillId="48" borderId="0" xfId="0" applyFont="1" applyFill="1" applyBorder="1" applyAlignment="1"/>
    <xf numFmtId="0" fontId="41" fillId="48" borderId="23" xfId="0" applyFont="1" applyFill="1" applyBorder="1" applyAlignment="1"/>
    <xf numFmtId="0" fontId="41" fillId="0" borderId="0" xfId="0" applyFont="1" applyFill="1" applyBorder="1" applyAlignment="1"/>
    <xf numFmtId="0" fontId="41" fillId="0" borderId="23" xfId="0" applyFont="1" applyFill="1" applyBorder="1" applyAlignment="1"/>
    <xf numFmtId="0" fontId="41" fillId="48" borderId="25" xfId="0" applyFont="1" applyFill="1" applyBorder="1" applyAlignment="1"/>
    <xf numFmtId="0" fontId="41" fillId="48" borderId="26" xfId="0" applyFont="1" applyFill="1" applyBorder="1" applyAlignment="1"/>
    <xf numFmtId="0" fontId="54" fillId="0" borderId="22" xfId="0" applyFont="1" applyBorder="1" applyAlignment="1">
      <alignment horizontal="left"/>
    </xf>
    <xf numFmtId="0" fontId="54" fillId="48" borderId="22" xfId="0" applyFont="1" applyFill="1" applyBorder="1" applyAlignment="1">
      <alignment horizontal="left"/>
    </xf>
    <xf numFmtId="0" fontId="54" fillId="48" borderId="24"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49" fillId="0" borderId="0" xfId="0" applyFont="1"/>
    <xf numFmtId="0" fontId="55" fillId="0" borderId="0" xfId="0" applyFont="1" applyAlignment="1">
      <alignment vertical="top"/>
    </xf>
    <xf numFmtId="0" fontId="56" fillId="0" borderId="0" xfId="0" applyFont="1" applyAlignment="1">
      <alignment vertical="top"/>
    </xf>
    <xf numFmtId="0" fontId="55" fillId="0" borderId="0" xfId="0" applyFont="1" applyAlignment="1">
      <alignment horizontal="right"/>
    </xf>
    <xf numFmtId="0" fontId="57" fillId="0" borderId="0" xfId="0" applyFont="1"/>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4" xfId="0" applyFont="1" applyBorder="1" applyAlignment="1">
      <alignment horizontal="center"/>
    </xf>
    <xf numFmtId="0" fontId="53" fillId="0" borderId="0" xfId="0" applyFont="1" applyAlignment="1">
      <alignment vertical="center"/>
    </xf>
    <xf numFmtId="0" fontId="53" fillId="0" borderId="0" xfId="0" applyFont="1" applyAlignment="1">
      <alignment horizontal="center"/>
    </xf>
    <xf numFmtId="1" fontId="53" fillId="0" borderId="0" xfId="0" applyNumberFormat="1" applyFont="1"/>
    <xf numFmtId="0" fontId="58" fillId="0" borderId="0" xfId="0" applyFont="1"/>
    <xf numFmtId="1" fontId="55" fillId="0" borderId="0" xfId="0" applyNumberFormat="1" applyFont="1" applyProtection="1">
      <protection locked="0"/>
    </xf>
    <xf numFmtId="0" fontId="53" fillId="0" borderId="0" xfId="44" applyFont="1" applyAlignment="1" applyProtection="1">
      <alignment horizontal="left"/>
    </xf>
    <xf numFmtId="0" fontId="55" fillId="0" borderId="0" xfId="0" applyFont="1" applyAlignment="1">
      <alignment horizontal="left"/>
    </xf>
    <xf numFmtId="0" fontId="53" fillId="0" borderId="0" xfId="44" applyFont="1" applyAlignment="1" applyProtection="1"/>
    <xf numFmtId="0" fontId="53" fillId="0" borderId="0" xfId="44" applyFont="1" applyProtection="1"/>
    <xf numFmtId="0" fontId="53" fillId="0" borderId="0" xfId="44" applyFont="1" applyFill="1" applyBorder="1" applyAlignment="1" applyProtection="1"/>
    <xf numFmtId="0" fontId="55" fillId="0" borderId="0" xfId="0" applyFont="1" applyProtection="1">
      <protection locked="0"/>
    </xf>
    <xf numFmtId="0" fontId="53" fillId="0" borderId="0" xfId="44" applyFont="1" applyFill="1" applyBorder="1" applyAlignment="1">
      <alignment horizontal="left"/>
    </xf>
    <xf numFmtId="0" fontId="59" fillId="0" borderId="0" xfId="0" applyFont="1"/>
    <xf numFmtId="0" fontId="55" fillId="0" borderId="0" xfId="0" applyFont="1" applyAlignment="1">
      <alignment horizontal="center" vertical="center"/>
    </xf>
    <xf numFmtId="0" fontId="53" fillId="0" borderId="0" xfId="44" applyFont="1" applyAlignment="1"/>
    <xf numFmtId="0" fontId="53" fillId="0" borderId="0" xfId="44" applyFont="1" applyBorder="1" applyAlignment="1"/>
    <xf numFmtId="0" fontId="53" fillId="0" borderId="4" xfId="44" applyFont="1" applyBorder="1" applyAlignment="1"/>
    <xf numFmtId="0" fontId="53" fillId="0" borderId="4" xfId="0" applyFont="1" applyBorder="1"/>
    <xf numFmtId="0" fontId="55" fillId="0" borderId="4" xfId="0" applyFont="1" applyBorder="1" applyAlignment="1">
      <alignment horizontal="center"/>
    </xf>
    <xf numFmtId="0" fontId="55" fillId="0" borderId="4" xfId="0" applyFont="1" applyBorder="1"/>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1" fontId="53" fillId="0" borderId="4" xfId="0" applyNumberFormat="1" applyFont="1" applyBorder="1" applyAlignment="1">
      <alignment horizontal="left"/>
    </xf>
    <xf numFmtId="0" fontId="0" fillId="0" borderId="0" xfId="0" applyAlignment="1"/>
    <xf numFmtId="0" fontId="61" fillId="47" borderId="27" xfId="0" applyFont="1" applyFill="1" applyBorder="1" applyAlignment="1" applyProtection="1">
      <alignment horizontal="right"/>
      <protection locked="0"/>
    </xf>
    <xf numFmtId="1" fontId="61" fillId="47" borderId="28" xfId="0" applyNumberFormat="1" applyFont="1" applyFill="1" applyBorder="1" applyAlignment="1">
      <alignment horizontal="right"/>
    </xf>
    <xf numFmtId="0" fontId="61" fillId="47" borderId="28" xfId="0" applyFont="1" applyFill="1" applyBorder="1" applyAlignment="1">
      <alignment horizontal="right"/>
    </xf>
    <xf numFmtId="0" fontId="61" fillId="47" borderId="29" xfId="0" applyFont="1" applyFill="1" applyBorder="1" applyAlignment="1">
      <alignment horizontal="right"/>
    </xf>
    <xf numFmtId="0" fontId="61" fillId="47" borderId="27" xfId="0" applyFont="1" applyFill="1" applyBorder="1" applyAlignment="1">
      <alignment horizontal="right"/>
    </xf>
    <xf numFmtId="0" fontId="55" fillId="0" borderId="0" xfId="0" applyFont="1" applyAlignment="1">
      <alignment horizontal="center"/>
    </xf>
    <xf numFmtId="0" fontId="6" fillId="0" borderId="0" xfId="0" applyFont="1" applyAlignment="1">
      <alignment horizontal="right"/>
    </xf>
    <xf numFmtId="164" fontId="62" fillId="0" borderId="0" xfId="0" applyNumberFormat="1" applyFont="1" applyAlignment="1">
      <alignment horizontal="right"/>
    </xf>
    <xf numFmtId="0" fontId="62" fillId="0" borderId="0" xfId="0" applyFont="1"/>
    <xf numFmtId="0" fontId="63" fillId="0" borderId="0" xfId="0" applyFont="1"/>
    <xf numFmtId="0" fontId="62" fillId="0" borderId="0" xfId="0" applyFont="1" applyAlignment="1">
      <alignment horizontal="justify" wrapText="1"/>
    </xf>
    <xf numFmtId="0" fontId="63" fillId="0" borderId="0" xfId="0" applyFont="1" applyAlignment="1">
      <alignment horizontal="left"/>
    </xf>
    <xf numFmtId="0" fontId="62" fillId="0" borderId="4" xfId="0" applyFont="1" applyBorder="1"/>
    <xf numFmtId="0" fontId="62" fillId="0" borderId="4" xfId="0" applyFont="1" applyBorder="1" applyAlignment="1">
      <alignment vertical="center"/>
    </xf>
    <xf numFmtId="0" fontId="63" fillId="0" borderId="16" xfId="0" applyFont="1" applyBorder="1"/>
    <xf numFmtId="0" fontId="49" fillId="0" borderId="0" xfId="0" applyFont="1" applyAlignment="1">
      <alignment horizontal="right"/>
    </xf>
    <xf numFmtId="0" fontId="49" fillId="0" borderId="0" xfId="0" applyFont="1" applyAlignment="1">
      <alignment horizontal="left"/>
    </xf>
    <xf numFmtId="0" fontId="49" fillId="0" borderId="0" xfId="0" applyFont="1" applyAlignment="1">
      <alignment horizontal="center"/>
    </xf>
    <xf numFmtId="0" fontId="41" fillId="0" borderId="26" xfId="0" applyFont="1" applyFill="1" applyBorder="1" applyAlignment="1">
      <alignment horizontal="right"/>
    </xf>
    <xf numFmtId="0" fontId="41" fillId="0" borderId="24" xfId="0" applyFont="1" applyFill="1" applyBorder="1" applyAlignment="1"/>
    <xf numFmtId="0" fontId="41" fillId="0" borderId="25" xfId="0" applyFont="1" applyFill="1" applyBorder="1" applyAlignment="1"/>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6" xfId="0" applyFont="1" applyBorder="1" applyAlignment="1">
      <alignment horizontal="right"/>
    </xf>
    <xf numFmtId="0" fontId="46" fillId="48" borderId="24" xfId="0" applyFont="1" applyFill="1" applyBorder="1" applyAlignment="1">
      <alignment horizontal="center"/>
    </xf>
    <xf numFmtId="0" fontId="46" fillId="48" borderId="25" xfId="0" applyFont="1" applyFill="1" applyBorder="1" applyAlignment="1">
      <alignment horizontal="center"/>
    </xf>
    <xf numFmtId="0" fontId="60" fillId="48" borderId="19" xfId="0" applyFont="1" applyFill="1" applyBorder="1" applyAlignment="1">
      <alignment horizontal="center" vertical="center" wrapText="1"/>
    </xf>
    <xf numFmtId="0" fontId="60" fillId="48" borderId="21" xfId="0" applyFont="1" applyFill="1" applyBorder="1" applyAlignment="1">
      <alignment horizontal="center" vertical="center" wrapText="1"/>
    </xf>
    <xf numFmtId="0" fontId="60" fillId="48" borderId="22" xfId="0" applyFont="1" applyFill="1" applyBorder="1" applyAlignment="1">
      <alignment horizontal="center" vertical="center" wrapText="1"/>
    </xf>
    <xf numFmtId="0" fontId="60" fillId="48" borderId="23" xfId="0" applyFont="1" applyFill="1" applyBorder="1" applyAlignment="1">
      <alignment horizontal="center" vertical="center" wrapText="1"/>
    </xf>
    <xf numFmtId="0" fontId="60" fillId="48" borderId="24" xfId="0" applyFont="1" applyFill="1" applyBorder="1" applyAlignment="1">
      <alignment horizontal="center" vertical="center" wrapText="1"/>
    </xf>
    <xf numFmtId="0" fontId="60" fillId="48" borderId="26" xfId="0" applyFont="1" applyFill="1" applyBorder="1" applyAlignment="1">
      <alignment horizontal="center" vertical="center" wrapText="1"/>
    </xf>
    <xf numFmtId="0" fontId="46" fillId="0" borderId="22" xfId="0" applyFont="1" applyFill="1" applyBorder="1" applyAlignment="1">
      <alignment horizontal="center"/>
    </xf>
    <xf numFmtId="0" fontId="46" fillId="0" borderId="0" xfId="0" applyFont="1" applyFill="1" applyBorder="1" applyAlignment="1">
      <alignment horizontal="center"/>
    </xf>
    <xf numFmtId="0" fontId="46" fillId="48" borderId="22" xfId="0" applyFont="1" applyFill="1" applyBorder="1" applyAlignment="1">
      <alignment horizontal="center"/>
    </xf>
    <xf numFmtId="0" fontId="46" fillId="48" borderId="0" xfId="0" applyFont="1" applyFill="1" applyBorder="1" applyAlignment="1">
      <alignment horizontal="center"/>
    </xf>
    <xf numFmtId="0" fontId="46" fillId="0" borderId="19" xfId="0" applyFont="1" applyFill="1" applyBorder="1" applyAlignment="1">
      <alignment horizontal="center"/>
    </xf>
    <xf numFmtId="0" fontId="46" fillId="0" borderId="20" xfId="0" applyFont="1" applyFill="1" applyBorder="1" applyAlignment="1">
      <alignment horizontal="center"/>
    </xf>
    <xf numFmtId="0" fontId="41" fillId="0" borderId="25" xfId="0" applyFont="1" applyBorder="1" applyAlignment="1">
      <alignment horizontal="right"/>
    </xf>
    <xf numFmtId="0" fontId="41" fillId="0" borderId="26" xfId="0" applyFont="1" applyBorder="1" applyAlignment="1">
      <alignment horizontal="right"/>
    </xf>
    <xf numFmtId="0" fontId="41" fillId="0" borderId="0" xfId="0" applyFont="1" applyFill="1" applyBorder="1" applyAlignment="1">
      <alignment horizontal="right"/>
    </xf>
    <xf numFmtId="0" fontId="41" fillId="0" borderId="23" xfId="0" applyFont="1" applyFill="1" applyBorder="1" applyAlignment="1">
      <alignment horizontal="right"/>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4" xfId="0" applyFont="1" applyFill="1" applyBorder="1" applyAlignment="1">
      <alignment horizontal="center" vertical="center"/>
    </xf>
    <xf numFmtId="0" fontId="50" fillId="47" borderId="26"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25" xfId="0" applyFont="1" applyFill="1" applyBorder="1" applyAlignment="1">
      <alignment horizontal="center" vertical="center"/>
    </xf>
    <xf numFmtId="0" fontId="41" fillId="0" borderId="20" xfId="44" applyFont="1" applyFill="1" applyBorder="1" applyAlignment="1" applyProtection="1">
      <alignment horizontal="right"/>
    </xf>
    <xf numFmtId="0" fontId="41" fillId="0" borderId="20" xfId="0" applyFont="1" applyBorder="1" applyAlignment="1">
      <alignment horizontal="right"/>
    </xf>
    <xf numFmtId="0" fontId="41" fillId="0" borderId="21" xfId="0" applyFont="1" applyBorder="1" applyAlignment="1">
      <alignment horizontal="right"/>
    </xf>
    <xf numFmtId="0" fontId="41" fillId="0" borderId="0" xfId="0" applyFont="1" applyBorder="1" applyAlignment="1">
      <alignment horizontal="right"/>
    </xf>
    <xf numFmtId="0" fontId="41" fillId="0" borderId="23" xfId="0" applyFont="1" applyBorder="1" applyAlignment="1">
      <alignment horizontal="right"/>
    </xf>
    <xf numFmtId="1" fontId="41" fillId="0" borderId="0" xfId="0" applyNumberFormat="1" applyFont="1" applyFill="1" applyBorder="1" applyAlignment="1">
      <alignment horizontal="right"/>
    </xf>
    <xf numFmtId="1" fontId="41" fillId="0" borderId="23" xfId="0" applyNumberFormat="1" applyFont="1" applyFill="1" applyBorder="1" applyAlignment="1">
      <alignment horizontal="right"/>
    </xf>
    <xf numFmtId="0" fontId="37" fillId="0" borderId="0" xfId="0" applyFont="1" applyAlignment="1">
      <alignment horizontal="right" vertical="center"/>
    </xf>
    <xf numFmtId="0" fontId="37"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3"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20" xfId="0" applyFont="1" applyFill="1" applyBorder="1" applyAlignment="1" applyProtection="1">
      <alignment horizontal="right"/>
      <protection locked="0"/>
    </xf>
    <xf numFmtId="0" fontId="41" fillId="0" borderId="21" xfId="0" applyFont="1" applyFill="1" applyBorder="1" applyAlignment="1" applyProtection="1">
      <alignment horizontal="right"/>
      <protection locked="0"/>
    </xf>
    <xf numFmtId="0" fontId="49" fillId="0" borderId="0" xfId="0" applyFont="1" applyAlignment="1">
      <alignment horizontal="left"/>
    </xf>
    <xf numFmtId="0" fontId="64" fillId="0" borderId="0" xfId="0" applyFont="1" applyAlignment="1">
      <alignment horizontal="center"/>
    </xf>
    <xf numFmtId="0" fontId="55" fillId="0" borderId="0" xfId="0" applyFont="1" applyAlignment="1">
      <alignment horizontal="right" wrapText="1"/>
    </xf>
    <xf numFmtId="1" fontId="55" fillId="0" borderId="0" xfId="0" applyNumberFormat="1" applyFont="1" applyAlignment="1">
      <alignment horizontal="center"/>
    </xf>
    <xf numFmtId="0" fontId="55" fillId="0" borderId="0" xfId="0" applyFont="1" applyAlignment="1">
      <alignment horizontal="right"/>
    </xf>
    <xf numFmtId="164" fontId="55" fillId="0" borderId="0" xfId="0" applyNumberFormat="1" applyFont="1" applyAlignment="1">
      <alignment horizontal="right"/>
    </xf>
    <xf numFmtId="0" fontId="55" fillId="0" borderId="0" xfId="0" applyFont="1" applyAlignment="1">
      <alignment horizontal="justify" vertical="top" wrapText="1"/>
    </xf>
    <xf numFmtId="0" fontId="53" fillId="0" borderId="5" xfId="0" applyFont="1" applyBorder="1" applyAlignment="1">
      <alignment horizontal="left"/>
    </xf>
    <xf numFmtId="1" fontId="53" fillId="0" borderId="4" xfId="0" applyNumberFormat="1" applyFont="1" applyBorder="1" applyAlignment="1">
      <alignment horizontal="left"/>
    </xf>
    <xf numFmtId="0" fontId="53" fillId="0" borderId="4" xfId="0" applyFont="1" applyBorder="1" applyAlignment="1">
      <alignment horizontal="left"/>
    </xf>
    <xf numFmtId="0" fontId="55" fillId="0" borderId="0" xfId="0" applyFont="1" applyAlignment="1">
      <alignment horizontal="center"/>
    </xf>
    <xf numFmtId="0" fontId="49" fillId="0" borderId="16" xfId="0" applyFont="1" applyBorder="1" applyAlignment="1">
      <alignment horizontal="left"/>
    </xf>
    <xf numFmtId="0" fontId="53" fillId="0" borderId="5" xfId="0" applyFont="1" applyBorder="1" applyAlignment="1">
      <alignment horizontal="left" vertical="top"/>
    </xf>
    <xf numFmtId="14" fontId="53" fillId="0" borderId="4" xfId="0" applyNumberFormat="1" applyFont="1" applyBorder="1" applyAlignment="1">
      <alignment horizontal="left"/>
    </xf>
    <xf numFmtId="14" fontId="53" fillId="0" borderId="5" xfId="0" applyNumberFormat="1" applyFont="1" applyBorder="1" applyAlignment="1">
      <alignment horizontal="left"/>
    </xf>
    <xf numFmtId="0" fontId="55" fillId="0" borderId="17" xfId="0" applyFont="1" applyBorder="1" applyAlignment="1">
      <alignment horizontal="left"/>
    </xf>
    <xf numFmtId="0" fontId="55" fillId="0" borderId="5" xfId="0" applyFont="1" applyBorder="1" applyAlignment="1">
      <alignment horizontal="left"/>
    </xf>
    <xf numFmtId="0" fontId="55" fillId="0" borderId="18" xfId="0" applyFont="1" applyBorder="1" applyAlignment="1">
      <alignment horizontal="left"/>
    </xf>
    <xf numFmtId="0" fontId="53" fillId="0" borderId="0" xfId="44" applyFont="1" applyFill="1" applyBorder="1" applyAlignment="1" applyProtection="1">
      <alignment horizontal="left"/>
    </xf>
    <xf numFmtId="0" fontId="53" fillId="0" borderId="0" xfId="44" applyFont="1" applyAlignment="1" applyProtection="1">
      <alignment horizontal="left"/>
    </xf>
    <xf numFmtId="0" fontId="53" fillId="0" borderId="0" xfId="44" applyFont="1" applyAlignment="1">
      <alignment horizontal="left"/>
    </xf>
    <xf numFmtId="0" fontId="53" fillId="0" borderId="4" xfId="0" applyFont="1" applyBorder="1" applyAlignment="1">
      <alignment horizontal="left" vertical="top"/>
    </xf>
    <xf numFmtId="0" fontId="49" fillId="0" borderId="0" xfId="0" applyFont="1" applyAlignment="1">
      <alignment horizontal="right"/>
    </xf>
    <xf numFmtId="0" fontId="55" fillId="0" borderId="0" xfId="0" applyFont="1" applyAlignment="1" applyProtection="1">
      <alignment horizontal="right"/>
      <protection locked="0"/>
    </xf>
    <xf numFmtId="0" fontId="55" fillId="0" borderId="0" xfId="0" applyFont="1" applyAlignment="1">
      <alignment horizontal="left" vertical="top" wrapText="1"/>
    </xf>
    <xf numFmtId="1" fontId="53" fillId="0" borderId="5" xfId="0" applyNumberFormat="1" applyFont="1" applyBorder="1" applyAlignment="1">
      <alignment horizontal="left"/>
    </xf>
    <xf numFmtId="0" fontId="53" fillId="0" borderId="0" xfId="44" applyFont="1" applyFill="1" applyAlignment="1" applyProtection="1">
      <alignment horizontal="left"/>
    </xf>
    <xf numFmtId="0" fontId="53" fillId="0" borderId="0" xfId="44" applyFont="1" applyBorder="1" applyAlignment="1" applyProtection="1">
      <alignment horizontal="left"/>
    </xf>
    <xf numFmtId="1" fontId="53" fillId="0" borderId="0" xfId="44" applyNumberFormat="1" applyFont="1" applyBorder="1" applyAlignment="1" applyProtection="1">
      <alignment horizontal="left"/>
    </xf>
    <xf numFmtId="0" fontId="53" fillId="0" borderId="0" xfId="0" applyFont="1" applyAlignment="1">
      <alignment horizontal="center"/>
    </xf>
    <xf numFmtId="0" fontId="53" fillId="0" borderId="0" xfId="0" applyFont="1" applyAlignment="1">
      <alignment horizontal="left"/>
    </xf>
    <xf numFmtId="0" fontId="49" fillId="0" borderId="0" xfId="0" applyFont="1" applyAlignment="1">
      <alignment horizontal="center"/>
    </xf>
    <xf numFmtId="164" fontId="62" fillId="0" borderId="0" xfId="0" applyNumberFormat="1" applyFont="1" applyAlignment="1">
      <alignment horizontal="right"/>
    </xf>
    <xf numFmtId="0" fontId="63" fillId="0" borderId="0" xfId="0" applyFont="1" applyAlignment="1">
      <alignment horizontal="left"/>
    </xf>
    <xf numFmtId="0" fontId="62" fillId="0" borderId="0" xfId="0" applyFont="1" applyAlignment="1">
      <alignment horizontal="justify" wrapText="1"/>
    </xf>
    <xf numFmtId="0" fontId="62" fillId="0" borderId="0" xfId="0" applyFont="1" applyAlignment="1">
      <alignment horizontal="left" vertical="top" wrapText="1"/>
    </xf>
    <xf numFmtId="0" fontId="62" fillId="0" borderId="0" xfId="0" applyFont="1" applyAlignment="1">
      <alignment horizontal="right" wrapText="1"/>
    </xf>
    <xf numFmtId="0" fontId="6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92">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95250</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25</xdr:row>
          <xdr:rowOff>104775</xdr:rowOff>
        </xdr:from>
        <xdr:to>
          <xdr:col>84</xdr:col>
          <xdr:colOff>495300</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I2" activePane="bottomRight" state="frozenSplit"/>
      <selection activeCell="B1" sqref="B1"/>
      <selection pane="topRight" activeCell="C1" sqref="C1"/>
      <selection pane="bottomLeft" activeCell="B21" sqref="B21"/>
      <selection pane="bottomRight" activeCell="N2" sqref="N2"/>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27" priority="15">
      <formula>IF(OR(LEN(L2)=18,LEN(L2)=0), FALSE, TRUE)</formula>
    </cfRule>
  </conditionalFormatting>
  <conditionalFormatting sqref="C2:C2000">
    <cfRule type="expression" dxfId="26" priority="14">
      <formula>IF(OR(LEN(C2)=12,LEN(C2)=0), FALSE, TRUE)</formula>
    </cfRule>
  </conditionalFormatting>
  <conditionalFormatting sqref="I2:I2000">
    <cfRule type="expression" dxfId="25" priority="7">
      <formula>IF(OR(LEN(I2)=4,LEN(I2)=0), FALSE, TRUE)</formula>
    </cfRule>
  </conditionalFormatting>
  <conditionalFormatting sqref="N2:N2000">
    <cfRule type="expression" dxfId="24" priority="13">
      <formula>IF(OR(LEN(N2)=1,LEN(N2)=0), FALSE, TRUE)</formula>
    </cfRule>
    <cfRule type="expression" dxfId="14" priority="1">
      <formula>IF(OR(N2="F",N2="M",N2=""),FALSE,TRUE)</formula>
    </cfRule>
  </conditionalFormatting>
  <conditionalFormatting sqref="X1:X1048576">
    <cfRule type="expression" dxfId="23" priority="6">
      <formula>AND($BB1="",$X1&lt;&gt;"")</formula>
    </cfRule>
    <cfRule type="expression" dxfId="22" priority="9">
      <formula>$BB1=4</formula>
    </cfRule>
    <cfRule type="expression" dxfId="21" priority="10">
      <formula>$BB1=2</formula>
    </cfRule>
    <cfRule type="expression" dxfId="20" priority="11">
      <formula>$BB1=3</formula>
    </cfRule>
    <cfRule type="expression" dxfId="19" priority="12">
      <formula>$BB1=5</formula>
    </cfRule>
  </conditionalFormatting>
  <conditionalFormatting sqref="B1:AT1048576">
    <cfRule type="expression" dxfId="18" priority="16">
      <formula>MOD(IF($B1="","",$B1),2)=0</formula>
    </cfRule>
  </conditionalFormatting>
  <conditionalFormatting sqref="U2:V2000">
    <cfRule type="expression" dxfId="17" priority="5">
      <formula>AND(NOT(ISNUMBER(U2)), U2&lt;&gt;"")</formula>
    </cfRule>
  </conditionalFormatting>
  <conditionalFormatting sqref="E2:E2000">
    <cfRule type="expression" dxfId="16" priority="3">
      <formula>IF(OR(LEN(E2)&lt;28,LEN(E2)=0), FALSE, TRUE)</formula>
    </cfRule>
  </conditionalFormatting>
  <conditionalFormatting sqref="M2:M2000">
    <cfRule type="expression" dxfId="15"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5" sqref="A15"/>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50" t="str">
        <f>"REPRESENTACIÓN ESTATAL EN "&amp;UPPER(ESTADO)&amp;", CADER "&amp;UPPER(CADER)</f>
        <v>REPRESENTACIÓN ESTATAL EN NUEVO LEÓN, CADER LINARES</v>
      </c>
      <c r="I1" s="250"/>
      <c r="J1" s="250"/>
      <c r="K1" s="250"/>
      <c r="L1" s="250"/>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10486</v>
      </c>
      <c r="AX1" s="86" t="s">
        <v>1</v>
      </c>
    </row>
    <row r="2" spans="1:53" ht="14.25" customHeight="1" x14ac:dyDescent="0.25">
      <c r="B2" s="105"/>
      <c r="C2" s="105"/>
      <c r="D2" s="107"/>
      <c r="E2" s="105"/>
      <c r="F2" s="108"/>
      <c r="G2" s="108"/>
      <c r="H2" s="262" t="str">
        <f>"DISTRITO DEL DESARROLLO RURAL NUMERO "&amp;CLAVE_DISTRITO&amp;", "&amp;DISTRITO</f>
        <v>DISTRITO DEL DESARROLLO RURAL NUMERO 102, MONTEMORELOS</v>
      </c>
      <c r="I2" s="262"/>
      <c r="J2" s="262"/>
      <c r="K2" s="262"/>
      <c r="L2" s="26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50" t="str">
        <f ca="1">CADER&amp;", "&amp;ESTADO&amp;" A "&amp;REINSCRIPCION!AL13&amp;" DE "&amp;UPPER(REINSCRIPCION!AL14)&amp;" DE "&amp;REINSCRIPCION!AL15</f>
        <v>LINARES, NUEVO LEÓN A 29 DE SEPTIEMBRE DE 2025</v>
      </c>
      <c r="G3" s="250"/>
      <c r="H3" s="250"/>
      <c r="I3" s="250"/>
      <c r="J3" s="250"/>
      <c r="K3" s="250"/>
      <c r="L3" s="25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50"/>
      <c r="E4" s="250"/>
      <c r="F4" s="250"/>
      <c r="G4" s="250"/>
      <c r="H4" s="250"/>
      <c r="I4" s="250"/>
      <c r="J4" s="250"/>
      <c r="K4" s="250"/>
      <c r="L4" s="25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51" t="s">
        <v>10564</v>
      </c>
      <c r="C5" s="251"/>
      <c r="D5" s="251"/>
      <c r="E5" s="251"/>
      <c r="F5" s="251"/>
      <c r="G5" s="251"/>
      <c r="H5" s="251"/>
      <c r="I5" s="251"/>
      <c r="J5" s="251"/>
      <c r="K5" s="251"/>
      <c r="L5" s="251"/>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51" t="s">
        <v>10565</v>
      </c>
      <c r="C6" s="251"/>
      <c r="D6" s="251"/>
      <c r="E6" s="251"/>
      <c r="F6" s="251"/>
      <c r="G6" s="251"/>
      <c r="H6" s="251"/>
      <c r="I6" s="251"/>
      <c r="J6" s="251"/>
      <c r="K6" s="251"/>
      <c r="L6" s="251"/>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51" t="s">
        <v>10566</v>
      </c>
      <c r="C7" s="251"/>
      <c r="D7" s="251"/>
      <c r="E7" s="251"/>
      <c r="F7" s="251"/>
      <c r="G7" s="251"/>
      <c r="H7" s="251"/>
      <c r="I7" s="251"/>
      <c r="J7" s="251"/>
      <c r="K7" s="251"/>
      <c r="L7" s="251"/>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52" t="s">
        <v>10567</v>
      </c>
      <c r="C11" s="252"/>
      <c r="D11" s="252"/>
      <c r="E11" s="252"/>
      <c r="F11" s="252"/>
      <c r="G11" s="252"/>
      <c r="H11" s="252"/>
      <c r="I11" s="252"/>
      <c r="J11" s="252"/>
      <c r="K11" s="252"/>
      <c r="L11" s="252"/>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52"/>
      <c r="C12" s="252"/>
      <c r="D12" s="252"/>
      <c r="E12" s="252"/>
      <c r="F12" s="252"/>
      <c r="G12" s="252"/>
      <c r="H12" s="252"/>
      <c r="I12" s="252"/>
      <c r="J12" s="252"/>
      <c r="K12" s="252"/>
      <c r="L12" s="252"/>
      <c r="AM12" s="93" t="s">
        <v>10485</v>
      </c>
      <c r="AN12" s="86" t="str">
        <f>LEFT(PATH,LEN(PATH)-21)&amp;"Scripts\mapa.pyw"</f>
        <v>C:\Users\Cader Linares\Documents\Programas\python\energia-main\Scripts\mapa.pyw</v>
      </c>
      <c r="AV12" s="86" t="s">
        <v>10497</v>
      </c>
      <c r="AW12" s="86">
        <v>11</v>
      </c>
      <c r="AX12" s="86" t="s">
        <v>10497</v>
      </c>
    </row>
    <row r="13" spans="1:53" x14ac:dyDescent="0.25">
      <c r="B13" s="252"/>
      <c r="C13" s="252"/>
      <c r="D13" s="252"/>
      <c r="E13" s="252"/>
      <c r="F13" s="252"/>
      <c r="G13" s="252"/>
      <c r="H13" s="252"/>
      <c r="I13" s="252"/>
      <c r="J13" s="252"/>
      <c r="K13" s="252"/>
      <c r="L13" s="252"/>
      <c r="AM13" s="86" t="s">
        <v>10429</v>
      </c>
      <c r="AN13" s="86" t="str">
        <f>IFERROR(IF(FIND("Exp",INDEX,1)=1,EXPEDIENTE,EXPEDIENTE),IF(LEN(CARPETA)=1,"000"&amp;CARPETA,IF(LEN(CARPETA)=2,"00"&amp;CARPETA,IF(LEN(CARPETA)=3,"0"&amp;CARPETA,CARPETA)))&amp;INDEX)</f>
        <v>g.pdf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63" t="s">
        <v>157</v>
      </c>
      <c r="D20" s="263"/>
      <c r="E20" s="263"/>
      <c r="F20" s="264"/>
      <c r="G20" s="119"/>
      <c r="H20" s="119"/>
      <c r="I20" s="196" t="s">
        <v>10594</v>
      </c>
      <c r="J20" s="243" t="str">
        <f>IFERROR(HYPERLINK("#"&amp;"DATOS!aQ"&amp;MATCH(VALUE(CARPETA),DATOS!B:B,0),IF(I20="","",IFERROR(INDEX(DATOS!S:S,MATCH(IF(O4="SI",VALUE(C21),VALUE(REPORTE!C22)),DATOS!BY:BY,0),1),""))),"")</f>
        <v/>
      </c>
      <c r="K20" s="244"/>
      <c r="L20" s="245"/>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48" t="str">
        <f>IFERROR(IF(IF(P76="","",IF(P77="",1,""))=1,INDEX(DATOS!C:C,MATCH(REPORTE!C20,DATOS!J:J,0),1),""),"")</f>
        <v/>
      </c>
      <c r="D21" s="248"/>
      <c r="E21" s="248"/>
      <c r="F21" s="249"/>
      <c r="G21" s="119"/>
      <c r="H21" s="119"/>
      <c r="I21" s="194" t="s">
        <v>10574</v>
      </c>
      <c r="J21" s="246" t="str">
        <f>IFERROR(HYPERLINK("#"&amp;"DATOS!aQ"&amp;MATCH(VALUE(CARPETA),DATOS!B:B,0),IF(I20="","",IFERROR(INDEX(DATOS!W:W,MATCH(IF(O4="SI",VALUE(C21),VALUE(REPORTE!C22)),DATOS!BY:BY,0),1),""))),"")</f>
        <v/>
      </c>
      <c r="K21" s="246"/>
      <c r="L21" s="247"/>
      <c r="M21" s="98"/>
      <c r="AV21" s="86" t="s">
        <v>10506</v>
      </c>
      <c r="AW21" s="86">
        <v>20</v>
      </c>
      <c r="AX21" s="96" t="s">
        <v>10506</v>
      </c>
    </row>
    <row r="22" spans="2:50" x14ac:dyDescent="0.25">
      <c r="B22" s="194" t="str">
        <f>IF(C20="","",IF(N19=0,"RPU:",""))</f>
        <v/>
      </c>
      <c r="C22" s="255" t="s">
        <v>157</v>
      </c>
      <c r="D22" s="255"/>
      <c r="E22" s="255"/>
      <c r="F22" s="256"/>
      <c r="G22" s="121"/>
      <c r="H22" s="119"/>
      <c r="I22" s="194" t="s">
        <v>10575</v>
      </c>
      <c r="J22" s="246" t="str">
        <f>IF(I22="","",IFERROR(CONCATENATE(INDEX(DATOS!V:V,MATCH(IF(O4="SI",VALUE(C21),VALUE(REPORTE!C22)),DATOS!BY:BY,0),1)," HA"),""))</f>
        <v/>
      </c>
      <c r="K22" s="246"/>
      <c r="L22" s="247"/>
      <c r="M22" s="98"/>
      <c r="AV22" s="86" t="s">
        <v>10507</v>
      </c>
      <c r="AW22" s="86">
        <v>21</v>
      </c>
      <c r="AX22" s="96" t="s">
        <v>10507</v>
      </c>
    </row>
    <row r="23" spans="2:50" ht="15" customHeight="1" x14ac:dyDescent="0.25">
      <c r="B23" s="194" t="s">
        <v>10563</v>
      </c>
      <c r="C23" s="233" t="str">
        <f>IF(I22="","",IFERROR(INDEX(DATOS!E:E,MATCH(IF(O4="SI",VALUE(C21),VALUE(REPORTE!C22)),DATOS!BY:BY,0),1),""))</f>
        <v/>
      </c>
      <c r="D23" s="233"/>
      <c r="E23" s="233"/>
      <c r="F23" s="234"/>
      <c r="G23" s="119"/>
      <c r="H23" s="119"/>
      <c r="I23" s="194" t="s">
        <v>10593</v>
      </c>
      <c r="J23" s="246" t="str">
        <f>IF(I22="","",IFERROR(CONCATENATE(INDEX(DATOS!Y:Y,MATCH(IF(O4="SI",VALUE(C21),VALUE(REPORTE!C22)),DATOS!BY:BY,0),1)," HP"),""))</f>
        <v/>
      </c>
      <c r="K23" s="246"/>
      <c r="L23" s="247"/>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1" t="str">
        <f>IFERROR(IF(N19=0,IF(AH2="si",DATOS!DF2,""),DATOS!DF2),"")</f>
        <v/>
      </c>
      <c r="K24" s="231"/>
      <c r="L24" s="232"/>
      <c r="M24" s="98"/>
      <c r="AV24" s="86" t="s">
        <v>10509</v>
      </c>
      <c r="AW24" s="86">
        <v>23</v>
      </c>
      <c r="AX24" s="86" t="s">
        <v>10509</v>
      </c>
    </row>
    <row r="25" spans="2:50" x14ac:dyDescent="0.25">
      <c r="B25" s="259"/>
      <c r="C25" s="25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5" t="s">
        <v>1</v>
      </c>
      <c r="C28" s="235"/>
      <c r="D28" s="241" t="s">
        <v>10577</v>
      </c>
      <c r="E28" s="241"/>
      <c r="F28" s="241"/>
      <c r="G28" s="241"/>
      <c r="H28" s="241"/>
      <c r="I28" s="241"/>
      <c r="J28" s="241"/>
      <c r="K28" s="237" t="s">
        <v>10578</v>
      </c>
      <c r="L28" s="238"/>
      <c r="M28" s="98"/>
      <c r="AV28" s="86" t="s">
        <v>10513</v>
      </c>
      <c r="AW28" s="86">
        <v>27</v>
      </c>
      <c r="AX28" s="86" t="s">
        <v>10513</v>
      </c>
    </row>
    <row r="29" spans="2:50" ht="15" customHeight="1" x14ac:dyDescent="0.25">
      <c r="B29" s="236"/>
      <c r="C29" s="236"/>
      <c r="D29" s="242"/>
      <c r="E29" s="242"/>
      <c r="F29" s="242"/>
      <c r="G29" s="242"/>
      <c r="H29" s="242"/>
      <c r="I29" s="242"/>
      <c r="J29" s="242"/>
      <c r="K29" s="239"/>
      <c r="L29" s="240"/>
      <c r="M29" s="98"/>
      <c r="AV29" s="86" t="s">
        <v>10514</v>
      </c>
      <c r="AW29" s="86">
        <v>28</v>
      </c>
      <c r="AX29" s="86" t="s">
        <v>10514</v>
      </c>
    </row>
    <row r="30" spans="2:50" ht="15" customHeight="1" x14ac:dyDescent="0.25">
      <c r="B30" s="229" t="str">
        <f>IFERROR(HYPERLINK("#"&amp;"DATOS!aQ"&amp;MATCH(VALUE(CARPETA),DATOS!B:B,0),IF(B65="(  ●  )","OK",B65)),"")</f>
        <v/>
      </c>
      <c r="C30" s="230"/>
      <c r="D30" s="142" t="s">
        <v>10579</v>
      </c>
      <c r="E30" s="134"/>
      <c r="F30" s="134"/>
      <c r="G30" s="134"/>
      <c r="H30" s="134"/>
      <c r="I30" s="134"/>
      <c r="J30" s="135"/>
      <c r="K30" s="219" t="str">
        <f>IF(IF(I21="","",IFERROR(INDEX(DATOS!AS:AS,MATCH(IF(O4="SI",VALUE(C21),VALUE(REPORTE!C22)),DATOS!BY:BY,0),1),""))=0,"",IF(I21="","",IFERROR(INDEX(DATOS!AS:AS,MATCH(IF(O4="SI",VALUE(C21),VALUE(REPORTE!C22)),DATOS!BY:BY,0),1),"")))</f>
        <v/>
      </c>
      <c r="L30" s="220"/>
      <c r="M30" s="98"/>
      <c r="AM30" s="86" t="s">
        <v>10432</v>
      </c>
      <c r="AN30" s="86" t="s">
        <v>10433</v>
      </c>
      <c r="AO30" s="104">
        <f>IFERROR(IF(IFERROR(FIND("x",ERROR,1),FIND("X",ERROR,1))=1,1,1),"")</f>
        <v>1</v>
      </c>
      <c r="AV30" s="86" t="s">
        <v>10515</v>
      </c>
      <c r="AW30" s="86">
        <v>29</v>
      </c>
      <c r="AX30" s="86" t="s">
        <v>10515</v>
      </c>
    </row>
    <row r="31" spans="2:50" ht="15" customHeight="1" x14ac:dyDescent="0.25">
      <c r="B31" s="227" t="str">
        <f>IFERROR(HYPERLINK("#"&amp;"DATOS!aQ"&amp;MATCH(VALUE(CARPETA),DATOS!B:B,0),IF(G65="(  ●  )","OK",G65)),"")</f>
        <v/>
      </c>
      <c r="C31" s="228"/>
      <c r="D31" s="143" t="s">
        <v>10580</v>
      </c>
      <c r="E31" s="136"/>
      <c r="F31" s="136"/>
      <c r="G31" s="136"/>
      <c r="H31" s="136"/>
      <c r="I31" s="136"/>
      <c r="J31" s="137"/>
      <c r="K31" s="221"/>
      <c r="L31" s="222"/>
      <c r="M31" s="98"/>
      <c r="AV31" s="86" t="s">
        <v>10516</v>
      </c>
      <c r="AW31" s="86">
        <v>30</v>
      </c>
      <c r="AX31" s="86" t="s">
        <v>10516</v>
      </c>
    </row>
    <row r="32" spans="2:50" ht="15" customHeight="1" x14ac:dyDescent="0.25">
      <c r="B32" s="225" t="str">
        <f>IFERROR(HYPERLINK("#"&amp;"DATOS!I"&amp;MATCH(VALUE(CARPETA),DATOS!B:B,0),IF(J65="(  ●  )","OK",J65)),"")</f>
        <v/>
      </c>
      <c r="C32" s="226"/>
      <c r="D32" s="142" t="s">
        <v>10581</v>
      </c>
      <c r="E32" s="138"/>
      <c r="F32" s="138"/>
      <c r="G32" s="138"/>
      <c r="H32" s="138"/>
      <c r="I32" s="138"/>
      <c r="J32" s="139"/>
      <c r="K32" s="221"/>
      <c r="L32" s="222"/>
      <c r="M32" s="98"/>
      <c r="AV32" s="86" t="s">
        <v>10517</v>
      </c>
      <c r="AW32" s="86">
        <v>31</v>
      </c>
      <c r="AX32" s="96" t="s">
        <v>10517</v>
      </c>
    </row>
    <row r="33" spans="2:50" ht="15" customHeight="1" x14ac:dyDescent="0.25">
      <c r="B33" s="227" t="str">
        <f>IFERROR(HYPERLINK("#"&amp;"DATOS!L"&amp;MATCH(VALUE(CARPETA),DATOS!B:B,0),IF(B68="(  ●  )","OK",B68)),"")</f>
        <v/>
      </c>
      <c r="C33" s="228"/>
      <c r="D33" s="143" t="s">
        <v>4</v>
      </c>
      <c r="E33" s="136"/>
      <c r="F33" s="136"/>
      <c r="G33" s="136"/>
      <c r="H33" s="136"/>
      <c r="I33" s="136"/>
      <c r="J33" s="137"/>
      <c r="K33" s="221"/>
      <c r="L33" s="222"/>
      <c r="M33" s="98"/>
      <c r="AV33" s="86" t="s">
        <v>10518</v>
      </c>
      <c r="AW33" s="86">
        <v>32</v>
      </c>
      <c r="AX33" s="86" t="s">
        <v>10518</v>
      </c>
    </row>
    <row r="34" spans="2:50" ht="15" customHeight="1" x14ac:dyDescent="0.25">
      <c r="B34" s="225" t="str">
        <f>IFERROR(HYPERLINK("#"&amp;"DATOS!AQ"&amp;MATCH(VALUE(CARPETA),DATOS!B:B,0),IF(G68="(  ●  )","OK",G68)),"")</f>
        <v/>
      </c>
      <c r="C34" s="226"/>
      <c r="D34" s="142" t="s">
        <v>10582</v>
      </c>
      <c r="E34" s="138"/>
      <c r="F34" s="138"/>
      <c r="G34" s="138"/>
      <c r="H34" s="138"/>
      <c r="I34" s="138"/>
      <c r="J34" s="139"/>
      <c r="K34" s="221"/>
      <c r="L34" s="222"/>
      <c r="M34" s="98"/>
    </row>
    <row r="35" spans="2:50" ht="15" customHeight="1" x14ac:dyDescent="0.25">
      <c r="B35" s="227" t="str">
        <f>IFERROR(HYPERLINK("#"&amp;"DATOS!AQ"&amp;MATCH(VALUE(CARPETA),DATOS!B:B,0),IF(J68="(  ●  )","OK",J68)),"")</f>
        <v/>
      </c>
      <c r="C35" s="228"/>
      <c r="D35" s="143" t="s">
        <v>10583</v>
      </c>
      <c r="E35" s="136"/>
      <c r="F35" s="136"/>
      <c r="G35" s="136"/>
      <c r="H35" s="136"/>
      <c r="I35" s="136"/>
      <c r="J35" s="137"/>
      <c r="K35" s="221"/>
      <c r="L35" s="222"/>
      <c r="M35" s="98"/>
    </row>
    <row r="36" spans="2:50" ht="15" customHeight="1" x14ac:dyDescent="0.25">
      <c r="B36" s="225" t="str">
        <f>IF(B71="(  ●  )","OK",B71)</f>
        <v/>
      </c>
      <c r="C36" s="226"/>
      <c r="D36" s="142" t="s">
        <v>10584</v>
      </c>
      <c r="E36" s="138"/>
      <c r="F36" s="138"/>
      <c r="G36" s="138"/>
      <c r="H36" s="138"/>
      <c r="I36" s="138"/>
      <c r="J36" s="139"/>
      <c r="K36" s="221"/>
      <c r="L36" s="222"/>
      <c r="M36" s="98"/>
    </row>
    <row r="37" spans="2:50" ht="15" customHeight="1" x14ac:dyDescent="0.25">
      <c r="B37" s="227" t="str">
        <f>IFERROR(HYPERLINK("#"&amp;"DATOS!AQ"&amp;MATCH(VALUE(CARPETA),DATOS!B:B,0),IF(G71="(  ●  )","OK",G71)),"")</f>
        <v/>
      </c>
      <c r="C37" s="228"/>
      <c r="D37" s="143" t="s">
        <v>10585</v>
      </c>
      <c r="E37" s="136"/>
      <c r="F37" s="136"/>
      <c r="G37" s="136"/>
      <c r="H37" s="136"/>
      <c r="I37" s="136"/>
      <c r="J37" s="137"/>
      <c r="K37" s="221"/>
      <c r="L37" s="222"/>
      <c r="M37" s="98"/>
    </row>
    <row r="38" spans="2:50" ht="15" customHeight="1" x14ac:dyDescent="0.25">
      <c r="B38" s="225" t="str">
        <f>IFERROR(HYPERLINK("#"&amp;"DATOS!AQ"&amp;MATCH(VALUE(CARPETA),DATOS!B:B,0),IF(J71="(  ●  )","OK",J71)),"")</f>
        <v/>
      </c>
      <c r="C38" s="226"/>
      <c r="D38" s="142" t="s">
        <v>10586</v>
      </c>
      <c r="E38" s="138"/>
      <c r="F38" s="138"/>
      <c r="G38" s="138"/>
      <c r="H38" s="138"/>
      <c r="I38" s="138"/>
      <c r="J38" s="139"/>
      <c r="K38" s="221"/>
      <c r="L38" s="222"/>
      <c r="M38" s="98"/>
    </row>
    <row r="39" spans="2:50" ht="15" customHeight="1" x14ac:dyDescent="0.25">
      <c r="B39" s="227" t="str">
        <f>IFERROR(HYPERLINK("#"&amp;"DATOS!AQ"&amp;MATCH(VALUE(CARPETA),DATOS!B:B,0),IF(L15="MORAL",IF(G74="(  ●  )","OK",G74),"")),"")</f>
        <v/>
      </c>
      <c r="C39" s="228"/>
      <c r="D39" s="143" t="str">
        <f>IF(B39="","","ACTA COSNTITUTIVA")</f>
        <v/>
      </c>
      <c r="E39" s="136"/>
      <c r="F39" s="136"/>
      <c r="G39" s="136"/>
      <c r="H39" s="136"/>
      <c r="I39" s="136"/>
      <c r="J39" s="137"/>
      <c r="K39" s="221"/>
      <c r="L39" s="222"/>
      <c r="M39" s="98"/>
    </row>
    <row r="40" spans="2:50" ht="15" customHeight="1" x14ac:dyDescent="0.25">
      <c r="B40" s="225" t="str">
        <f>IFERROR(HYPERLINK("#"&amp;"DATOS!AQ"&amp;MATCH(VALUE(CARPETA),DATOS!B:B,0),IF(B74="(  ●  )","OK",B74)),"")</f>
        <v/>
      </c>
      <c r="C40" s="226"/>
      <c r="D40" s="142" t="str">
        <f>IF(B40="","","RFC O CEDULA DE IDENTIFICACIÓN FISCAL")</f>
        <v/>
      </c>
      <c r="E40" s="138"/>
      <c r="F40" s="138"/>
      <c r="G40" s="138"/>
      <c r="H40" s="138"/>
      <c r="I40" s="138"/>
      <c r="J40" s="139"/>
      <c r="K40" s="221"/>
      <c r="L40" s="222"/>
      <c r="M40" s="98"/>
    </row>
    <row r="41" spans="2:50" ht="15" customHeight="1" x14ac:dyDescent="0.25">
      <c r="B41" s="217" t="str">
        <f>IFERROR(HYPERLINK("#"&amp;"DATOS!P"&amp;MATCH(VALUE(CARPETA),DATOS!B:B,0),IF(J74="        *TRAE CARTA PODER","OK","")),"")</f>
        <v/>
      </c>
      <c r="C41" s="218"/>
      <c r="D41" s="144" t="str">
        <f>IF(B41="","","CARTA PODER")</f>
        <v/>
      </c>
      <c r="E41" s="140"/>
      <c r="F41" s="140"/>
      <c r="G41" s="140"/>
      <c r="H41" s="140"/>
      <c r="I41" s="140"/>
      <c r="J41" s="141"/>
      <c r="K41" s="223"/>
      <c r="L41" s="22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13" t="s">
        <v>10587</v>
      </c>
      <c r="C45" s="213"/>
      <c r="D45" s="213"/>
      <c r="E45" s="213"/>
      <c r="F45" s="213"/>
      <c r="G45" s="213"/>
      <c r="H45" s="213"/>
      <c r="I45" s="213"/>
      <c r="J45" s="213"/>
      <c r="K45" s="213"/>
      <c r="L45" s="213"/>
      <c r="M45" s="98"/>
    </row>
    <row r="46" spans="2:50" ht="15" customHeight="1" x14ac:dyDescent="0.25">
      <c r="B46" s="213"/>
      <c r="C46" s="213"/>
      <c r="D46" s="213"/>
      <c r="E46" s="213"/>
      <c r="F46" s="213"/>
      <c r="G46" s="213"/>
      <c r="H46" s="213"/>
      <c r="I46" s="213"/>
      <c r="J46" s="213"/>
      <c r="K46" s="213"/>
      <c r="L46" s="213"/>
      <c r="M46" s="98"/>
    </row>
    <row r="47" spans="2:50" ht="15" customHeight="1" x14ac:dyDescent="0.25">
      <c r="B47" s="213"/>
      <c r="C47" s="213"/>
      <c r="D47" s="213"/>
      <c r="E47" s="213"/>
      <c r="F47" s="213"/>
      <c r="G47" s="213"/>
      <c r="H47" s="213"/>
      <c r="I47" s="213"/>
      <c r="J47" s="213"/>
      <c r="K47" s="213"/>
      <c r="L47" s="213"/>
      <c r="M47" s="98"/>
    </row>
    <row r="48" spans="2:50" ht="15" customHeight="1" x14ac:dyDescent="0.25">
      <c r="B48" s="213"/>
      <c r="C48" s="213"/>
      <c r="D48" s="213"/>
      <c r="E48" s="213"/>
      <c r="F48" s="213"/>
      <c r="G48" s="213"/>
      <c r="H48" s="213"/>
      <c r="I48" s="213"/>
      <c r="J48" s="213"/>
      <c r="K48" s="213"/>
      <c r="L48" s="213"/>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14" t="str">
        <f>IF(C20="","",C20)</f>
        <v/>
      </c>
      <c r="C61" s="214"/>
      <c r="D61" s="214"/>
      <c r="E61" s="214"/>
      <c r="F61" s="214"/>
      <c r="G61" s="119"/>
      <c r="H61" s="216" t="str">
        <f>UPPER(TRABAJADOR)</f>
        <v>ING. JUAN CARLOS FLORES VILLARREAL</v>
      </c>
      <c r="I61" s="216"/>
      <c r="J61" s="216"/>
      <c r="K61" s="216"/>
      <c r="L61" s="216"/>
      <c r="M61" s="98"/>
      <c r="O61" s="103"/>
    </row>
    <row r="62" spans="2:15" ht="15" customHeight="1" x14ac:dyDescent="0.25">
      <c r="B62" s="214" t="str">
        <f>IF(TIPODEPERSONA="MORAL","REPRESENTANTE: "&amp;SUBSTITUTE(IFERROR(INDEX(DATOS!P:P,MATCH(IF(O4="SI",VALUE(C21),VALUE(REPORTE!C22)),DATOS!BY:BY,0),1),""),";","",1),"NOMBRE Y FIRMA DEL SOLICITANTE")</f>
        <v>NOMBRE Y FIRMA DEL SOLICITANTE</v>
      </c>
      <c r="C62" s="214"/>
      <c r="D62" s="214"/>
      <c r="E62" s="214"/>
      <c r="F62" s="214"/>
      <c r="G62" s="119"/>
      <c r="H62" s="215" t="s">
        <v>10482</v>
      </c>
      <c r="I62" s="215"/>
      <c r="J62" s="215"/>
      <c r="K62" s="215"/>
      <c r="L62" s="215"/>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60"/>
      <c r="C76" s="260"/>
      <c r="D76" s="109"/>
      <c r="E76" s="110"/>
      <c r="F76" s="110"/>
      <c r="G76" s="116"/>
      <c r="H76" s="110"/>
      <c r="I76" s="113"/>
      <c r="J76" s="254" t="str">
        <f>IFERROR(IF(CONCATENATE(N19,O8,AH2)="0nosi"," ",IF(CONCATENATE(N19,O4)="1no"," ","")),"")</f>
        <v/>
      </c>
      <c r="K76" s="254"/>
      <c r="L76" s="25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61" t="str">
        <f>IF(IF(I21="","",IFERROR(INDEX(DATOS!AS:AS,MATCH(IF(O4="SI",VALUE(C21),VALUE(REPORTE!C22)),DATOS!BY:BY,0),1),""))=0,"",IF(I21="","",IFERROR(INDEX(DATOS!AS:AS,MATCH(IF(O4="SI",VALUE(C21),VALUE(REPORTE!C22)),DATOS!BY:BY,0),1),"")))</f>
        <v/>
      </c>
      <c r="C80" s="261"/>
      <c r="D80" s="261"/>
      <c r="E80" s="261"/>
      <c r="F80" s="261"/>
      <c r="G80" s="261"/>
      <c r="H80" s="261"/>
      <c r="I80" s="261"/>
      <c r="J80" s="261"/>
      <c r="K80" s="261"/>
      <c r="L80" s="261"/>
      <c r="M80" s="98"/>
      <c r="O80" s="86">
        <v>5</v>
      </c>
      <c r="P80" s="98" t="str">
        <f t="shared" si="1"/>
        <v/>
      </c>
      <c r="R80" s="86">
        <f t="shared" si="0"/>
        <v>1</v>
      </c>
      <c r="S80" s="86">
        <f>IF(T80="",0,IFERROR(IF(VLOOKUP(T80,T$73:T79,1,0)&gt;0,0,0),1))</f>
        <v>0</v>
      </c>
      <c r="T80" s="98">
        <f>IF(DATOS!J8=P$74,DATOS!C8,"")</f>
        <v>0</v>
      </c>
    </row>
    <row r="81" spans="2:22" ht="15" hidden="1" customHeight="1" x14ac:dyDescent="0.25">
      <c r="B81" s="258" t="s">
        <v>10568</v>
      </c>
      <c r="C81" s="258"/>
      <c r="D81" s="258"/>
      <c r="E81" s="258"/>
      <c r="F81" s="258"/>
      <c r="G81" s="258"/>
      <c r="H81" s="258"/>
      <c r="I81" s="258"/>
      <c r="J81" s="258"/>
      <c r="K81" s="258"/>
      <c r="L81" s="258"/>
      <c r="M81" s="98"/>
      <c r="O81" s="86">
        <v>6</v>
      </c>
      <c r="P81" s="98" t="str">
        <f t="shared" si="1"/>
        <v/>
      </c>
      <c r="R81" s="86">
        <f t="shared" si="0"/>
        <v>1</v>
      </c>
      <c r="S81" s="86">
        <f>IF(T81="",0,IFERROR(IF(VLOOKUP(T81,T$73:T80,1,0)&gt;0,0,0),1))</f>
        <v>0</v>
      </c>
      <c r="T81" s="98">
        <f>IF(DATOS!J9=P$74,DATOS!C9,"")</f>
        <v>0</v>
      </c>
    </row>
    <row r="82" spans="2:22" ht="15" hidden="1" customHeight="1" x14ac:dyDescent="0.25">
      <c r="B82" s="258"/>
      <c r="C82" s="258"/>
      <c r="D82" s="258"/>
      <c r="E82" s="258"/>
      <c r="F82" s="258"/>
      <c r="G82" s="258"/>
      <c r="H82" s="258"/>
      <c r="I82" s="258"/>
      <c r="J82" s="258"/>
      <c r="K82" s="258"/>
      <c r="L82" s="258"/>
      <c r="M82" s="98"/>
      <c r="O82" s="86">
        <v>7</v>
      </c>
      <c r="P82" s="98" t="str">
        <f t="shared" si="1"/>
        <v/>
      </c>
      <c r="R82" s="86">
        <f t="shared" si="0"/>
        <v>1</v>
      </c>
      <c r="S82" s="86">
        <f>IF(T82="",0,IFERROR(IF(VLOOKUP(T82,T$73:T81,1,0)&gt;0,0,0),1))</f>
        <v>0</v>
      </c>
      <c r="T82" s="98">
        <f>IF(DATOS!J10=P$74,DATOS!C10,"")</f>
        <v>0</v>
      </c>
    </row>
    <row r="83" spans="2:22" ht="15" hidden="1" customHeight="1" x14ac:dyDescent="0.25">
      <c r="B83" s="258"/>
      <c r="C83" s="258"/>
      <c r="D83" s="258"/>
      <c r="E83" s="258"/>
      <c r="F83" s="258"/>
      <c r="G83" s="258"/>
      <c r="H83" s="258"/>
      <c r="I83" s="258"/>
      <c r="J83" s="258"/>
      <c r="K83" s="258"/>
      <c r="L83" s="258"/>
      <c r="M83" s="98"/>
      <c r="O83" s="86">
        <v>8</v>
      </c>
      <c r="P83" s="98" t="str">
        <f t="shared" si="1"/>
        <v/>
      </c>
      <c r="R83" s="86">
        <f t="shared" si="0"/>
        <v>1</v>
      </c>
      <c r="S83" s="86">
        <f>IF(T83="",0,IFERROR(IF(VLOOKUP(T83,T$73:T82,1,0)&gt;0,0,0),1))</f>
        <v>0</v>
      </c>
      <c r="T83" s="98">
        <f>IF(DATOS!J11=P$74,DATOS!C11,"")</f>
        <v>0</v>
      </c>
    </row>
    <row r="84" spans="2:22" hidden="1" x14ac:dyDescent="0.25">
      <c r="B84" s="258"/>
      <c r="C84" s="258"/>
      <c r="D84" s="258"/>
      <c r="E84" s="258"/>
      <c r="F84" s="258"/>
      <c r="G84" s="258"/>
      <c r="H84" s="258"/>
      <c r="I84" s="258"/>
      <c r="J84" s="258"/>
      <c r="K84" s="258"/>
      <c r="L84" s="25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57"/>
      <c r="G90" s="257"/>
      <c r="H90" s="25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57" t="s">
        <v>10435</v>
      </c>
      <c r="C91" s="257"/>
      <c r="D91" s="257"/>
      <c r="E91" s="257"/>
      <c r="F91" s="257"/>
      <c r="G91" s="257"/>
      <c r="H91" s="257"/>
      <c r="I91" s="257"/>
      <c r="J91" s="257"/>
      <c r="K91" s="257"/>
      <c r="L91" s="257"/>
      <c r="M91" s="98"/>
      <c r="O91" s="86">
        <v>16</v>
      </c>
      <c r="P91" s="98" t="str">
        <f t="shared" si="1"/>
        <v/>
      </c>
      <c r="R91" s="86">
        <f t="shared" si="0"/>
        <v>1</v>
      </c>
      <c r="S91" s="86">
        <f>IF(T91="",0,IFERROR(IF(VLOOKUP(T91,T$73:T90,1,0)&gt;0,0,0),1))</f>
        <v>0</v>
      </c>
      <c r="T91" s="98">
        <f>IF(DATOS!J19=P$74,DATOS!C19,"")</f>
        <v>0</v>
      </c>
    </row>
    <row r="92" spans="2:22" hidden="1" x14ac:dyDescent="0.25">
      <c r="B92" s="257" t="str">
        <f>IF(G74="",C20,"REPRESENTANTE LEGAL DE "&amp;C20)</f>
        <v/>
      </c>
      <c r="C92" s="257"/>
      <c r="D92" s="257"/>
      <c r="E92" s="257"/>
      <c r="F92" s="257"/>
      <c r="G92" s="257"/>
      <c r="H92" s="257"/>
      <c r="I92" s="257"/>
      <c r="J92" s="257"/>
      <c r="K92" s="257"/>
      <c r="L92" s="25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53"/>
      <c r="M98" s="25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91" priority="2">
      <formula>$B$22=""</formula>
    </cfRule>
    <cfRule type="expression" dxfId="90"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H18" sqref="H18:N18"/>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66" t="s">
        <v>10590</v>
      </c>
      <c r="E3" s="266"/>
      <c r="F3" s="266"/>
      <c r="G3" s="266"/>
      <c r="H3" s="266"/>
      <c r="I3" s="266"/>
      <c r="J3" s="266"/>
      <c r="K3" s="266"/>
      <c r="L3" s="266"/>
      <c r="M3" s="266"/>
      <c r="N3" s="266"/>
      <c r="O3" s="266"/>
      <c r="P3" s="266"/>
      <c r="Q3" s="266"/>
      <c r="R3" s="266"/>
      <c r="S3" s="266"/>
      <c r="T3" s="266"/>
      <c r="U3" s="155"/>
      <c r="V3" s="155"/>
      <c r="W3" s="155"/>
      <c r="X3" s="155"/>
    </row>
    <row r="4" spans="1:43" ht="16.149999999999999" customHeight="1" x14ac:dyDescent="0.25">
      <c r="C4" s="156"/>
      <c r="D4" s="151"/>
      <c r="E4" s="151"/>
      <c r="G4" s="151"/>
      <c r="P4" s="267" t="str">
        <f>"Representación Estatal en "&amp; PROPER(ESTADO)</f>
        <v>Representación Estatal en Nuevo León</v>
      </c>
      <c r="Q4" s="267"/>
      <c r="R4" s="267"/>
      <c r="S4" s="267"/>
      <c r="T4" s="267"/>
      <c r="U4" s="155"/>
      <c r="V4" s="155"/>
      <c r="W4" s="155"/>
      <c r="X4" s="155"/>
    </row>
    <row r="5" spans="1:43" ht="15" customHeight="1" x14ac:dyDescent="0.25">
      <c r="C5" s="156"/>
      <c r="D5" s="197"/>
      <c r="E5" s="197"/>
      <c r="G5" s="197"/>
      <c r="H5" s="267" t="s">
        <v>10548</v>
      </c>
      <c r="I5" s="267"/>
      <c r="J5" s="267"/>
      <c r="K5" s="267"/>
      <c r="L5" s="267"/>
      <c r="M5" s="267"/>
      <c r="N5" s="267"/>
      <c r="O5" s="267"/>
      <c r="P5" s="267"/>
      <c r="Q5" s="267"/>
      <c r="R5" s="267"/>
      <c r="S5" s="267"/>
      <c r="T5" s="267"/>
      <c r="U5" s="155"/>
      <c r="V5" s="155"/>
      <c r="W5" s="155"/>
      <c r="X5" s="155"/>
    </row>
    <row r="6" spans="1:43" ht="15" customHeight="1" x14ac:dyDescent="0.25">
      <c r="C6" s="156"/>
      <c r="D6" s="269" t="s">
        <v>10438</v>
      </c>
      <c r="E6" s="269"/>
      <c r="F6" s="269"/>
      <c r="G6" s="269"/>
      <c r="H6" s="269"/>
      <c r="I6" s="269"/>
      <c r="J6" s="269"/>
      <c r="K6" s="269"/>
      <c r="L6" s="269"/>
      <c r="M6" s="269"/>
      <c r="N6" s="269"/>
      <c r="O6" s="269"/>
      <c r="P6" s="269"/>
      <c r="Q6" s="269"/>
      <c r="R6" s="269"/>
      <c r="S6" s="269"/>
      <c r="T6" s="269"/>
      <c r="U6" s="155"/>
      <c r="V6" s="155"/>
      <c r="W6" s="155"/>
      <c r="X6" s="155"/>
    </row>
    <row r="7" spans="1:43" ht="15" customHeight="1" x14ac:dyDescent="0.25">
      <c r="C7" s="156"/>
      <c r="D7" s="270" t="str">
        <f ca="1">PROPER(CADER)&amp;", Estado de "&amp;PROPER(ESTADO)&amp;" a "&amp;AL13&amp;" de "&amp;AL14&amp;" de "&amp;AL15</f>
        <v>Linares, Estado de Nuevo León a 29 de septiembre de 2025</v>
      </c>
      <c r="E7" s="270"/>
      <c r="F7" s="270"/>
      <c r="G7" s="270"/>
      <c r="H7" s="270"/>
      <c r="I7" s="270"/>
      <c r="J7" s="270"/>
      <c r="K7" s="270"/>
      <c r="L7" s="270"/>
      <c r="M7" s="270"/>
      <c r="N7" s="270"/>
      <c r="O7" s="270"/>
      <c r="P7" s="270"/>
      <c r="Q7" s="270"/>
      <c r="R7" s="270"/>
      <c r="S7" s="270"/>
      <c r="T7" s="270"/>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65" t="s">
        <v>10481</v>
      </c>
      <c r="E11" s="265"/>
      <c r="F11" s="265"/>
      <c r="G11" s="265"/>
      <c r="H11" s="265"/>
      <c r="I11" s="208"/>
      <c r="J11" s="157"/>
      <c r="K11" s="157"/>
    </row>
    <row r="12" spans="1:43" ht="7.5" customHeight="1" x14ac:dyDescent="0.25">
      <c r="D12" s="151"/>
      <c r="E12" s="151"/>
      <c r="G12" s="151"/>
      <c r="AK12" s="164"/>
      <c r="AL12" s="165"/>
      <c r="AM12" s="164"/>
    </row>
    <row r="13" spans="1:43" x14ac:dyDescent="0.25">
      <c r="D13" s="271" t="s">
        <v>10562</v>
      </c>
      <c r="E13" s="271"/>
      <c r="F13" s="271"/>
      <c r="G13" s="271"/>
      <c r="H13" s="271"/>
      <c r="I13" s="271"/>
      <c r="J13" s="271"/>
      <c r="K13" s="271"/>
      <c r="L13" s="271"/>
      <c r="M13" s="271"/>
      <c r="N13" s="271"/>
      <c r="O13" s="271"/>
      <c r="P13" s="271"/>
      <c r="Q13" s="271"/>
      <c r="R13" s="271"/>
      <c r="S13" s="271"/>
      <c r="T13" s="271"/>
      <c r="AK13" s="164"/>
      <c r="AL13" s="166">
        <f ca="1">DAY(TODAY())</f>
        <v>29</v>
      </c>
      <c r="AM13" s="164"/>
    </row>
    <row r="14" spans="1:43" ht="79.5" customHeight="1" x14ac:dyDescent="0.25">
      <c r="D14" s="271"/>
      <c r="E14" s="271"/>
      <c r="F14" s="271"/>
      <c r="G14" s="271"/>
      <c r="H14" s="271"/>
      <c r="I14" s="271"/>
      <c r="J14" s="271"/>
      <c r="K14" s="271"/>
      <c r="L14" s="271"/>
      <c r="M14" s="271"/>
      <c r="N14" s="271"/>
      <c r="O14" s="271"/>
      <c r="P14" s="271"/>
      <c r="Q14" s="271"/>
      <c r="R14" s="271"/>
      <c r="S14" s="271"/>
      <c r="T14" s="271"/>
      <c r="U14" s="161"/>
      <c r="AK14" s="164"/>
      <c r="AL14" s="166" t="str">
        <f ca="1">VLOOKUP(MONTH(TODAY()),AK17:AL28,2,0)</f>
        <v>septiembre</v>
      </c>
      <c r="AM14" s="164"/>
    </row>
    <row r="15" spans="1:43" ht="6" customHeight="1" x14ac:dyDescent="0.25">
      <c r="D15" s="155"/>
      <c r="E15" s="155"/>
      <c r="G15" s="151"/>
      <c r="P15" s="160"/>
      <c r="Q15" s="160"/>
      <c r="R15" s="160"/>
      <c r="S15" s="160"/>
      <c r="V15" s="152"/>
      <c r="AK15" s="164"/>
      <c r="AL15" s="164">
        <f ca="1">YEAR(TODAY())</f>
        <v>2025</v>
      </c>
      <c r="AM15" s="164"/>
    </row>
    <row r="16" spans="1:43" ht="15.75" customHeight="1" x14ac:dyDescent="0.25">
      <c r="D16" s="265" t="s">
        <v>10441</v>
      </c>
      <c r="E16" s="265"/>
      <c r="F16" s="265"/>
      <c r="G16" s="265"/>
      <c r="H16" s="265"/>
      <c r="I16" s="265"/>
      <c r="J16" s="265"/>
      <c r="K16" s="265"/>
      <c r="L16" s="265"/>
      <c r="M16" s="265"/>
      <c r="N16" s="265"/>
      <c r="O16" s="265"/>
      <c r="P16" s="265"/>
      <c r="Q16" s="265"/>
      <c r="R16" s="265"/>
      <c r="S16" s="265"/>
      <c r="T16" s="265"/>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91" t="s">
        <v>10458</v>
      </c>
      <c r="E18" s="291"/>
      <c r="F18" s="291"/>
      <c r="G18" s="291"/>
      <c r="H18" s="273" t="str">
        <f>IF(REPORTE!C21="",REPORTE!C22,REPORTE!C21)</f>
        <v/>
      </c>
      <c r="I18" s="273"/>
      <c r="J18" s="273"/>
      <c r="K18" s="273"/>
      <c r="L18" s="273"/>
      <c r="M18" s="273"/>
      <c r="N18" s="273"/>
      <c r="O18" s="170">
        <f>IFERROR(IF(VLOOKUP(VALUE(H18),Y40:Y82,1,0)=1,"",""),1)</f>
        <v>1</v>
      </c>
      <c r="P18" s="291" t="e">
        <f>HYPERLINK("#"&amp;"DATOS!C"&amp;MATCH(VALUE(carp),DATOS!B:B,0),"PEUA:")</f>
        <v>#VALUE!</v>
      </c>
      <c r="Q18" s="291"/>
      <c r="R18" s="273" t="str">
        <f>AL31</f>
        <v/>
      </c>
      <c r="S18" s="273"/>
      <c r="T18" s="273"/>
      <c r="U18" s="171"/>
      <c r="V18" s="171"/>
      <c r="AJ18" s="164"/>
      <c r="AK18" s="164">
        <v>2</v>
      </c>
      <c r="AL18" s="164" t="s">
        <v>183</v>
      </c>
      <c r="AM18" s="164"/>
    </row>
    <row r="19" spans="4:58" x14ac:dyDescent="0.25">
      <c r="D19" s="284" t="s">
        <v>10459</v>
      </c>
      <c r="E19" s="284"/>
      <c r="F19" s="284"/>
      <c r="G19" s="284"/>
      <c r="H19" s="272" t="str">
        <f>AL29</f>
        <v/>
      </c>
      <c r="I19" s="272"/>
      <c r="J19" s="272"/>
      <c r="K19" s="272"/>
      <c r="L19" s="272"/>
      <c r="M19" s="272"/>
      <c r="N19" s="272"/>
      <c r="O19" s="164"/>
      <c r="P19" s="291" t="str">
        <f>"RUTA/CUENTA:"</f>
        <v>RUTA/CUENTA:</v>
      </c>
      <c r="Q19" s="291"/>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84" t="s">
        <v>10460</v>
      </c>
      <c r="E21" s="284"/>
      <c r="F21" s="284"/>
      <c r="G21" s="284"/>
      <c r="H21" s="284"/>
      <c r="I21" s="284"/>
      <c r="J21" s="284"/>
      <c r="K21" s="284"/>
      <c r="L21" s="284"/>
      <c r="M21" s="273" t="str">
        <f>V21</f>
        <v/>
      </c>
      <c r="N21" s="274"/>
      <c r="O21" s="274"/>
      <c r="P21" s="274"/>
      <c r="Q21" s="274"/>
      <c r="R21" s="274"/>
      <c r="S21" s="274"/>
      <c r="T21" s="274"/>
      <c r="U21" s="152"/>
      <c r="V21" s="152" t="str">
        <f>PROPER(AL35)</f>
        <v/>
      </c>
      <c r="AJ21" s="164"/>
      <c r="AK21" s="164">
        <v>5</v>
      </c>
      <c r="AL21" s="164" t="s">
        <v>186</v>
      </c>
      <c r="AM21" s="164"/>
    </row>
    <row r="22" spans="4:58" x14ac:dyDescent="0.25">
      <c r="D22" s="284" t="s">
        <v>10461</v>
      </c>
      <c r="E22" s="284"/>
      <c r="F22" s="284"/>
      <c r="G22" s="284"/>
      <c r="H22" s="284"/>
      <c r="I22" s="284"/>
      <c r="J22" s="284"/>
      <c r="K22" s="284"/>
      <c r="L22" s="284"/>
      <c r="M22" s="284"/>
      <c r="N22" s="290"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73" t="str">
        <f>V23</f>
        <v/>
      </c>
      <c r="J23" s="273"/>
      <c r="K23" s="273"/>
      <c r="L23" s="273"/>
      <c r="M23" s="273"/>
      <c r="N23" s="273"/>
      <c r="O23" s="273"/>
      <c r="P23" s="273"/>
      <c r="Q23" s="273"/>
      <c r="R23" s="273"/>
      <c r="S23" s="273"/>
      <c r="T23" s="273"/>
      <c r="V23" s="152" t="str">
        <f>PROPER(AL36)</f>
        <v/>
      </c>
      <c r="AJ23" s="164"/>
      <c r="AK23" s="164">
        <v>7</v>
      </c>
      <c r="AL23" s="164" t="s">
        <v>188</v>
      </c>
      <c r="AM23" s="164"/>
    </row>
    <row r="24" spans="4:58" x14ac:dyDescent="0.25">
      <c r="D24" s="284" t="s">
        <v>10463</v>
      </c>
      <c r="E24" s="284"/>
      <c r="F24" s="273" t="str">
        <f>V24</f>
        <v/>
      </c>
      <c r="G24" s="274"/>
      <c r="H24" s="274"/>
      <c r="I24" s="274"/>
      <c r="J24" s="274"/>
      <c r="K24" s="274"/>
      <c r="L24" s="274"/>
      <c r="M24" s="274"/>
      <c r="N24" s="274"/>
      <c r="O24" s="164"/>
      <c r="P24" s="174" t="s">
        <v>10468</v>
      </c>
      <c r="Q24" s="290" t="str">
        <f>V25</f>
        <v/>
      </c>
      <c r="R24" s="272"/>
      <c r="S24" s="272"/>
      <c r="T24" s="272"/>
      <c r="U24" s="152"/>
      <c r="V24" s="152" t="str">
        <f>PROPER(AL38)</f>
        <v/>
      </c>
      <c r="AJ24" s="164"/>
      <c r="AK24" s="164">
        <v>8</v>
      </c>
      <c r="AL24" s="164" t="s">
        <v>189</v>
      </c>
      <c r="AM24" s="164"/>
    </row>
    <row r="25" spans="4:58" ht="15" customHeight="1" x14ac:dyDescent="0.25">
      <c r="D25" s="284" t="s">
        <v>10464</v>
      </c>
      <c r="E25" s="284"/>
      <c r="F25" s="284"/>
      <c r="G25" s="284"/>
      <c r="H25" s="284"/>
      <c r="I25" s="284"/>
      <c r="J25" s="272" t="str">
        <f>AL39</f>
        <v/>
      </c>
      <c r="K25" s="272"/>
      <c r="L25" s="272"/>
      <c r="M25" s="272"/>
      <c r="N25" s="272"/>
      <c r="O25" s="164"/>
      <c r="P25" s="175" t="s">
        <v>10469</v>
      </c>
      <c r="Q25" s="279" t="str">
        <f>IF(AL40=0,"",AL40)</f>
        <v/>
      </c>
      <c r="R25" s="279"/>
      <c r="S25" s="279"/>
      <c r="T25" s="279"/>
      <c r="U25" s="152"/>
      <c r="V25" s="152" t="str">
        <f>PROPER(AL37)</f>
        <v/>
      </c>
      <c r="AJ25" s="164"/>
      <c r="AK25" s="164">
        <v>9</v>
      </c>
      <c r="AL25" s="164" t="s">
        <v>191</v>
      </c>
      <c r="AM25" s="164"/>
    </row>
    <row r="26" spans="4:58" ht="15" customHeight="1" x14ac:dyDescent="0.25">
      <c r="D26" s="283" t="s">
        <v>10465</v>
      </c>
      <c r="E26" s="283"/>
      <c r="F26" s="283"/>
      <c r="G26" s="283"/>
      <c r="H26" s="283"/>
      <c r="I26" s="283"/>
      <c r="J26" s="283"/>
      <c r="K26" s="272" t="str">
        <f>AL44</f>
        <v/>
      </c>
      <c r="L26" s="272"/>
      <c r="M26" s="272"/>
      <c r="N26" s="272"/>
      <c r="O26" s="164"/>
      <c r="P26" s="292" t="s">
        <v>10470</v>
      </c>
      <c r="Q26" s="292"/>
      <c r="R26" s="292"/>
      <c r="S26" s="292"/>
      <c r="T26" s="190" t="str">
        <f>V26</f>
        <v/>
      </c>
      <c r="V26" s="152" t="str">
        <f>IF(AL45=0,"",AL45)</f>
        <v/>
      </c>
      <c r="AJ26" s="164"/>
      <c r="AK26" s="164">
        <v>10</v>
      </c>
      <c r="AL26" s="164" t="s">
        <v>190</v>
      </c>
      <c r="AM26" s="164"/>
      <c r="BE26" s="151">
        <v>1</v>
      </c>
      <c r="BF26" s="151" t="s">
        <v>182</v>
      </c>
    </row>
    <row r="27" spans="4:58" x14ac:dyDescent="0.25">
      <c r="D27" s="176" t="s">
        <v>10466</v>
      </c>
      <c r="E27" s="286" t="str">
        <f>AL41</f>
        <v/>
      </c>
      <c r="F27" s="286"/>
      <c r="G27" s="286"/>
      <c r="H27" s="286"/>
      <c r="I27" s="286"/>
      <c r="J27" s="292" t="s">
        <v>10467</v>
      </c>
      <c r="K27" s="292"/>
      <c r="L27" s="277" t="str">
        <f>AL42</f>
        <v/>
      </c>
      <c r="M27" s="277"/>
      <c r="N27" s="277"/>
      <c r="O27" s="169"/>
      <c r="P27" s="293" t="s">
        <v>10550</v>
      </c>
      <c r="Q27" s="293"/>
      <c r="R27" s="293"/>
      <c r="S27" s="278" t="str">
        <f>AL43</f>
        <v/>
      </c>
      <c r="T27" s="279"/>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65" t="s">
        <v>10442</v>
      </c>
      <c r="E29" s="265"/>
      <c r="F29" s="265"/>
      <c r="G29" s="265"/>
      <c r="H29" s="265"/>
      <c r="I29" s="265"/>
      <c r="J29" s="265"/>
      <c r="K29" s="265"/>
      <c r="L29" s="265"/>
      <c r="M29" s="265"/>
      <c r="N29" s="265"/>
      <c r="O29" s="265"/>
      <c r="P29" s="265"/>
      <c r="Q29" s="265"/>
      <c r="R29" s="265"/>
      <c r="S29" s="265"/>
      <c r="T29" s="265"/>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89" t="str">
        <f>AK34</f>
        <v/>
      </c>
      <c r="E33" s="289"/>
      <c r="F33" s="289"/>
      <c r="G33" s="289"/>
      <c r="H33" s="289"/>
      <c r="I33" s="289"/>
      <c r="J33" s="289"/>
      <c r="K33" s="289"/>
      <c r="L33" s="289"/>
      <c r="M33" s="289"/>
      <c r="N33" s="289"/>
      <c r="O33" s="289"/>
      <c r="P33" s="289"/>
      <c r="Q33" s="289"/>
      <c r="R33" s="289"/>
      <c r="S33" s="289"/>
      <c r="T33" s="289"/>
      <c r="AJ33" s="164"/>
      <c r="AK33" s="164"/>
      <c r="AL33" s="164" t="str">
        <f>IFERROR(IF(INDEX(DATOS!D:D,MATCH(VALUE(REINSCRIPCION!H18),DATOS!C:C,0),1)=0,"",INDEX(DATOS!D:D,MATCH(VALUE(REINSCRIPCION!H18),DATOS!C:C,0),1)),"")</f>
        <v/>
      </c>
      <c r="AM33" s="164"/>
      <c r="BE33" s="151">
        <v>8</v>
      </c>
      <c r="BF33" s="151" t="s">
        <v>189</v>
      </c>
    </row>
    <row r="34" spans="4:58" x14ac:dyDescent="0.25">
      <c r="D34" s="289"/>
      <c r="E34" s="289"/>
      <c r="F34" s="289"/>
      <c r="G34" s="289"/>
      <c r="H34" s="289"/>
      <c r="I34" s="289"/>
      <c r="J34" s="289"/>
      <c r="K34" s="289"/>
      <c r="L34" s="289"/>
      <c r="M34" s="289"/>
      <c r="N34" s="289"/>
      <c r="O34" s="289"/>
      <c r="P34" s="289"/>
      <c r="Q34" s="289"/>
      <c r="R34" s="289"/>
      <c r="S34" s="289"/>
      <c r="T34" s="289"/>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89"/>
      <c r="E35" s="289"/>
      <c r="F35" s="289"/>
      <c r="G35" s="289"/>
      <c r="H35" s="289"/>
      <c r="I35" s="289"/>
      <c r="J35" s="289"/>
      <c r="K35" s="289"/>
      <c r="L35" s="289"/>
      <c r="M35" s="289"/>
      <c r="N35" s="289"/>
      <c r="O35" s="289"/>
      <c r="P35" s="289"/>
      <c r="Q35" s="289"/>
      <c r="R35" s="289"/>
      <c r="S35" s="289"/>
      <c r="T35" s="289"/>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89"/>
      <c r="E36" s="289"/>
      <c r="F36" s="289"/>
      <c r="G36" s="289"/>
      <c r="H36" s="289"/>
      <c r="I36" s="289"/>
      <c r="J36" s="289"/>
      <c r="K36" s="289"/>
      <c r="L36" s="289"/>
      <c r="M36" s="289"/>
      <c r="N36" s="289"/>
      <c r="O36" s="289"/>
      <c r="P36" s="289"/>
      <c r="Q36" s="289"/>
      <c r="R36" s="289"/>
      <c r="S36" s="289"/>
      <c r="T36" s="289"/>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85" t="s">
        <v>10552</v>
      </c>
      <c r="E38" s="285"/>
      <c r="F38" s="285"/>
      <c r="G38" s="273" t="str">
        <f>V27</f>
        <v xml:space="preserve"> HP</v>
      </c>
      <c r="H38" s="273"/>
      <c r="I38" s="273"/>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80" t="str">
        <f>AK36</f>
        <v/>
      </c>
      <c r="E43" s="281"/>
      <c r="F43" s="281"/>
      <c r="G43" s="281"/>
      <c r="H43" s="281"/>
      <c r="I43" s="281"/>
      <c r="J43" s="282"/>
      <c r="P43" s="280" t="str">
        <f>AK37</f>
        <v/>
      </c>
      <c r="Q43" s="281"/>
      <c r="R43" s="281"/>
      <c r="S43" s="281"/>
      <c r="T43" s="28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65" t="s">
        <v>10480</v>
      </c>
      <c r="E46" s="265"/>
      <c r="F46" s="265"/>
      <c r="G46" s="265"/>
      <c r="H46" s="265"/>
      <c r="I46" s="265"/>
      <c r="J46" s="265"/>
      <c r="K46" s="173"/>
      <c r="L46" s="173"/>
      <c r="P46" s="287" t="s">
        <v>10588</v>
      </c>
      <c r="Q46" s="287"/>
      <c r="R46" s="287"/>
      <c r="S46" s="287"/>
      <c r="T46" s="287"/>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5"/>
      <c r="I47" s="275"/>
      <c r="J47" s="275"/>
      <c r="K47" s="275"/>
      <c r="L47" s="275"/>
      <c r="M47" s="275"/>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88"/>
      <c r="AO48" s="288"/>
      <c r="AP48" s="288"/>
      <c r="AS48" s="170" t="str">
        <f>IFERROR(IF(INDEX(DATOS!AF:AF,MATCH(#REF!,DATOS!J:J,0),1)=0,"",INDEX(DATOS!AF:AF,MATCH(#REF!,DATOS!J:J,0),1)),"")</f>
        <v/>
      </c>
    </row>
    <row r="49" spans="1:48" ht="15" customHeight="1" x14ac:dyDescent="0.25">
      <c r="D49" s="276" t="str">
        <f>REPORTE!C20</f>
        <v/>
      </c>
      <c r="E49" s="276"/>
      <c r="F49" s="276"/>
      <c r="G49" s="276"/>
      <c r="H49" s="276"/>
      <c r="I49" s="276"/>
      <c r="J49" s="276"/>
      <c r="K49" s="276"/>
      <c r="L49" s="276"/>
      <c r="M49" s="276"/>
      <c r="N49" s="276"/>
      <c r="O49" s="157"/>
      <c r="P49" s="287" t="str">
        <f>UPPER(TRABAJADOR)</f>
        <v>ING. JUAN CARLOS FLORES VILLARREAL</v>
      </c>
      <c r="Q49" s="287"/>
      <c r="R49" s="287"/>
      <c r="S49" s="287"/>
      <c r="T49" s="287"/>
      <c r="U49" s="268"/>
      <c r="V49" s="268"/>
      <c r="X49" s="151">
        <v>10</v>
      </c>
      <c r="Y49" s="152" t="str">
        <f t="shared" si="1"/>
        <v/>
      </c>
      <c r="AA49" s="151">
        <f t="shared" si="0"/>
        <v>1</v>
      </c>
      <c r="AB49" s="151">
        <f>IF(AC49="",0,IFERROR(IF(VLOOKUP(AC49,AC$38:AC48,1,0)&gt;0,0,0),1))</f>
        <v>0</v>
      </c>
      <c r="AC49" s="152">
        <f>IF(DATOS!J13=Y$39,DATOS!C13,"")</f>
        <v>0</v>
      </c>
      <c r="AM49" s="177"/>
      <c r="AN49" s="288"/>
      <c r="AO49" s="288"/>
      <c r="AP49" s="288"/>
      <c r="AS49" s="170" t="str">
        <f>IFERROR(IF(INDEX(DATOS!AD:AD,MATCH(#REF!,DATOS!J:J,0),1)=0,"",INDEX(DATOS!AD:AD,MATCH(#REF!,DATOS!J:J,0),1)),"")</f>
        <v/>
      </c>
    </row>
    <row r="50" spans="1:48" x14ac:dyDescent="0.25">
      <c r="D50" s="265" t="str">
        <f>IF(TIPODEPERSONA="MORAL","REPRESENTANTE: "&amp;SUBSTITUTE(IFERROR(INDEX(DATOS!P:P,MATCH(IF(O4="SI",VALUE(C21),VALUE(REPORTE!C22)),DATOS!BY:BY,0),1),""),";","",1),"")</f>
        <v/>
      </c>
      <c r="E50" s="265"/>
      <c r="F50" s="265"/>
      <c r="G50" s="265"/>
      <c r="H50" s="265"/>
      <c r="I50" s="265"/>
      <c r="J50" s="265"/>
      <c r="K50" s="265"/>
      <c r="L50" s="265"/>
      <c r="M50" s="265"/>
      <c r="N50" s="265"/>
      <c r="X50" s="151">
        <v>11</v>
      </c>
      <c r="Y50" s="152" t="str">
        <f t="shared" si="1"/>
        <v/>
      </c>
      <c r="AA50" s="151">
        <f t="shared" si="0"/>
        <v>1</v>
      </c>
      <c r="AB50" s="151">
        <f>IF(AC50="",0,IFERROR(IF(VLOOKUP(AC50,AC$38:AC49,1,0)&gt;0,0,0),1))</f>
        <v>0</v>
      </c>
      <c r="AC50" s="152">
        <f>IF(DATOS!J14=Y$39,DATOS!C14,"")</f>
        <v>0</v>
      </c>
      <c r="AM50" s="288"/>
      <c r="AN50" s="288"/>
      <c r="AO50" s="288"/>
      <c r="AP50" s="288"/>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94"/>
      <c r="F59" s="294"/>
      <c r="G59" s="294"/>
      <c r="H59" s="168"/>
      <c r="I59" s="168"/>
      <c r="J59" s="164"/>
      <c r="K59" s="294"/>
      <c r="L59" s="294"/>
      <c r="M59" s="294"/>
      <c r="N59" s="294"/>
      <c r="O59" s="189"/>
      <c r="P59" s="295"/>
      <c r="Q59" s="295"/>
      <c r="R59" s="295"/>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94"/>
      <c r="F60" s="294"/>
      <c r="G60" s="294"/>
      <c r="H60" s="168"/>
      <c r="I60" s="168"/>
      <c r="J60" s="164"/>
      <c r="K60" s="294"/>
      <c r="L60" s="294"/>
      <c r="M60" s="294"/>
      <c r="N60" s="294"/>
      <c r="O60" s="189"/>
      <c r="P60" s="295"/>
      <c r="Q60" s="295"/>
      <c r="R60" s="295"/>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94"/>
      <c r="F61" s="294"/>
      <c r="G61" s="294"/>
      <c r="H61" s="168"/>
      <c r="I61" s="168"/>
      <c r="J61" s="164"/>
      <c r="K61" s="294"/>
      <c r="L61" s="294"/>
      <c r="M61" s="294"/>
      <c r="N61" s="294"/>
      <c r="O61" s="189"/>
      <c r="P61" s="295"/>
      <c r="Q61" s="295"/>
      <c r="R61" s="295"/>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94"/>
      <c r="F62" s="294"/>
      <c r="G62" s="294"/>
      <c r="H62" s="168"/>
      <c r="I62" s="168"/>
      <c r="J62" s="164"/>
      <c r="K62" s="294"/>
      <c r="L62" s="294"/>
      <c r="M62" s="294"/>
      <c r="N62" s="294"/>
      <c r="O62" s="189"/>
      <c r="P62" s="295"/>
      <c r="Q62" s="295"/>
      <c r="R62" s="295"/>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94"/>
      <c r="F63" s="294"/>
      <c r="G63" s="294"/>
      <c r="H63" s="168"/>
      <c r="I63" s="168"/>
      <c r="J63" s="164"/>
      <c r="K63" s="294"/>
      <c r="L63" s="294"/>
      <c r="M63" s="294"/>
      <c r="N63" s="294"/>
      <c r="O63" s="189"/>
      <c r="P63" s="295"/>
      <c r="Q63" s="295"/>
      <c r="R63" s="295"/>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94"/>
      <c r="F64" s="294"/>
      <c r="G64" s="294"/>
      <c r="H64" s="168"/>
      <c r="I64" s="168"/>
      <c r="J64" s="164"/>
      <c r="K64" s="294"/>
      <c r="L64" s="294"/>
      <c r="M64" s="294"/>
      <c r="N64" s="294"/>
      <c r="O64" s="189"/>
      <c r="P64" s="295"/>
      <c r="Q64" s="295"/>
      <c r="R64" s="295"/>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94"/>
      <c r="F65" s="294"/>
      <c r="G65" s="294"/>
      <c r="H65" s="168"/>
      <c r="I65" s="168"/>
      <c r="J65" s="164"/>
      <c r="K65" s="294"/>
      <c r="L65" s="294"/>
      <c r="M65" s="294"/>
      <c r="N65" s="294"/>
      <c r="O65" s="189"/>
      <c r="P65" s="295"/>
      <c r="Q65" s="295"/>
      <c r="R65" s="295"/>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94"/>
      <c r="F66" s="294"/>
      <c r="G66" s="294"/>
      <c r="H66" s="168"/>
      <c r="I66" s="168"/>
      <c r="J66" s="164"/>
      <c r="K66" s="294"/>
      <c r="L66" s="294"/>
      <c r="M66" s="294"/>
      <c r="N66" s="294"/>
      <c r="O66" s="189"/>
      <c r="P66" s="295"/>
      <c r="Q66" s="295"/>
      <c r="R66" s="295"/>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94"/>
      <c r="F67" s="294"/>
      <c r="G67" s="294"/>
      <c r="H67" s="168"/>
      <c r="I67" s="168"/>
      <c r="J67" s="164"/>
      <c r="K67" s="294"/>
      <c r="L67" s="294"/>
      <c r="M67" s="294"/>
      <c r="N67" s="294"/>
      <c r="O67" s="189"/>
      <c r="P67" s="295"/>
      <c r="Q67" s="295"/>
      <c r="R67" s="295"/>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94"/>
      <c r="F68" s="294"/>
      <c r="G68" s="294"/>
      <c r="H68" s="168"/>
      <c r="I68" s="168"/>
      <c r="J68" s="164"/>
      <c r="K68" s="294"/>
      <c r="L68" s="294"/>
      <c r="M68" s="294"/>
      <c r="N68" s="294"/>
      <c r="O68" s="189"/>
      <c r="P68" s="295"/>
      <c r="Q68" s="295"/>
      <c r="R68" s="295"/>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94"/>
      <c r="F69" s="294"/>
      <c r="G69" s="294"/>
      <c r="H69" s="168"/>
      <c r="I69" s="168"/>
      <c r="J69" s="164"/>
      <c r="K69" s="294"/>
      <c r="L69" s="294"/>
      <c r="M69" s="294"/>
      <c r="N69" s="294"/>
      <c r="O69" s="189"/>
      <c r="P69" s="295"/>
      <c r="Q69" s="295"/>
      <c r="R69" s="295"/>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94"/>
      <c r="F70" s="294"/>
      <c r="G70" s="294"/>
      <c r="H70" s="168"/>
      <c r="I70" s="168"/>
      <c r="J70" s="164"/>
      <c r="K70" s="294"/>
      <c r="L70" s="294"/>
      <c r="M70" s="294"/>
      <c r="N70" s="294"/>
      <c r="O70" s="189"/>
      <c r="P70" s="295"/>
      <c r="Q70" s="295"/>
      <c r="R70" s="295"/>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94"/>
      <c r="F71" s="294"/>
      <c r="G71" s="294"/>
      <c r="H71" s="168"/>
      <c r="I71" s="168"/>
      <c r="J71" s="164"/>
      <c r="K71" s="294"/>
      <c r="L71" s="294"/>
      <c r="M71" s="294"/>
      <c r="N71" s="294"/>
      <c r="O71" s="189"/>
      <c r="P71" s="295"/>
      <c r="Q71" s="295"/>
      <c r="R71" s="295"/>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94"/>
      <c r="F72" s="294"/>
      <c r="G72" s="294"/>
      <c r="H72" s="168"/>
      <c r="I72" s="168"/>
      <c r="J72" s="164"/>
      <c r="K72" s="294"/>
      <c r="L72" s="294"/>
      <c r="M72" s="294"/>
      <c r="N72" s="294"/>
      <c r="O72" s="189"/>
      <c r="P72" s="295"/>
      <c r="Q72" s="295"/>
      <c r="R72" s="295"/>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94"/>
      <c r="F73" s="294"/>
      <c r="G73" s="294"/>
      <c r="H73" s="168"/>
      <c r="I73" s="168"/>
      <c r="J73" s="164"/>
      <c r="K73" s="294"/>
      <c r="L73" s="294"/>
      <c r="M73" s="294"/>
      <c r="N73" s="294"/>
      <c r="O73" s="189"/>
      <c r="P73" s="295"/>
      <c r="Q73" s="295"/>
      <c r="R73" s="295"/>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94"/>
      <c r="F74" s="294"/>
      <c r="G74" s="294"/>
      <c r="H74" s="168"/>
      <c r="I74" s="168"/>
      <c r="J74" s="164"/>
      <c r="K74" s="294"/>
      <c r="L74" s="294"/>
      <c r="M74" s="294"/>
      <c r="N74" s="294"/>
      <c r="O74" s="189"/>
      <c r="P74" s="295"/>
      <c r="Q74" s="295"/>
      <c r="R74" s="295"/>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94"/>
      <c r="F75" s="294"/>
      <c r="G75" s="294"/>
      <c r="H75" s="168"/>
      <c r="I75" s="168"/>
      <c r="J75" s="164"/>
      <c r="K75" s="294"/>
      <c r="L75" s="294"/>
      <c r="M75" s="294"/>
      <c r="N75" s="294"/>
      <c r="O75" s="189"/>
      <c r="P75" s="295"/>
      <c r="Q75" s="295"/>
      <c r="R75" s="295"/>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94"/>
      <c r="F76" s="294"/>
      <c r="G76" s="294"/>
      <c r="H76" s="168"/>
      <c r="I76" s="168"/>
      <c r="J76" s="164"/>
      <c r="K76" s="294"/>
      <c r="L76" s="294"/>
      <c r="M76" s="294"/>
      <c r="N76" s="294"/>
      <c r="O76" s="189"/>
      <c r="P76" s="295"/>
      <c r="Q76" s="295"/>
      <c r="R76" s="295"/>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94"/>
      <c r="F77" s="294"/>
      <c r="G77" s="294"/>
      <c r="H77" s="168"/>
      <c r="I77" s="168"/>
      <c r="J77" s="164"/>
      <c r="K77" s="294"/>
      <c r="L77" s="294"/>
      <c r="M77" s="294"/>
      <c r="N77" s="294"/>
      <c r="O77" s="189"/>
      <c r="P77" s="295"/>
      <c r="Q77" s="295"/>
      <c r="R77" s="295"/>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94"/>
      <c r="F78" s="294"/>
      <c r="G78" s="294"/>
      <c r="H78" s="168"/>
      <c r="I78" s="168"/>
      <c r="J78" s="164"/>
      <c r="K78" s="294"/>
      <c r="L78" s="294"/>
      <c r="M78" s="294"/>
      <c r="N78" s="294"/>
      <c r="O78" s="189"/>
      <c r="P78" s="295"/>
      <c r="Q78" s="295"/>
      <c r="R78" s="295"/>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94"/>
      <c r="F79" s="294"/>
      <c r="G79" s="294"/>
      <c r="H79" s="168"/>
      <c r="I79" s="168"/>
      <c r="J79" s="164"/>
      <c r="K79" s="294"/>
      <c r="L79" s="294"/>
      <c r="M79" s="294"/>
      <c r="N79" s="294"/>
      <c r="O79" s="189"/>
      <c r="P79" s="295"/>
      <c r="Q79" s="295"/>
      <c r="R79" s="295"/>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94"/>
      <c r="F80" s="294"/>
      <c r="G80" s="294"/>
      <c r="H80" s="168"/>
      <c r="I80" s="168"/>
      <c r="J80" s="164"/>
      <c r="K80" s="294"/>
      <c r="L80" s="294"/>
      <c r="M80" s="294"/>
      <c r="N80" s="294"/>
      <c r="O80" s="189"/>
      <c r="P80" s="295"/>
      <c r="Q80" s="295"/>
      <c r="R80" s="295"/>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94"/>
      <c r="F81" s="294"/>
      <c r="G81" s="294"/>
      <c r="H81" s="168"/>
      <c r="I81" s="168"/>
      <c r="J81" s="164"/>
      <c r="K81" s="294"/>
      <c r="L81" s="294"/>
      <c r="M81" s="294"/>
      <c r="N81" s="294"/>
      <c r="O81" s="189"/>
      <c r="P81" s="295"/>
      <c r="Q81" s="295"/>
      <c r="R81" s="295"/>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94"/>
      <c r="F82" s="294"/>
      <c r="G82" s="294"/>
      <c r="H82" s="168"/>
      <c r="I82" s="168"/>
      <c r="J82" s="164"/>
      <c r="K82" s="294"/>
      <c r="L82" s="294"/>
      <c r="M82" s="294"/>
      <c r="N82" s="294"/>
      <c r="O82" s="189"/>
      <c r="P82" s="295"/>
      <c r="Q82" s="295"/>
      <c r="R82" s="295"/>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94"/>
      <c r="F83" s="294"/>
      <c r="G83" s="294"/>
      <c r="H83" s="168"/>
      <c r="I83" s="168"/>
      <c r="J83" s="164"/>
      <c r="K83" s="294"/>
      <c r="L83" s="294"/>
      <c r="M83" s="294"/>
      <c r="N83" s="294"/>
      <c r="O83" s="189"/>
      <c r="P83" s="295"/>
      <c r="Q83" s="295"/>
      <c r="R83" s="295"/>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94"/>
      <c r="F84" s="294"/>
      <c r="G84" s="294"/>
      <c r="H84" s="168"/>
      <c r="I84" s="168"/>
      <c r="J84" s="164"/>
      <c r="K84" s="294"/>
      <c r="L84" s="294"/>
      <c r="M84" s="294"/>
      <c r="N84" s="294"/>
      <c r="O84" s="189"/>
      <c r="P84" s="295"/>
      <c r="Q84" s="295"/>
      <c r="R84" s="295"/>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94"/>
      <c r="F85" s="294"/>
      <c r="G85" s="294"/>
      <c r="H85" s="168"/>
      <c r="I85" s="168"/>
      <c r="J85" s="164"/>
      <c r="K85" s="294"/>
      <c r="L85" s="294"/>
      <c r="M85" s="294"/>
      <c r="N85" s="294"/>
      <c r="O85" s="189"/>
      <c r="P85" s="295"/>
      <c r="Q85" s="295"/>
      <c r="R85" s="295"/>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94"/>
      <c r="F86" s="294"/>
      <c r="G86" s="294"/>
      <c r="H86" s="168"/>
      <c r="I86" s="168"/>
      <c r="J86" s="164"/>
      <c r="K86" s="294"/>
      <c r="L86" s="294"/>
      <c r="M86" s="294"/>
      <c r="N86" s="294"/>
      <c r="O86" s="189"/>
      <c r="P86" s="295"/>
      <c r="Q86" s="295"/>
      <c r="R86" s="295"/>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94"/>
      <c r="F87" s="294"/>
      <c r="G87" s="294"/>
      <c r="H87" s="168"/>
      <c r="I87" s="168"/>
      <c r="J87" s="164"/>
      <c r="K87" s="294"/>
      <c r="L87" s="294"/>
      <c r="M87" s="294"/>
      <c r="N87" s="294"/>
      <c r="O87" s="189"/>
      <c r="P87" s="295"/>
      <c r="Q87" s="295"/>
      <c r="R87" s="295"/>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94"/>
      <c r="F88" s="294"/>
      <c r="G88" s="294"/>
      <c r="H88" s="168"/>
      <c r="I88" s="168"/>
      <c r="J88" s="164"/>
      <c r="K88" s="294"/>
      <c r="L88" s="294"/>
      <c r="M88" s="294"/>
      <c r="N88" s="294"/>
      <c r="O88" s="189"/>
      <c r="P88" s="295"/>
      <c r="Q88" s="295"/>
      <c r="R88" s="295"/>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94"/>
      <c r="F89" s="294"/>
      <c r="G89" s="294"/>
      <c r="H89" s="168"/>
      <c r="I89" s="168"/>
      <c r="J89" s="164"/>
      <c r="K89" s="294"/>
      <c r="L89" s="294"/>
      <c r="M89" s="294"/>
      <c r="N89" s="294"/>
      <c r="O89" s="189"/>
      <c r="P89" s="295"/>
      <c r="Q89" s="295"/>
      <c r="R89" s="295"/>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0:R70"/>
    <mergeCell ref="P71:R71"/>
    <mergeCell ref="P72:R72"/>
    <mergeCell ref="P73:R73"/>
    <mergeCell ref="K74:N74"/>
    <mergeCell ref="K75:N75"/>
    <mergeCell ref="K76:N76"/>
    <mergeCell ref="K69:N69"/>
    <mergeCell ref="K70:N70"/>
    <mergeCell ref="K71:N71"/>
    <mergeCell ref="K72:N72"/>
    <mergeCell ref="K73:N73"/>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s>
  <conditionalFormatting sqref="P15:S15">
    <cfRule type="expression" dxfId="89" priority="54">
      <formula>$AP$2=1</formula>
    </cfRule>
  </conditionalFormatting>
  <conditionalFormatting sqref="P15:S15">
    <cfRule type="expression" dxfId="88" priority="55">
      <formula>$D$18="CARPETA:"</formula>
    </cfRule>
  </conditionalFormatting>
  <conditionalFormatting sqref="D18">
    <cfRule type="expression" dxfId="87" priority="52">
      <formula>$AP$2=1</formula>
    </cfRule>
  </conditionalFormatting>
  <conditionalFormatting sqref="D18">
    <cfRule type="expression" dxfId="86" priority="51">
      <formula>$AP$2=1</formula>
    </cfRule>
  </conditionalFormatting>
  <conditionalFormatting sqref="D18">
    <cfRule type="expression" dxfId="85" priority="53">
      <formula>$D$18="CARPETA:"</formula>
    </cfRule>
  </conditionalFormatting>
  <conditionalFormatting sqref="T15">
    <cfRule type="expression" dxfId="84" priority="49">
      <formula>$AP$2=1</formula>
    </cfRule>
  </conditionalFormatting>
  <conditionalFormatting sqref="T15">
    <cfRule type="expression" dxfId="83" priority="50">
      <formula>$D$18="CARPETA:"</formula>
    </cfRule>
  </conditionalFormatting>
  <conditionalFormatting sqref="C19">
    <cfRule type="expression" dxfId="82" priority="48">
      <formula>$W$14=1</formula>
    </cfRule>
  </conditionalFormatting>
  <conditionalFormatting sqref="U16:V16">
    <cfRule type="expression" dxfId="81" priority="38">
      <formula>$D$16=""</formula>
    </cfRule>
  </conditionalFormatting>
  <conditionalFormatting sqref="H18:I18">
    <cfRule type="expression" dxfId="80" priority="33">
      <formula>$O$18=1</formula>
    </cfRule>
  </conditionalFormatting>
  <conditionalFormatting sqref="H19:N19">
    <cfRule type="expression" dxfId="79" priority="30">
      <formula>$H$19=""</formula>
    </cfRule>
  </conditionalFormatting>
  <conditionalFormatting sqref="R18:T18">
    <cfRule type="expression" dxfId="78" priority="29">
      <formula>$R$18=""</formula>
    </cfRule>
  </conditionalFormatting>
  <conditionalFormatting sqref="R19:T19">
    <cfRule type="expression" dxfId="77" priority="28">
      <formula>$R$19=""</formula>
    </cfRule>
  </conditionalFormatting>
  <conditionalFormatting sqref="M21:T21">
    <cfRule type="expression" dxfId="76" priority="27">
      <formula>$M$21=""</formula>
    </cfRule>
  </conditionalFormatting>
  <conditionalFormatting sqref="N22:T22">
    <cfRule type="expression" dxfId="75" priority="26">
      <formula>$N$22=""</formula>
    </cfRule>
  </conditionalFormatting>
  <conditionalFormatting sqref="I23">
    <cfRule type="expression" dxfId="74" priority="25">
      <formula>$I$23=""</formula>
    </cfRule>
  </conditionalFormatting>
  <conditionalFormatting sqref="F24:N24">
    <cfRule type="expression" dxfId="73" priority="24">
      <formula>$F$24=""</formula>
    </cfRule>
  </conditionalFormatting>
  <conditionalFormatting sqref="J25:N25">
    <cfRule type="expression" dxfId="72" priority="23">
      <formula>$J$25=""</formula>
    </cfRule>
  </conditionalFormatting>
  <conditionalFormatting sqref="K26:N26">
    <cfRule type="expression" dxfId="71" priority="22">
      <formula>$K$26=""</formula>
    </cfRule>
  </conditionalFormatting>
  <conditionalFormatting sqref="E27">
    <cfRule type="expression" dxfId="70" priority="21">
      <formula>$E$27=""</formula>
    </cfRule>
  </conditionalFormatting>
  <conditionalFormatting sqref="L27:N27">
    <cfRule type="expression" dxfId="69" priority="20">
      <formula>$L$27=""</formula>
    </cfRule>
  </conditionalFormatting>
  <conditionalFormatting sqref="Q24:T24">
    <cfRule type="expression" dxfId="68" priority="19">
      <formula>$Q$24=""</formula>
    </cfRule>
  </conditionalFormatting>
  <conditionalFormatting sqref="Q25:T25">
    <cfRule type="expression" dxfId="67" priority="4">
      <formula xml:space="preserve"> AN40= "VENCIDO"</formula>
    </cfRule>
    <cfRule type="expression" dxfId="66" priority="5">
      <formula>AM40=4</formula>
    </cfRule>
    <cfRule type="expression" dxfId="65" priority="18">
      <formula>$Q$25=""</formula>
    </cfRule>
  </conditionalFormatting>
  <conditionalFormatting sqref="T26">
    <cfRule type="expression" dxfId="64" priority="17">
      <formula>$T$26=""</formula>
    </cfRule>
  </conditionalFormatting>
  <conditionalFormatting sqref="I31">
    <cfRule type="expression" dxfId="63" priority="15">
      <formula>$I$31=""</formula>
    </cfRule>
  </conditionalFormatting>
  <conditionalFormatting sqref="D33:T36">
    <cfRule type="expression" dxfId="62" priority="14">
      <formula>$D$33=""</formula>
    </cfRule>
  </conditionalFormatting>
  <conditionalFormatting sqref="G38">
    <cfRule type="expression" dxfId="61" priority="13">
      <formula>$G$38=""</formula>
    </cfRule>
  </conditionalFormatting>
  <conditionalFormatting sqref="D43:J43">
    <cfRule type="expression" dxfId="60" priority="12">
      <formula>$D$43=""</formula>
    </cfRule>
  </conditionalFormatting>
  <conditionalFormatting sqref="P43:T43">
    <cfRule type="expression" dxfId="59" priority="11">
      <formula>$P$43=""</formula>
    </cfRule>
  </conditionalFormatting>
  <conditionalFormatting sqref="S27:T27">
    <cfRule type="expression" dxfId="58" priority="1">
      <formula xml:space="preserve"> AP42= "VENCIDO"</formula>
    </cfRule>
    <cfRule type="expression" dxfId="57" priority="2">
      <formula>AO42=4</formula>
    </cfRule>
    <cfRule type="expression" dxfId="56"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29 de septiembre de 2025</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55" priority="32" operator="containsText" text="V">
      <formula>NOT(ISERROR(SEARCH("V",H1079)))</formula>
    </cfRule>
  </conditionalFormatting>
  <conditionalFormatting sqref="G1079:G1818">
    <cfRule type="containsText" dxfId="54" priority="31" operator="containsText" text="A">
      <formula>NOT(ISERROR(SEARCH("A",G1079)))</formula>
    </cfRule>
  </conditionalFormatting>
  <conditionalFormatting sqref="P13:Q13">
    <cfRule type="expression" dxfId="53" priority="28">
      <formula>$R$1</formula>
    </cfRule>
  </conditionalFormatting>
  <conditionalFormatting sqref="G1725:G1728 G1247:G1336 G1342:G1378 G1384:G1483 G1492:G1623 G1627:G1723 G1732:G1818 G1079:G1243">
    <cfRule type="containsText" dxfId="52" priority="25" operator="containsText" text="A">
      <formula>NOT(ISERROR(SEARCH("A",G1079)))</formula>
    </cfRule>
  </conditionalFormatting>
  <conditionalFormatting sqref="I1079:O1376 B1079:B1821 H1079:H1813 E1079:E1817 G1079:G1818 C1079:C1823 D1079:D1819 B14:E1078">
    <cfRule type="expression" dxfId="51" priority="15">
      <formula>$R14=1</formula>
    </cfRule>
  </conditionalFormatting>
  <conditionalFormatting sqref="P1079:Q1714">
    <cfRule type="expression" dxfId="50" priority="14">
      <formula>$S1079=1</formula>
    </cfRule>
  </conditionalFormatting>
  <conditionalFormatting sqref="F1079:F1829">
    <cfRule type="containsText" dxfId="49" priority="12" operator="containsText" text="û">
      <formula>NOT(ISERROR(SEARCH("û",F1079)))</formula>
    </cfRule>
  </conditionalFormatting>
  <conditionalFormatting sqref="G1079:Q1825">
    <cfRule type="containsText" dxfId="48" priority="11" operator="containsText" text="X">
      <formula>NOT(ISERROR(SEARCH("X",G1079)))</formula>
    </cfRule>
  </conditionalFormatting>
  <conditionalFormatting sqref="F14:F1078">
    <cfRule type="expression" dxfId="47" priority="10">
      <formula>$R14=1</formula>
    </cfRule>
  </conditionalFormatting>
  <conditionalFormatting sqref="H14:H1078">
    <cfRule type="containsText" dxfId="46" priority="8" operator="containsText" text="V">
      <formula>NOT(ISERROR(SEARCH("V",H14)))</formula>
    </cfRule>
  </conditionalFormatting>
  <conditionalFormatting sqref="G14:G1078">
    <cfRule type="containsText" dxfId="45" priority="7" operator="containsText" text="A">
      <formula>NOT(ISERROR(SEARCH("A",G14)))</formula>
    </cfRule>
  </conditionalFormatting>
  <conditionalFormatting sqref="G14:O1078">
    <cfRule type="expression" dxfId="44" priority="6">
      <formula>$R14=1</formula>
    </cfRule>
  </conditionalFormatting>
  <conditionalFormatting sqref="P14:Q1078">
    <cfRule type="expression" dxfId="43" priority="5">
      <formula>$S14=1</formula>
    </cfRule>
  </conditionalFormatting>
  <conditionalFormatting sqref="G14:Q1078">
    <cfRule type="containsText" dxfId="42" priority="4" operator="containsText" text="X">
      <formula>NOT(ISERROR(SEARCH("X",G14)))</formula>
    </cfRule>
  </conditionalFormatting>
  <conditionalFormatting sqref="J14:J1078">
    <cfRule type="containsText" dxfId="41" priority="3" operator="containsText" text="A">
      <formula>NOT(ISERROR(SEARCH("A",J14)))</formula>
    </cfRule>
  </conditionalFormatting>
  <conditionalFormatting sqref="J14:J1835">
    <cfRule type="containsText" dxfId="40" priority="2" operator="containsText" text="O">
      <formula>NOT(ISERROR(SEARCH("O",J14)))</formula>
    </cfRule>
  </conditionalFormatting>
  <conditionalFormatting sqref="I14:I1835">
    <cfRule type="containsText" dxfId="3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2024-11-27T15:43:42Z</cp:lastPrinted>
  <dcterms:created xsi:type="dcterms:W3CDTF">2019-10-18T13:17:58Z</dcterms:created>
  <dcterms:modified xsi:type="dcterms:W3CDTF">2025-09-29T17:09:06Z</dcterms:modified>
</cp:coreProperties>
</file>