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4" l="1"/>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J26" i="27" s="1"/>
  <c r="BJ56" i="27"/>
  <c r="AK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H28" i="27" s="1"/>
  <c r="BJ37" i="27"/>
  <c r="BJ47" i="27"/>
  <c r="AI30" i="27" s="1"/>
  <c r="BJ49" i="27"/>
  <c r="BJ42" i="27"/>
  <c r="AT28" i="27" s="1"/>
  <c r="DD262" i="1"/>
  <c r="N19" i="4"/>
  <c r="BJ50" i="27" l="1"/>
  <c r="AE28" i="27" s="1"/>
  <c r="BJ58" i="27"/>
  <c r="D46" i="27" s="1"/>
  <c r="BJ53" i="27"/>
  <c r="AL18" i="27" s="1"/>
  <c r="AP24"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<sst xmlns="http://schemas.openxmlformats.org/spreadsheetml/2006/main" count="20708" uniqueCount="10605">
  <si>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</si>
  <si>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</si>
  <si>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</si>
  <si>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</si>
  <si>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</si>
  <si>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</si>
  <si>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</si>
  <si>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</si>
  <si>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</si>
  <si>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</si>
  <si>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</si>
  <si>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</si>
  <si>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</si>
  <si>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</si>
  <si>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</si>
  <si>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</si>
  <si>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</si>
  <si>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</si>
  <si>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</si>
  <si>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</si>
  <si>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</si>
  <si>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</si>
  <si>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</si>
  <si>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</si>
  <si>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</si>
  <si>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</si>
  <si>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</si>
  <si>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</si>
  <si>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</si>
  <si>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</si>
  <si>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</si>
  <si>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</si>
  <si>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</si>
  <si>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</si>
  <si>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</si>
  <si>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</si>
  <si>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</si>
  <si>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</si>
  <si>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</si>
  <si>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</si>
  <si>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</si>
  <si>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</si>
  <si>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</si>
  <si>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</si>
  <si>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</si>
  <si>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</si>
  <si>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</si>
  <si>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</si>
  <si>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</si>
  <si>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</si>
  <si>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</si>
  <si>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</si>
  <si>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</si>
  <si>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</si>
  <si>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</si>
  <si>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</si>
  <si>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</si>
  <si>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</si>
  <si>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</si>
  <si>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</si>
  <si>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</si>
  <si>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</si>
  <si>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</si>
  <si>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</si>
  <si>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</si>
  <si>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</si>
  <si>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</si>
  <si>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</si>
  <si>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</si>
  <si>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</si>
  <si>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</si>
  <si>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</si>
  <si>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</si>
  <si>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</si>
  <si>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</si>
  <si>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</si>
  <si>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</si>
  <si>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</si>
  <si>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</si>
  <si>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</si>
  <si>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</si>
  <si>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</si>
  <si>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</si>
  <si>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</si>
  <si>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</si>
  <si>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</si>
  <si>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</si>
  <si>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</si>
  <si>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</si>
  <si>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</si>
  <si>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</si>
  <si>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</si>
  <si>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</si>
  <si>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</si>
  <si>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</si>
  <si>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</si>
  <si>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</si>
  <si>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</si>
  <si>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</si>
  <si>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</si>
  <si>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</si>
  <si>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</si>
  <si>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</si>
  <si>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</si>
  <si>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</si>
  <si>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</si>
  <si>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</si>
  <si>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</si>
  <si>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</si>
  <si>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</si>
  <si>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</si>
  <si>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</si>
  <si>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</si>
  <si>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</si>
  <si>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</si>
  <si>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</si>
  <si>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</si>
  <si>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</si>
  <si>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</si>
  <si>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</si>
  <si>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</si>
  <si>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</si>
  <si>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</si>
  <si>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</si>
  <si>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</si>
  <si>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</si>
  <si>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</si>
  <si>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</si>
  <si>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</si>
  <si>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</si>
  <si>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</si>
  <si>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</si>
  <si>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</si>
  <si>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</si>
  <si>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</si>
  <si>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</si>
  <si>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</si>
  <si>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</si>
  <si>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</si>
  <si>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</si>
  <si>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</si>
  <si>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</si>
  <si>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</si>
  <si>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</si>
  <si>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</si>
  <si>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</si>
  <si>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</si>
  <si>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</si>
  <si>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</si>
  <si>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</si>
  <si>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</si>
  <si>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</si>
  <si>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</si>
  <si>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</si>
  <si>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</si>
  <si>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</si>
  <si>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</si>
  <si>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</si>
  <si>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</si>
  <si>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</si>
  <si>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</si>
  <si>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</si>
  <si>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</si>
  <si>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</si>
  <si>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</si>
  <si>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</si>
  <si>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</si>
  <si>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</si>
  <si>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</si>
  <si>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</si>
  <si>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</si>
  <si>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</si>
  <si>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</si>
  <si>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</si>
  <si>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</si>
  <si>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</si>
  <si>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</si>
  <si>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</si>
  <si>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</si>
  <si>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</si>
  <si>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</si>
  <si>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</si>
  <si>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</si>
  <si>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</si>
  <si>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</si>
  <si>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</si>
  <si>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</si>
  <si>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</si>
  <si>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</si>
  <si>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</si>
  <si>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</si>
  <si>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</si>
  <si>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</si>
  <si>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</si>
  <si>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</si>
  <si>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</si>
  <si>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</si>
  <si>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</si>
  <si>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</si>
  <si>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</si>
  <si>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</si>
  <si>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</si>
  <si>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</si>
  <si>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</si>
  <si>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</si>
  <si>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</si>
  <si>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</si>
  <si>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</si>
  <si>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</si>
  <si>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</si>
  <si>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</si>
  <si>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</si>
  <si>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</si>
  <si>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</si>
  <si>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</si>
  <si>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</si>
  <si>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</si>
  <si>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</si>
  <si>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</si>
  <si>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</si>
  <si>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</si>
  <si>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</si>
  <si>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</si>
  <si>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</si>
  <si>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</si>
  <si>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</si>
  <si>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</si>
  <si>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</si>
  <si>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</si>
  <si>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</si>
  <si>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</si>
  <si>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</si>
  <si>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</si>
  <si>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</si>
  <si>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</si>
  <si>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</si>
  <si>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</si>
  <si>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</si>
  <si>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</si>
  <si>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</si>
  <si>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</si>
  <si>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</si>
  <si>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</si>
  <si>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</si>
  <si>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</si>
  <si>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</si>
  <si>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</si>
  <si>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</si>
  <si>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</si>
  <si>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</si>
  <si>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</si>
  <si>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</si>
  <si>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</si>
  <si>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</si>
  <si>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</si>
  <si>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</si>
  <si>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</si>
  <si>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</si>
  <si>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</si>
  <si>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</si>
  <si>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</si>
  <si>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</si>
  <si>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</si>
  <si>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</si>
  <si>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</si>
  <si>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</si>
  <si>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</si>
  <si>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</si>
  <si>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</si>
  <si>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</si>
  <si>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</si>
  <si>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</si>
  <si>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</si>
  <si>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</si>
  <si>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</si>
  <si>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</si>
  <si>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</si>
  <si>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</si>
  <si>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</si>
  <si>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</si>
  <si>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</si>
  <si>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</si>
  <si>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</si>
  <si>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</si>
  <si>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</si>
  <si>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</si>
  <si>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</si>
  <si>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</si>
  <si>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</si>
  <si>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</si>
  <si>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</si>
  <si>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</si>
  <si>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</si>
  <si>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</si>
  <si>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</si>
  <si>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</si>
  <si>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</si>
  <si>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</si>
  <si>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</si>
  <si>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</si>
  <si>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</si>
  <si>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</si>
  <si>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</si>
  <si>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</si>
  <si>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</si>
  <si>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</si>
  <si>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</si>
  <si>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</si>
  <si>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</si>
  <si>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</si>
  <si>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</si>
  <si>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</si>
  <si>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</si>
  <si>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</si>
  <si>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</si>
  <si>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</si>
  <si>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</si>
  <si>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</si>
  <si>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</si>
  <si>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</si>
  <si>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</si>
  <si>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</si>
  <si>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</si>
  <si>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</si>
  <si>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</si>
  <si>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</si>
  <si>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</si>
  <si>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</si>
  <si>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</si>
  <si>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</si>
  <si>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</si>
  <si>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</si>
  <si>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</si>
  <si>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</si>
  <si>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</si>
  <si>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</si>
  <si>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</si>
  <si>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</si>
  <si>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</si>
  <si>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</si>
  <si>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</si>
  <si>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</si>
  <si>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</si>
  <si>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</si>
  <si>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</si>
  <si>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</si>
  <si>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</si>
  <si>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</si>
  <si>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</si>
  <si>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</si>
  <si>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</si>
  <si>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</si>
  <si>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</si>
  <si>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</si>
  <si>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</si>
  <si>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</si>
  <si>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</si>
  <si>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</si>
  <si>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</si>
  <si>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</si>
  <si>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</si>
  <si>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</si>
  <si>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</si>
  <si>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</si>
  <si>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</si>
  <si>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</si>
  <si>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</si>
  <si>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</si>
  <si>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</si>
  <si>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</si>
  <si>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</si>
  <si>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</si>
  <si>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</si>
  <si>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</si>
  <si>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</si>
  <si>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</si>
  <si>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</si>
  <si>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</si>
  <si>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</si>
  <si>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</si>
  <si>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</si>
  <si>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</si>
  <si>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</si>
  <si>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</si>
  <si>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</si>
  <si>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</si>
  <si>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</si>
  <si>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</si>
  <si>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</si>
  <si>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</si>
  <si>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</si>
  <si>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</si>
  <si>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</si>
  <si>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</si>
  <si>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</si>
  <si>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</si>
  <si>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</si>
  <si>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</si>
  <si>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</si>
  <si>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</si>
  <si>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</si>
  <si>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</si>
  <si>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</si>
  <si>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</si>
  <si>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</si>
  <si>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</si>
  <si>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</si>
  <si>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</si>
  <si>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</si>
  <si>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</si>
  <si>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</si>
  <si>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</si>
  <si>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</si>
  <si>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</si>
  <si>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</si>
  <si>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</si>
  <si>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</si>
  <si>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</si>
  <si>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</si>
  <si>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</si>
  <si>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</si>
  <si>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</si>
  <si>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</si>
  <si>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</si>
  <si>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</si>
  <si>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</si>
  <si>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</si>
  <si>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</si>
  <si>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</si>
  <si>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</si>
  <si>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</si>
  <si>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</si>
  <si>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</si>
  <si>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</si>
  <si>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</si>
  <si>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</si>
  <si>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</si>
  <si>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</si>
  <si>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</si>
  <si>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</si>
  <si>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</si>
  <si>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</si>
  <si>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</si>
  <si>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</si>
  <si>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</si>
  <si>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</si>
  <si>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</si>
  <si>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</si>
  <si>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</si>
  <si>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</si>
  <si>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</si>
  <si>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</si>
  <si>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</si>
  <si>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</si>
  <si>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</si>
  <si>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</si>
  <si>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</si>
  <si>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</si>
  <si>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</si>
  <si>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</si>
  <si>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</si>
  <si>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</si>
  <si>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</si>
  <si>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</si>
  <si>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</si>
  <si>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</si>
  <si>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</si>
  <si>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</si>
  <si>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</si>
  <si>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</si>
  <si>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</si>
  <si>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</si>
  <si>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</si>
  <si>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</si>
  <si>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</si>
  <si>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</si>
  <si>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</si>
  <si>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</si>
  <si>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</si>
  <si>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</si>
  <si>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</si>
  <si>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</si>
  <si>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</si>
  <si>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</si>
  <si>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</si>
  <si>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</si>
  <si>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</si>
  <si>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</si>
  <si>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</si>
  <si>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</si>
  <si>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</si>
  <si>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</si>
  <si>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</si>
  <si>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</si>
  <si>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</si>
  <si>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</si>
  <si>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</si>
  <si>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</si>
  <si>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</si>
  <si>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</si>
  <si>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</si>
  <si>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</si>
  <si>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</si>
  <si>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</si>
  <si>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</si>
  <si>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</si>
  <si>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</si>
  <si>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</si>
  <si>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</si>
  <si>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</si>
  <si>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</si>
  <si>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</si>
  <si>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</si>
  <si>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</si>
  <si>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</si>
  <si>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</si>
  <si>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</si>
  <si>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</si>
  <si>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</si>
  <si>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</si>
  <si>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</si>
  <si>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</si>
  <si>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</si>
  <si>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</si>
  <si>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</si>
  <si>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</si>
  <si>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</si>
  <si>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</si>
  <si>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</si>
  <si>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</si>
  <si>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</si>
  <si>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</si>
  <si>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</si>
  <si>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</si>
  <si>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</si>
  <si>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</si>
  <si>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</si>
  <si>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</si>
  <si>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</si>
  <si>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</si>
  <si>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</si>
  <si>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</si>
  <si>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</si>
  <si>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</si>
  <si>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</si>
  <si>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</si>
  <si>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</si>
  <si>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</si>
  <si>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</si>
  <si>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</si>
  <si>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</si>
  <si>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</si>
  <si>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</si>
  <si>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</si>
  <si>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</si>
  <si>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</si>
  <si>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</si>
  <si>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</si>
  <si>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</si>
  <si>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</si>
  <si>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</si>
  <si>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</si>
  <si>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</si>
  <si>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</si>
  <si>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</si>
  <si>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</si>
  <si>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</si>
  <si>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</si>
  <si>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</si>
  <si>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</si>
  <si>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</si>
  <si>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</si>
  <si>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</si>
  <si>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</si>
  <si>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</si>
  <si>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</si>
  <si>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</si>
  <si>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</si>
  <si>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</si>
  <si>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</si>
  <si>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</si>
  <si>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</si>
  <si>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</si>
  <si>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</si>
  <si>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</si>
  <si>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</si>
  <si>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</si>
  <si>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</si>
  <si>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</si>
  <si>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</si>
  <si>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</si>
  <si>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</si>
  <si>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</si>
  <si>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</si>
  <si>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</si>
  <si>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</si>
  <si>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</si>
  <si>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</si>
  <si>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</si>
  <si>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</si>
  <si>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</si>
  <si>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</si>
  <si>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</si>
  <si>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</si>
  <si>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</si>
  <si>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</si>
  <si>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</si>
  <si>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</si>
  <si>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</si>
  <si>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</si>
  <si>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</si>
  <si>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</si>
  <si>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</si>
  <si>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</si>
  <si>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</si>
  <si>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</si>
  <si>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</si>
  <si>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</si>
  <si>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</si>
  <si>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</si>
  <si>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</si>
  <si>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</si>
  <si>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</si>
  <si>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</si>
  <si>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</si>
  <si>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</si>
  <si>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</si>
  <si>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</si>
  <si>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</si>
  <si>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</si>
  <si>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</si>
  <si>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</si>
  <si>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</si>
  <si>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</si>
  <si>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</si>
  <si>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</si>
  <si>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</si>
  <si>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</si>
  <si>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</si>
  <si>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</si>
  <si>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</si>
  <si>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</si>
  <si>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</si>
  <si>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</si>
  <si>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</si>
  <si>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</si>
  <si>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</si>
  <si>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</si>
  <si>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</si>
  <si>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</si>
  <si>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</si>
  <si>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</si>
  <si>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</si>
  <si>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</si>
  <si>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</si>
  <si>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</si>
  <si>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</si>
  <si>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</si>
  <si>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</si>
  <si>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</si>
  <si>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</si>
  <si>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</si>
  <si>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</si>
  <si>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</si>
  <si>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</si>
  <si>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</si>
  <si>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</si>
  <si>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</si>
  <si>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</si>
  <si>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</si>
  <si>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</si>
  <si>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</si>
  <si>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</si>
  <si>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</si>
  <si>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</si>
  <si>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</si>
  <si>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</si>
  <si>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</si>
  <si>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</si>
  <si>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</si>
  <si>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</si>
  <si>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</si>
  <si>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</si>
  <si>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</si>
  <si>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</si>
  <si>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</si>
  <si>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</si>
  <si>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</si>
  <si>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</si>
  <si>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</si>
  <si>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</si>
  <si>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</si>
  <si>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</si>
  <si>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</si>
  <si>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</si>
  <si>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</si>
  <si>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</si>
  <si>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</si>
  <si>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</si>
  <si>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</si>
  <si>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</si>
  <si>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</si>
  <si>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</si>
  <si>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</si>
  <si>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</si>
  <si>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</si>
  <si>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</si>
  <si>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</si>
  <si>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</si>
  <si>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</si>
  <si>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</si>
  <si>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</si>
  <si>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</si>
  <si>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</si>
  <si>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</si>
  <si>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</si>
  <si>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</si>
  <si>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</si>
  <si>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</si>
  <si>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</si>
  <si>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</si>
  <si>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</si>
  <si>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</si>
  <si>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</si>
  <si>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</si>
  <si>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</si>
  <si>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</si>
  <si>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</si>
  <si>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</si>
  <si>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</si>
  <si>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</si>
  <si>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</si>
  <si>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</si>
  <si>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</si>
  <si>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</si>
  <si>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</si>
  <si>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</si>
  <si>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</si>
  <si>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</si>
  <si>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</si>
  <si>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</si>
  <si>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</si>
  <si>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</si>
  <si>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</si>
  <si>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</si>
  <si>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</si>
  <si>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</si>
  <si>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</si>
  <si>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</si>
  <si>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</si>
  <si>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</si>
  <si>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</si>
  <si>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</si>
  <si>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</si>
  <si>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</si>
  <si>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</si>
  <si>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</si>
  <si>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</si>
  <si>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</si>
  <si>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</si>
  <si>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</si>
  <si>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</si>
  <si>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</si>
  <si>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</si>
  <si>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</si>
  <si>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</si>
  <si>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</si>
  <si>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</si>
  <si>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</si>
  <si>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</si>
  <si>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</si>
  <si>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</si>
  <si>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</si>
  <si>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</si>
  <si>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</si>
  <si>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</si>
  <si>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</si>
  <si>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</si>
  <si>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</si>
  <si>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</si>
  <si>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</si>
  <si>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</si>
  <si>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</si>
  <si>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</si>
  <si>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</si>
  <si>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</si>
  <si>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</si>
  <si>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</si>
  <si>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</si>
  <si>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</si>
  <si>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</si>
  <si>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</si>
  <si>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</si>
  <si>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</si>
  <si>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</si>
  <si>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</si>
  <si>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</si>
  <si>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</si>
  <si>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</si>
  <si>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</si>
  <si>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</si>
  <si>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</si>
  <si>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</si>
  <si>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</si>
  <si>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</si>
  <si>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</si>
  <si>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</si>
  <si>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</si>
  <si>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</si>
  <si>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</si>
  <si>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</si>
  <si>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</si>
  <si>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</si>
  <si>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</si>
  <si>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</si>
  <si>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</si>
  <si>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</si>
  <si>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</si>
  <si>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</si>
  <si>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</si>
  <si>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</si>
  <si>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</si>
  <si>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</si>
  <si>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</si>
  <si>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</si>
  <si>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</si>
  <si>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</si>
  <si>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</si>
  <si>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</si>
  <si>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</si>
  <si>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</si>
  <si>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</si>
  <si>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</si>
  <si>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</si>
  <si>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</si>
  <si>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</si>
  <si>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</si>
  <si>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</si>
  <si>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</si>
  <si>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</si>
  <si>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</si>
  <si>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</si>
  <si>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</si>
  <si>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</si>
  <si>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</si>
  <si>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</si>
  <si>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</si>
  <si>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</si>
  <si>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</si>
  <si>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</si>
  <si>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</si>
  <si>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</si>
  <si>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</si>
  <si>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</si>
  <si>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</si>
  <si>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</si>
  <si>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</si>
  <si>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</si>
  <si>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</si>
  <si>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</si>
  <si>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</si>
  <si>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</si>
  <si>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</si>
  <si>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</si>
  <si>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</si>
  <si>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</si>
  <si>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</si>
  <si>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</si>
  <si>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</si>
  <si>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</si>
  <si>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</si>
  <si>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</si>
  <si>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</si>
  <si>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</si>
  <si>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</si>
  <si>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</si>
  <si>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</si>
  <si>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</si>
  <si>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</si>
  <si>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</si>
  <si>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</si>
  <si>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</si>
  <si>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</si>
  <si>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</si>
  <si>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</si>
  <si>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</si>
  <si>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</si>
  <si>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</si>
  <si>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</si>
  <si>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</si>
  <si>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</si>
  <si>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</si>
  <si>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</si>
  <si>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</si>
  <si>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</si>
  <si>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</si>
  <si>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</si>
  <si>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</si>
  <si>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</si>
  <si>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</si>
  <si>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</si>
  <si>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</si>
  <si>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</si>
  <si>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</si>
  <si>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</si>
  <si>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</si>
  <si>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</si>
  <si>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</si>
  <si>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</si>
  <si>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</si>
  <si>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</si>
  <si>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</si>
  <si>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</si>
  <si>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</si>
  <si>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</si>
  <si>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</si>
  <si>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</si>
  <si>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</si>
  <si>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</si>
  <si>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</si>
  <si>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</si>
  <si>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</si>
  <si>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</si>
  <si>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</si>
  <si>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</si>
  <si>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</si>
  <si>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</si>
  <si>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</si>
  <si>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</si>
  <si>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</si>
  <si>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</si>
  <si>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</si>
  <si>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</si>
  <si>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</si>
  <si>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</si>
  <si>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</si>
  <si>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</si>
  <si>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</si>
  <si>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</si>
  <si>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</si>
  <si>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</si>
  <si>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</si>
  <si>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</si>
  <si>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</si>
  <si>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</si>
  <si>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</si>
  <si>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</si>
  <si>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</si>
  <si>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</si>
  <si>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</si>
  <si>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</si>
  <si>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</si>
  <si>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</si>
  <si>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</si>
  <si>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</si>
  <si>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</si>
  <si>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</si>
  <si>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</si>
  <si>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</si>
  <si>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</si>
  <si>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</si>
  <si>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</si>
  <si>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</si>
  <si>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</si>
  <si>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</si>
  <si>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</si>
  <si>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</si>
  <si>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</si>
  <si>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</si>
  <si>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</si>
  <si>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</si>
  <si>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</si>
  <si>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</si>
  <si>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</si>
  <si>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</si>
  <si>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</si>
  <si>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</si>
  <si>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</si>
  <si>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</si>
  <si>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</si>
  <si>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</si>
  <si>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</si>
  <si>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</si>
  <si>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</si>
  <si>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</si>
  <si>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</si>
  <si>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</si>
  <si>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</si>
  <si>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</si>
  <si>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</si>
  <si>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</si>
  <si>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</si>
  <si>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</si>
  <si>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</si>
  <si>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</si>
  <si>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</si>
  <si>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</si>
  <si>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</si>
  <si>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</si>
  <si>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</si>
  <si>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</si>
  <si>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</si>
  <si>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</si>
  <si>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</si>
  <si>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</si>
  <si>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</si>
  <si>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</si>
  <si>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</si>
  <si>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</si>
  <si>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</si>
  <si>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</si>
  <si>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</si>
  <si>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</si>
  <si>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</si>
  <si>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</si>
  <si>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</si>
  <si>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</si>
  <si>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</si>
  <si>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</si>
  <si>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</si>
  <si>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</si>
  <si>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</si>
  <si>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</si>
  <si>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</si>
  <si>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</si>
  <si>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</si>
  <si>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</si>
  <si>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</si>
  <si>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</si>
  <si>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</si>
  <si>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</si>
  <si>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</si>
  <si>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</si>
  <si>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</si>
  <si>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</si>
  <si>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</si>
  <si>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</si>
  <si>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</si>
  <si>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</si>
  <si>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</si>
  <si>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</si>
  <si>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</si>
  <si>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</si>
  <si>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</si>
  <si>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</si>
  <si>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</si>
  <si>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</si>
  <si>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</si>
  <si>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</si>
  <si>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</si>
  <si>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</si>
  <si>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</si>
  <si>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</si>
  <si>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</si>
  <si>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</si>
  <si>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</si>
  <si>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</si>
  <si>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</si>
  <si>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</si>
  <si>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</si>
  <si>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</si>
  <si>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</si>
  <si>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</si>
  <si>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</si>
  <si>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</si>
  <si>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</si>
  <si>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</si>
  <si>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</si>
  <si>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</si>
  <si>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</si>
  <si>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</si>
  <si>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</si>
  <si>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</si>
  <si>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</si>
  <si>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</si>
  <si>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</si>
  <si>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</si>
  <si>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</si>
  <si>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</si>
  <si>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</si>
  <si>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</si>
  <si>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</si>
  <si>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</si>
  <si>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</si>
  <si>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</si>
  <si>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</si>
  <si>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</si>
  <si>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</si>
  <si>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</si>
  <si>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</si>
  <si>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</si>
  <si>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</si>
  <si>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</si>
  <si>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</si>
  <si>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</si>
  <si>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</si>
  <si>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</si>
  <si>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</si>
  <si>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</si>
  <si>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</si>
  <si>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</si>
  <si>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</si>
  <si>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</si>
  <si>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</si>
  <si>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</si>
  <si>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</si>
  <si>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</si>
  <si>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</si>
  <si>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</si>
  <si>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</si>
  <si>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</si>
  <si>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</si>
  <si>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</si>
  <si>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</si>
  <si>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</si>
  <si>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</si>
  <si>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</si>
  <si>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</si>
  <si>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</si>
  <si>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</si>
  <si>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</si>
  <si>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</si>
  <si>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</si>
  <si>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</si>
  <si>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</si>
  <si>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</si>
  <si>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</si>
  <si>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</si>
  <si>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</si>
  <si>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</si>
  <si>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</si>
  <si>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</si>
  <si>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</si>
  <si>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</si>
  <si>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</si>
  <si>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</si>
  <si>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</si>
  <si>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</si>
  <si>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</si>
  <si>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</si>
  <si>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</si>
  <si>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</si>
  <si>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</si>
  <si>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</si>
  <si>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</si>
  <si>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</si>
  <si>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</si>
  <si>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</si>
  <si>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</si>
  <si>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</si>
  <si>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</si>
  <si>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</si>
  <si>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</si>
  <si>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</si>
  <si>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</si>
  <si>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</si>
  <si>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</si>
  <si>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</si>
  <si>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</si>
  <si>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</si>
  <si>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</si>
  <si>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</si>
  <si>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</si>
  <si>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</si>
  <si>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</si>
  <si>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</si>
  <si>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</si>
  <si>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</si>
  <si>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</si>
  <si>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</si>
  <si>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</si>
  <si>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</si>
  <si>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</si>
  <si>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</si>
  <si>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</si>
  <si>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</si>
  <si>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</si>
  <si>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</si>
  <si>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</si>
  <si>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</si>
  <si>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</si>
  <si>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</si>
  <si>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</si>
  <si>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</si>
  <si>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</si>
  <si>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</si>
  <si>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</si>
  <si>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</si>
  <si>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</si>
  <si>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</si>
  <si>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</si>
  <si>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</si>
  <si>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</si>
  <si>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</si>
  <si>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</si>
  <si>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</si>
  <si>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</si>
  <si>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</si>
  <si>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</si>
  <si>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</si>
  <si>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</si>
  <si>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</si>
  <si>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</si>
  <si>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</si>
  <si>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</si>
  <si>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</si>
  <si>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</si>
  <si>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</si>
  <si>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</si>
  <si>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</si>
  <si>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</si>
  <si>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</si>
  <si>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</si>
  <si>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</si>
  <si>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</si>
  <si>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</si>
  <si>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</si>
  <si>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</si>
  <si>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</si>
  <si>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</si>
  <si>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</si>
  <si>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</si>
  <si>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</si>
  <si>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</si>
  <si>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</si>
  <si>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</si>
  <si>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</si>
  <si>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</si>
  <si>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</si>
  <si>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</si>
  <si>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</si>
  <si>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</si>
  <si>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</si>
  <si>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</si>
  <si>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</si>
  <si>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</si>
  <si>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</si>
  <si>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</si>
  <si>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</si>
  <si>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</si>
  <si>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</si>
  <si>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</si>
  <si>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</si>
  <si>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</si>
  <si>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</si>
  <si>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</si>
  <si>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</si>
  <si>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</si>
  <si>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</si>
  <si>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</si>
  <si>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</si>
  <si>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</si>
  <si>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</si>
  <si>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</si>
  <si>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</si>
  <si>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</si>
  <si>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</si>
  <si>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</si>
  <si>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</si>
  <si>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</si>
  <si>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</si>
  <si>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</si>
  <si>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</si>
  <si>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</si>
  <si>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</si>
  <si>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</si>
  <si>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</si>
  <si>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</si>
  <si>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</si>
  <si>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</si>
  <si>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</si>
  <si>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</si>
  <si>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</si>
  <si>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</si>
  <si>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</si>
  <si>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</si>
  <si>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</si>
  <si>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</si>
  <si>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</si>
  <si>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</si>
  <si>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</si>
  <si>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</si>
  <si>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</si>
  <si>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</si>
  <si>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</si>
  <si>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</si>
  <si>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</si>
  <si>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</si>
  <si>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</si>
  <si>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</si>
  <si>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</si>
  <si>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</si>
  <si>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</si>
  <si>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</si>
  <si>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</si>
  <si>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</si>
  <si>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</si>
  <si>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</si>
  <si>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</si>
  <si>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</si>
  <si>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</si>
  <si>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</si>
  <si>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</si>
  <si>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</si>
  <si>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</si>
  <si>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</si>
  <si>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</si>
  <si>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</si>
  <si>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</si>
  <si>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</si>
  <si>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</si>
  <si>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</si>
  <si>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</si>
  <si>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</si>
  <si>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</si>
  <si>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</si>
  <si>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</si>
  <si>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</si>
  <si>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</si>
  <si>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</si>
  <si>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</si>
  <si>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</si>
  <si>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</si>
  <si>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</si>
  <si>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</si>
  <si>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</si>
  <si>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</si>
  <si>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</si>
  <si>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</si>
  <si>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</si>
  <si>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</si>
  <si>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</si>
  <si>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</si>
  <si>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</si>
  <si>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</si>
  <si>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</si>
  <si>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</si>
  <si>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</si>
  <si>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</si>
  <si>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</si>
  <si>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</si>
  <si>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</si>
  <si>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</si>
  <si>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</si>
  <si>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</si>
  <si>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</si>
  <si>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</si>
  <si>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</si>
  <si>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</si>
  <si>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</si>
  <si>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</si>
  <si>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</si>
  <si>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</si>
  <si>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</si>
  <si>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</si>
  <si>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</si>
  <si>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</si>
  <si>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</si>
  <si>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</si>
  <si>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</si>
  <si>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</si>
  <si>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</si>
  <si>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</si>
  <si>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</si>
  <si>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</si>
  <si>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</si>
  <si>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</si>
  <si>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</si>
  <si>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</si>
  <si>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</si>
  <si>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</si>
  <si>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</si>
  <si>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</si>
  <si>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</si>
  <si>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</si>
  <si>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</si>
  <si>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</si>
  <si>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</si>
  <si>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</si>
  <si>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</si>
  <si>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</si>
  <si>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</si>
  <si>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</si>
  <si>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</si>
  <si>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</si>
  <si>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</si>
  <si>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</si>
  <si>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</si>
  <si>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</si>
  <si>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</si>
  <si>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</si>
  <si>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</si>
  <si>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</si>
  <si>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</si>
  <si>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</si>
  <si>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</si>
  <si>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</si>
  <si>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</si>
  <si>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</si>
  <si>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</si>
  <si>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</si>
  <si>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</si>
  <si>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</si>
  <si>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</si>
  <si>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</si>
  <si>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</si>
  <si>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</si>
  <si>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</si>
  <si>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</si>
  <si>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</si>
  <si>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</si>
  <si>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</si>
  <si>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</si>
  <si>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</si>
  <si>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</si>
  <si>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</si>
  <si>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</si>
  <si>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</si>
  <si>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</si>
  <si>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</si>
  <si>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</si>
  <si>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</si>
  <si>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</si>
  <si>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</si>
  <si>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</si>
  <si>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</si>
  <si>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</si>
  <si>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</si>
  <si>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</si>
  <si>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</si>
  <si>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</si>
  <si>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</si>
  <si>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</si>
  <si>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</si>
  <si>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</si>
  <si>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</si>
  <si>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</si>
  <si>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</si>
  <si>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</si>
  <si>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</si>
  <si>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</si>
  <si>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</si>
  <si>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</si>
  <si>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</si>
  <si>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</si>
  <si>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</si>
  <si>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</si>
  <si>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</si>
  <si>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</si>
  <si>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</si>
  <si>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</si>
  <si>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</si>
  <si>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</si>
  <si>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</si>
  <si>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</si>
  <si>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</si>
  <si>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</si>
  <si>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</si>
  <si>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</si>
  <si>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</si>
  <si>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</si>
  <si>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</si>
  <si>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</si>
  <si>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</si>
  <si>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</si>
  <si>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</si>
  <si>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</si>
  <si>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</si>
  <si>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</si>
  <si>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</si>
  <si>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</si>
  <si>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</si>
  <si>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</si>
  <si>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</si>
  <si>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</si>
  <si>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</si>
  <si>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</si>
  <si>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</si>
  <si>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</si>
  <si>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</si>
  <si>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</si>
  <si>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</si>
  <si>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</si>
  <si>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</si>
  <si>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</si>
  <si>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</si>
  <si>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</si>
  <si>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</si>
  <si>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</si>
  <si>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</si>
  <si>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</si>
  <si>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</si>
  <si>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</si>
  <si>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</si>
  <si>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</si>
  <si>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</si>
  <si>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</si>
  <si>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</si>
  <si>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</si>
  <si>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</si>
  <si>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</si>
  <si>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</si>
  <si>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</si>
  <si>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</si>
  <si>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</si>
  <si>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</si>
  <si>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</si>
  <si>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</si>
  <si>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</si>
  <si>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</si>
  <si>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</si>
  <si>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</si>
  <si>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</si>
  <si>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</si>
  <si>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</si>
  <si>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</si>
  <si>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</si>
  <si>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</si>
  <si>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</si>
  <si>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</si>
  <si>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</si>
  <si>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</si>
  <si>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</si>
  <si>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</si>
  <si>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</si>
  <si>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</si>
  <si>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</si>
  <si>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</si>
  <si>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</si>
  <si>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</si>
  <si>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</si>
  <si>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</si>
  <si>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</si>
  <si>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</si>
  <si>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</si>
  <si>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</si>
  <si>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</si>
  <si>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</si>
  <si>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</si>
  <si>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</si>
  <si>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</si>
  <si>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</si>
  <si>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</si>
  <si>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</si>
  <si>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</si>
  <si>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</si>
  <si>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</si>
  <si>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</si>
  <si>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</si>
  <si>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</si>
  <si>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</si>
  <si>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</si>
  <si>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</si>
  <si>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</si>
  <si>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</si>
  <si>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</si>
  <si>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</si>
  <si>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</si>
  <si>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</si>
  <si>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</si>
  <si>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</si>
  <si>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</si>
  <si>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</si>
  <si>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</si>
  <si>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</si>
  <si>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</si>
  <si>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</si>
  <si>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</si>
  <si>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</si>
  <si>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</si>
  <si>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</si>
  <si>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</si>
  <si>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</si>
  <si>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</si>
  <si>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</si>
  <si>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</si>
  <si>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</si>
  <si>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</si>
  <si>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</si>
  <si>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</si>
  <si>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</si>
  <si>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</si>
  <si>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</si>
  <si>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</si>
  <si>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</si>
  <si>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</si>
  <si>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</si>
  <si>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</si>
  <si>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</si>
  <si>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</si>
  <si>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</si>
  <si>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</si>
  <si>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</si>
  <si>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</si>
  <si>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</si>
  <si>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</si>
  <si>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</si>
  <si>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</si>
  <si>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</si>
  <si>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</si>
  <si>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</si>
  <si>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</si>
  <si>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</si>
  <si>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</si>
  <si>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</si>
  <si>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</si>
  <si>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</si>
  <si>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</si>
  <si>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</si>
  <si>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</si>
  <si>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</si>
  <si>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</si>
  <si>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</si>
  <si>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</si>
  <si>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</si>
  <si>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</si>
  <si>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</si>
  <si>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</si>
  <si>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</si>
  <si>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</si>
  <si>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</si>
  <si>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</si>
  <si>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</si>
  <si>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</si>
  <si>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</si>
  <si>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</si>
  <si>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</si>
  <si>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</si>
  <si>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</si>
  <si>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</si>
  <si>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</si>
  <si>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</si>
  <si>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</si>
  <si>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</si>
  <si>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</si>
  <si>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</si>
  <si>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</si>
  <si>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</si>
  <si>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</si>
  <si>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</si>
  <si>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</si>
  <si>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</si>
  <si>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</si>
  <si>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</si>
  <si>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</si>
  <si>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</si>
  <si>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</si>
  <si>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</si>
  <si>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</si>
  <si>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</si>
  <si>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</si>
  <si>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</si>
  <si>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</si>
  <si>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</si>
  <si>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</si>
  <si>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</si>
  <si>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</si>
  <si>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</si>
  <si>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</si>
  <si>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</si>
  <si>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</si>
  <si>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</si>
  <si>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</si>
  <si>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</si>
  <si>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</si>
  <si>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</si>
  <si>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</si>
  <si>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</si>
  <si>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</si>
  <si>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</si>
  <si>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</si>
  <si>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</si>
  <si>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</si>
  <si>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</si>
  <si>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</si>
  <si>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</si>
  <si>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</si>
  <si>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</si>
  <si>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</si>
  <si>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</si>
  <si>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</si>
  <si>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</si>
  <si>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</si>
  <si>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</si>
  <si>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</si>
  <si>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</si>
  <si>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</si>
  <si>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</si>
  <si>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</si>
  <si>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</si>
  <si>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</si>
  <si>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</si>
  <si>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</si>
  <si>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</si>
  <si>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</si>
  <si>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</si>
  <si>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</si>
  <si>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</si>
  <si>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</si>
  <si>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</si>
  <si>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</si>
  <si>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</si>
  <si>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</si>
  <si>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</si>
  <si>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</si>
  <si>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</si>
  <si>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</si>
  <si>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</si>
  <si>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</si>
  <si>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</si>
  <si>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</si>
  <si>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</si>
  <si>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</si>
  <si>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</si>
  <si>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</si>
  <si>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</si>
  <si>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</si>
  <si>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</si>
  <si>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</si>
  <si>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</si>
  <si>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</si>
  <si>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</si>
  <si>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</si>
  <si>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</si>
  <si>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</si>
  <si>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</si>
  <si>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</si>
  <si>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</si>
  <si>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</si>
  <si>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</si>
  <si>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</si>
  <si>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</si>
  <si>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</si>
  <si>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</si>
  <si>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</si>
  <si>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</si>
  <si>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</si>
  <si>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</si>
  <si>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</si>
  <si>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</si>
  <si>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</si>
  <si>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</si>
  <si>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</si>
  <si>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</si>
  <si>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</si>
  <si>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</si>
  <si>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</si>
  <si>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</si>
  <si>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</si>
  <si>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</si>
  <si>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</si>
  <si>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</si>
  <si>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</si>
  <si>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</si>
  <si>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</si>
  <si>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</si>
  <si>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</si>
  <si>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</si>
  <si>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</si>
  <si>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</si>
  <si>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</si>
  <si>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</si>
  <si>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</si>
  <si>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</si>
  <si>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</si>
  <si>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</si>
  <si>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</si>
  <si>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</si>
  <si>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</si>
  <si>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</si>
  <si>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</si>
  <si>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</si>
  <si>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</si>
  <si>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</si>
  <si>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</si>
  <si>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</si>
  <si>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</si>
  <si>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</si>
  <si>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</si>
  <si>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</si>
  <si>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</si>
  <si>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</si>
  <si>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</si>
  <si>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</si>
  <si>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</si>
  <si>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</si>
  <si>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</si>
  <si>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</si>
  <si>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</si>
  <si>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</si>
  <si>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</si>
  <si>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</si>
  <si>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</si>
  <si>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</si>
  <si>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</si>
  <si>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</si>
  <si>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</si>
  <si>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</si>
  <si>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</si>
  <si>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</si>
  <si>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</si>
  <si>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</si>
  <si>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</si>
  <si>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</si>
  <si>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</si>
  <si>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</si>
  <si>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</si>
  <si>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</si>
  <si>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</si>
  <si>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</si>
  <si>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</si>
  <si>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</si>
  <si>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</si>
  <si>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</si>
  <si>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</si>
  <si>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</si>
  <si>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</si>
  <si>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</si>
  <si>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</si>
  <si>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</si>
  <si>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</si>
  <si>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</si>
  <si>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</si>
  <si>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</si>
  <si>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</si>
  <si>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</si>
  <si>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</si>
  <si>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</si>
  <si>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</si>
  <si>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</si>
  <si>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</si>
  <si>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</si>
  <si>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</si>
  <si>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</si>
  <si>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</si>
  <si>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</si>
  <si>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</si>
  <si>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</si>
  <si>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</si>
  <si>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</si>
  <si>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</si>
  <si>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</si>
  <si>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</si>
  <si>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</si>
  <si>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</si>
  <si>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</si>
  <si>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</si>
  <si>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</si>
  <si>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</si>
  <si>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</si>
  <si>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</si>
  <si>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</si>
  <si>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</si>
  <si>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</si>
  <si>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</si>
  <si>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</si>
  <si>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</si>
  <si>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</si>
  <si>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</si>
  <si>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</si>
  <si>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</si>
  <si>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</si>
  <si>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</si>
  <si>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</si>
  <si>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</si>
  <si>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</si>
  <si>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</si>
  <si>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</si>
  <si>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</si>
  <si>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</si>
  <si>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</si>
  <si>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</si>
  <si>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</si>
  <si>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</si>
  <si>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</si>
  <si>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</si>
  <si>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</si>
  <si>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</si>
  <si>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</si>
  <si>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</si>
  <si>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</si>
  <si>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</si>
  <si>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</si>
  <si>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</si>
  <si>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</si>
  <si>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</si>
  <si>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</si>
  <si>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</si>
  <si>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</si>
  <si>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</si>
  <si>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</si>
  <si>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</si>
  <si>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</si>
  <si>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</si>
  <si>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</si>
  <si>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</si>
  <si>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</si>
  <si>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</si>
  <si>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</si>
  <si>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</si>
  <si>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</si>
  <si>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</si>
  <si>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</si>
  <si>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</si>
  <si>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</si>
  <si>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</si>
  <si>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</si>
  <si>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</si>
  <si>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</si>
  <si>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</si>
  <si>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</si>
  <si>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</si>
  <si>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</si>
  <si>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</si>
  <si>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</si>
  <si>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</si>
  <si>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</si>
  <si>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</si>
  <si>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</si>
  <si>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</si>
  <si>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</si>
  <si>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</si>
  <si>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</si>
  <si>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</si>
  <si>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</si>
  <si>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</si>
  <si>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</si>
  <si>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</si>
  <si>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</si>
  <si>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</si>
  <si>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</si>
  <si>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</si>
  <si>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</si>
  <si>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</si>
  <si>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</si>
  <si>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</si>
  <si>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</si>
  <si>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</si>
  <si>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</si>
  <si>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</si>
  <si>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</si>
  <si>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</si>
  <si>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</si>
  <si>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</si>
  <si>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</si>
  <si>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</si>
  <si>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</si>
  <si>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</si>
  <si>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</si>
  <si>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</si>
  <si>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</si>
  <si>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</si>
  <si>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</si>
  <si>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</si>
  <si>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</si>
  <si>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</si>
  <si>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</si>
  <si>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</si>
  <si>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</si>
  <si>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</si>
  <si>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</si>
  <si>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</si>
  <si>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</si>
  <si>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</si>
  <si>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</si>
  <si>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</si>
  <si>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</si>
  <si>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</si>
  <si>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</si>
  <si>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</si>
  <si>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</si>
  <si>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</si>
  <si>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</si>
  <si>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</si>
  <si>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</si>
  <si>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</si>
  <si>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</si>
  <si>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</si>
  <si>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</si>
  <si>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</si>
  <si>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</si>
  <si>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</si>
  <si>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</si>
  <si>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</si>
  <si>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</si>
  <si>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</si>
  <si>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</si>
  <si>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</si>
  <si>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</si>
  <si>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</si>
  <si>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</si>
  <si>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</si>
  <si>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</si>
  <si>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</si>
  <si>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</si>
  <si>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</si>
  <si>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</si>
  <si>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</si>
  <si>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</si>
  <si>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</si>
  <si>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</si>
  <si>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</si>
  <si>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</si>
  <si>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</si>
  <si>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</si>
  <si>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</si>
  <si>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</si>
  <si>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</si>
  <si>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</si>
  <si>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</si>
  <si>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</si>
  <si>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</si>
  <si>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</si>
  <si>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</si>
  <si>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</si>
  <si>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</si>
  <si>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</si>
  <si>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</si>
  <si>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</si>
  <si>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</si>
  <si>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</si>
  <si>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</si>
  <si>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</si>
  <si>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</si>
  <si>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</si>
  <si>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</si>
  <si>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</si>
  <si>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</si>
  <si>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</si>
  <si>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</si>
  <si>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</si>
  <si>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</si>
  <si>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</si>
  <si>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</si>
  <si>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</si>
  <si>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</si>
  <si>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</si>
  <si>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</si>
  <si>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</si>
  <si>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</si>
  <si>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</si>
  <si>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</si>
  <si>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</si>
  <si>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</si>
  <si>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</si>
  <si>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</si>
  <si>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</si>
  <si>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</si>
  <si>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</si>
  <si>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</si>
  <si>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</si>
  <si>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</si>
  <si>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</si>
  <si>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</si>
  <si>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</si>
  <si>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</si>
  <si>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</si>
  <si>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</si>
  <si>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</si>
  <si>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</si>
  <si>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</si>
  <si>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</si>
  <si>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</si>
  <si>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</si>
  <si>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</si>
  <si>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</si>
  <si>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</si>
  <si>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</si>
  <si>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</si>
  <si>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</si>
  <si>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</si>
  <si>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</si>
  <si>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</si>
  <si>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</si>
  <si>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</si>
  <si>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</si>
  <si>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</si>
  <si>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</si>
  <si>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</si>
  <si>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</si>
  <si>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</si>
  <si>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</si>
  <si>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</si>
  <si>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</si>
  <si>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</si>
  <si>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</si>
  <si>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</si>
  <si>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</si>
  <si>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</si>
  <si>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</si>
  <si>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</si>
  <si>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</si>
  <si>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</si>
  <si>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</si>
  <si>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</si>
  <si>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</si>
  <si>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</si>
  <si>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</si>
  <si>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</si>
  <si>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</si>
  <si>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</si>
  <si>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</si>
  <si>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</si>
  <si>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</si>
  <si>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</si>
  <si>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</si>
  <si>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</si>
  <si>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</si>
  <si>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</si>
  <si>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</si>
  <si>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</si>
  <si>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</si>
  <si>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</si>
  <si>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</si>
  <si>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</si>
  <si>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</si>
  <si>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</si>
  <si>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</si>
  <si>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</si>
  <si>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</si>
  <si>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</si>
  <si>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</si>
  <si>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</si>
  <si>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</si>
  <si>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</si>
  <si>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</si>
  <si>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</si>
  <si>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</si>
  <si>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</si>
  <si>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</si>
  <si>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</si>
  <si>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</si>
  <si>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</si>
  <si>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</si>
  <si>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</si>
  <si>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</si>
  <si>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</si>
  <si>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</si>
  <si>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</si>
  <si>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</si>
  <si>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</si>
  <si>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</si>
  <si>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</si>
  <si>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</si>
  <si>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</si>
  <si>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</si>
  <si>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</si>
  <si>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</si>
  <si>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</si>
  <si>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</si>
  <si>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</si>
  <si>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</si>
  <si>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</si>
  <si>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</si>
  <si>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</si>
  <si>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</si>
  <si>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</si>
  <si>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</si>
  <si>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</si>
  <si>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</si>
  <si>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</si>
  <si>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</si>
  <si>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</si>
  <si>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</si>
  <si>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</si>
  <si>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</si>
  <si>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</si>
  <si>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</si>
  <si>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</si>
  <si>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</si>
  <si>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</si>
  <si>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</si>
  <si>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</si>
  <si>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</si>
  <si>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</si>
  <si>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</si>
  <si>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</si>
  <si>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</si>
  <si>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</si>
  <si>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</si>
  <si>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</si>
  <si>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</si>
  <si>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</si>
  <si>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</si>
  <si>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</si>
  <si>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</si>
  <si>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</si>
  <si>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</si>
  <si>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</si>
  <si>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</si>
  <si>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</si>
  <si>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</si>
  <si>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</si>
  <si>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</si>
  <si>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</si>
  <si>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</si>
  <si>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</si>
  <si>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</si>
  <si>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</si>
  <si>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</si>
  <si>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</si>
  <si>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</si>
  <si>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</si>
  <si>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</si>
  <si>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</si>
  <si>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</si>
  <si>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</si>
  <si>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</si>
  <si>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</si>
  <si>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</si>
  <si>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</si>
  <si>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</si>
  <si>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</si>
  <si>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</si>
  <si>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</si>
  <si>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</si>
  <si>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</si>
  <si>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</si>
  <si>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</si>
  <si>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</si>
  <si>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</si>
  <si>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</si>
  <si>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</si>
  <si>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</si>
  <si>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</si>
  <si>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</si>
  <si>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</si>
  <si>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</si>
  <si>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</si>
  <si>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</si>
  <si>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</si>
  <si>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</si>
  <si>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</si>
  <si>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</si>
  <si>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</si>
  <si>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</si>
  <si>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</si>
  <si>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</si>
  <si>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</si>
  <si>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</si>
  <si>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</si>
  <si>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</si>
  <si>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</si>
  <si>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</si>
  <si>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</si>
  <si>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</si>
  <si>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</si>
  <si>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</si>
  <si>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</si>
  <si>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</si>
  <si>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</si>
  <si>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</si>
  <si>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</si>
  <si>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</si>
  <si>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</si>
  <si>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</si>
  <si>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</si>
  <si>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</si>
  <si>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</si>
  <si>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</si>
  <si>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</si>
  <si>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</si>
  <si>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</si>
  <si>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</si>
  <si>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</si>
  <si>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</si>
  <si>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</si>
  <si>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</si>
  <si>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</si>
  <si>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</si>
  <si>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</si>
  <si>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</si>
  <si>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</si>
  <si>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</si>
  <si>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</si>
  <si>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</si>
  <si>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</si>
  <si>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</si>
  <si>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</si>
  <si>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</si>
  <si>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</si>
  <si>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</si>
  <si>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</si>
  <si>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</si>
  <si>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</si>
  <si>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</si>
  <si>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</si>
  <si>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</si>
  <si>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</si>
  <si>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</si>
  <si>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</si>
  <si>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</si>
  <si>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</si>
  <si>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</si>
  <si>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</si>
  <si>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</si>
  <si>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</si>
  <si>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</si>
  <si>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</si>
  <si>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</si>
  <si>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</si>
  <si>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</si>
  <si>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</si>
  <si>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</si>
  <si>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</si>
  <si>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</si>
  <si>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</si>
  <si>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</si>
  <si>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</si>
  <si>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</si>
  <si>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</si>
  <si>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</si>
  <si>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</si>
  <si>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</si>
  <si>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</si>
  <si>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</si>
  <si>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</si>
  <si>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</si>
  <si>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</si>
  <si>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</si>
  <si>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</si>
  <si>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</si>
  <si>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</si>
  <si>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</si>
  <si>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</si>
  <si>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</si>
  <si>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</si>
  <si>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</si>
  <si>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</si>
  <si>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</si>
  <si>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</si>
  <si>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</si>
  <si>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</si>
  <si>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</si>
  <si>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</si>
  <si>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</si>
  <si>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</si>
  <si>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</si>
  <si>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</si>
  <si>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</si>
  <si>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</si>
  <si>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</si>
  <si>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</si>
  <si>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</si>
  <si>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</si>
  <si>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</si>
  <si>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</si>
  <si>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</si>
  <si>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</si>
  <si>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</si>
  <si>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</si>
  <si>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</si>
  <si>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</si>
  <si>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</si>
  <si>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</si>
  <si>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</si>
  <si>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</si>
  <si>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</si>
  <si>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</si>
  <si>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</si>
  <si>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</si>
  <si>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</si>
  <si>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</si>
  <si>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</si>
  <si>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</si>
  <si>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</si>
  <si>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</si>
  <si>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</si>
  <si>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</si>
  <si>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</si>
  <si>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</si>
  <si>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</si>
  <si>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</si>
  <si>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</si>
  <si>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</si>
  <si>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</si>
  <si>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</si>
  <si>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</si>
  <si>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</si>
  <si>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</si>
  <si>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</si>
  <si>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</si>
  <si>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</si>
  <si>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</si>
  <si>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</si>
  <si>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</si>
  <si>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</si>
  <si>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</si>
  <si>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</si>
  <si>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</si>
  <si>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</si>
  <si>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</si>
  <si>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</si>
  <si>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</si>
  <si>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</si>
  <si>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</si>
  <si>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</si>
  <si>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</si>
  <si>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</si>
  <si>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</si>
  <si>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</si>
  <si>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</si>
  <si>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</si>
  <si>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</si>
  <si>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</si>
  <si>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</si>
  <si>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</si>
  <si>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</si>
  <si>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</si>
  <si>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</si>
  <si>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</si>
  <si>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</si>
  <si>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</si>
  <si>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</si>
  <si>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</si>
  <si>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</si>
  <si>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</si>
  <si>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</si>
  <si>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</si>
  <si>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</si>
  <si>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</si>
  <si>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</si>
  <si>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</si>
  <si>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</si>
  <si>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</si>
  <si>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</si>
  <si>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</si>
  <si>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</si>
  <si>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</si>
  <si>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</si>
  <si>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</si>
  <si>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</si>
  <si>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</si>
  <si>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</si>
  <si>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</si>
  <si>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</si>
  <si>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</si>
  <si>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</si>
  <si>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</si>
  <si>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</si>
  <si>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</si>
  <si>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</si>
  <si>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</si>
  <si>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</si>
  <si>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</si>
  <si>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</si>
  <si>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</si>
  <si>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</si>
  <si>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</si>
  <si>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</si>
  <si>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</si>
  <si>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</si>
  <si>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</si>
  <si>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</si>
  <si>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</si>
  <si>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</si>
  <si>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</si>
  <si>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</si>
  <si>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</si>
  <si>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</si>
  <si>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</si>
  <si>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</si>
  <si>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</si>
  <si>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</si>
  <si>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</si>
  <si>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</si>
  <si>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</si>
  <si>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</si>
  <si>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</si>
  <si>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</si>
  <si>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</si>
  <si>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</si>
  <si>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</si>
  <si>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</si>
  <si>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</si>
  <si>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</si>
  <si>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</si>
  <si>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</si>
  <si>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</si>
  <si>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</si>
  <si>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</si>
  <si>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</si>
  <si>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</si>
  <si>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</si>
  <si>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</si>
  <si>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</si>
  <si>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</si>
  <si>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</si>
  <si>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</si>
  <si>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</si>
  <si>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</si>
  <si>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</si>
  <si>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</si>
  <si>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</si>
  <si>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</si>
  <si>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</si>
  <si>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</si>
  <si>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</si>
  <si>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</si>
  <si>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</si>
  <si>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</si>
  <si>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</si>
  <si>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</si>
  <si>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</si>
  <si>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</si>
  <si>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</si>
  <si>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</si>
  <si>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</si>
  <si>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</si>
  <si>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</si>
  <si>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</si>
  <si>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</si>
  <si>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</si>
  <si>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</si>
  <si>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</si>
  <si>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</si>
  <si>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</si>
  <si>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</si>
  <si>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</si>
  <si>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</si>
  <si>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</si>
  <si>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</si>
  <si>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</si>
  <si>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</si>
  <si>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</si>
  <si>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</si>
  <si>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</si>
  <si>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</si>
  <si>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</si>
  <si>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</si>
  <si>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</si>
  <si>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</si>
  <si>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</si>
  <si>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</si>
  <si>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</si>
  <si>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</si>
  <si>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</si>
  <si>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</si>
  <si>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</si>
  <si>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</si>
  <si>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</si>
  <si>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</si>
  <si>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</si>
  <si>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</si>
  <si>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</si>
  <si>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</si>
  <si>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</si>
  <si>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</si>
  <si>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</si>
  <si>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</si>
  <si>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</si>
  <si>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</si>
  <si>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</si>
  <si>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</si>
  <si>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</si>
  <si>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</si>
  <si>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</si>
  <si>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</si>
  <si>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</si>
  <si>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</si>
  <si>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</si>
  <si>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</si>
  <si>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</si>
  <si>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</si>
  <si>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</si>
  <si>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</si>
  <si>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</si>
  <si>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</si>
  <si>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</si>
  <si>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</si>
  <si>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</si>
  <si>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</si>
  <si>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</si>
  <si>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</si>
  <si>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</si>
  <si>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</si>
  <si>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</si>
  <si>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</si>
  <si>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</si>
  <si>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</si>
  <si>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</si>
  <si>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</si>
  <si>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</si>
  <si>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</si>
  <si>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</si>
  <si>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</si>
  <si>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</si>
  <si>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</si>
  <si>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</si>
  <si>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</si>
  <si>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</si>
  <si>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</si>
  <si>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</si>
  <si>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</si>
  <si>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</si>
  <si>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</si>
  <si>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</si>
  <si>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</si>
  <si>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</si>
  <si>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</si>
  <si>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</si>
  <si>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</si>
  <si>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</si>
  <si>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</si>
  <si>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</si>
  <si>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</si>
  <si>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</si>
  <si>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</si>
  <si>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</si>
  <si>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</si>
  <si>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</si>
  <si>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</si>
  <si>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</si>
  <si>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</si>
  <si>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</si>
  <si>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</si>
  <si>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</si>
  <si>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</si>
  <si>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</si>
  <si>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</si>
  <si>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</si>
  <si>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</si>
  <si>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</si>
  <si>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</si>
  <si>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</si>
  <si>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</si>
  <si>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</si>
  <si>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</si>
  <si>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</si>
  <si>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</si>
  <si>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</si>
  <si>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</si>
  <si>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</si>
  <si>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</si>
  <si>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</si>
  <si>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</si>
  <si>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</si>
  <si>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</si>
  <si>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</si>
  <si>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</si>
  <si>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</si>
  <si>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</si>
  <si>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</si>
  <si>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</si>
  <si>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</si>
  <si>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</si>
  <si>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</si>
  <si>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</si>
  <si>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</si>
  <si>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</si>
  <si>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</si>
  <si>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</si>
  <si>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</si>
  <si>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</si>
  <si>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</si>
  <si>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</si>
  <si>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</si>
  <si>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</si>
  <si>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</si>
  <si>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</si>
  <si>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</si>
  <si>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</si>
  <si>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</si>
  <si>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</si>
  <si>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</si>
  <si>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</si>
  <si>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</si>
  <si>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</si>
  <si>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</si>
  <si>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</si>
  <si>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</si>
  <si>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</si>
  <si>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</si>
  <si>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</si>
  <si>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</si>
  <si>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</si>
  <si>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</si>
  <si>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</si>
  <si>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</si>
  <si>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</si>
  <si>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</si>
  <si>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</si>
  <si>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</si>
  <si>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</si>
  <si>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</si>
  <si>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</si>
  <si>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</si>
  <si>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</si>
  <si>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</si>
  <si>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</si>
  <si>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</si>
  <si>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</si>
  <si>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</si>
  <si>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</si>
  <si>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</si>
  <si>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</si>
  <si>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</si>
  <si>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</si>
  <si>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</si>
  <si>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</si>
  <si>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</si>
  <si>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</si>
  <si>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</si>
  <si>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</si>
  <si>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</si>
  <si>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</si>
  <si>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</si>
  <si>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</si>
  <si>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</si>
  <si>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</si>
  <si>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</si>
  <si>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</si>
  <si>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</si>
  <si>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</si>
  <si>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</si>
  <si>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</si>
  <si>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</si>
  <si>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</si>
  <si>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</si>
  <si>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</si>
  <si>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</si>
  <si>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</si>
  <si>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</si>
  <si>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</si>
  <si>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</si>
  <si>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</si>
  <si>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</si>
  <si>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</si>
  <si>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</si>
  <si>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</si>
  <si>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</si>
  <si>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</si>
  <si>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</si>
  <si>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</si>
  <si>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</si>
  <si>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</si>
  <si>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</si>
  <si>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</si>
  <si>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</si>
  <si>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</si>
  <si>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</si>
  <si>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</si>
  <si>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</si>
  <si>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</si>
  <si>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</si>
  <si>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</si>
  <si>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</si>
  <si>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</si>
  <si>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</si>
  <si>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</si>
  <si>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</si>
  <si>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</si>
  <si>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</si>
  <si>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</si>
  <si>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</si>
  <si>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</si>
  <si>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</si>
  <si>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</si>
  <si>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</si>
  <si>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</si>
  <si>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</si>
  <si>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</si>
  <si>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</si>
  <si>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</si>
  <si>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</si>
  <si>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</si>
  <si>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</si>
  <si>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</si>
  <si>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</si>
  <si>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</si>
  <si>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</si>
  <si>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</si>
  <si>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</si>
  <si>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</si>
  <si>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</si>
  <si>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</si>
  <si>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</si>
  <si>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</si>
  <si>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</si>
  <si>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</si>
  <si>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</si>
  <si>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</si>
  <si>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</si>
  <si>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</si>
  <si>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</si>
  <si>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</si>
  <si>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</si>
  <si>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</si>
  <si>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</si>
  <si>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</si>
  <si>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</si>
  <si>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</si>
  <si>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</si>
  <si>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</si>
  <si>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</si>
  <si>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</si>
  <si>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</si>
  <si>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</si>
  <si>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</si>
  <si>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</si>
  <si>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</si>
  <si>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</si>
  <si>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</si>
  <si>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</si>
  <si>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</si>
  <si>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</si>
  <si>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</si>
  <si>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</si>
  <si>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</si>
  <si>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</si>
  <si>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</si>
  <si>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</si>
  <si>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</si>
  <si>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</si>
  <si>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</si>
  <si>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</si>
  <si>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</si>
  <si>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</si>
  <si>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</si>
  <si>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</si>
  <si>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</si>
  <si>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</si>
  <si>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</si>
  <si>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</si>
  <si>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</si>
  <si>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</si>
  <si>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</si>
  <si>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</si>
  <si>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</si>
  <si>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</si>
  <si>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</si>
  <si>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</si>
  <si>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</si>
  <si>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</si>
  <si>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</si>
  <si>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</si>
  <si>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</si>
  <si>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</si>
  <si>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</si>
  <si>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</si>
  <si>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</si>
  <si>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</si>
  <si>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</si>
  <si>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</si>
  <si>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</si>
  <si>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</si>
  <si>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</si>
  <si>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</si>
  <si>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</si>
  <si>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</si>
  <si>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</si>
  <si>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</si>
  <si>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</si>
  <si>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</si>
  <si>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</si>
  <si>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</si>
  <si>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</si>
  <si>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</si>
  <si>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</si>
  <si>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</si>
  <si>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</si>
  <si>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</si>
  <si>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</si>
  <si>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</si>
  <si>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</si>
  <si>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</si>
  <si>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</si>
  <si>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</si>
  <si>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</si>
  <si>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</si>
  <si>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</si>
  <si>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</si>
  <si>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</si>
  <si>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</si>
  <si>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</si>
  <si>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</si>
  <si>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</si>
  <si>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</si>
  <si>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</si>
  <si>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</si>
  <si>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</si>
  <si>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</si>
  <si>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</si>
  <si>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</si>
  <si>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</si>
  <si>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</si>
  <si>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</si>
  <si>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</si>
  <si>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</si>
  <si>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</si>
  <si>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</si>
  <si>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</si>
  <si>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</si>
  <si>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</si>
  <si>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</si>
  <si>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</si>
  <si>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</si>
  <si>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</si>
  <si>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</si>
  <si>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</si>
  <si>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</si>
  <si>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</si>
  <si>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</si>
  <si>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</si>
  <si>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</si>
  <si>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</si>
  <si>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</si>
  <si>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</si>
  <si>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</si>
  <si>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</si>
  <si>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</si>
  <si>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</si>
  <si>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</si>
  <si>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</si>
  <si>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</si>
  <si>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</si>
  <si>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</si>
  <si>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</si>
  <si>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</si>
  <si>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</si>
  <si>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</si>
  <si>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</si>
  <si>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</si>
  <si>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</si>
  <si>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</si>
  <si>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</si>
  <si>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</si>
  <si>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</si>
  <si>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</si>
  <si>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</si>
  <si>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</si>
  <si>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</si>
  <si>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</si>
  <si>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</si>
  <si>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</si>
  <si>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</si>
  <si>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</si>
  <si>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</si>
  <si>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</si>
  <si>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</si>
  <si>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</si>
  <si>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</si>
  <si>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</si>
  <si>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</si>
  <si>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</si>
  <si>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</si>
  <si>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</si>
  <si>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</si>
  <si>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</si>
  <si>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</si>
  <si>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</si>
  <si>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</si>
  <si>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</si>
  <si>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</si>
  <si>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</si>
  <si>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</si>
  <si>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</si>
  <si>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</si>
  <si>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</si>
  <si>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</si>
  <si>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</si>
  <si>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</si>
  <si>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</si>
  <si>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</si>
  <si>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</si>
  <si>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</si>
  <si>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</si>
  <si>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</si>
  <si>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</si>
  <si>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</si>
  <si>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</si>
  <si>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</si>
  <si>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</si>
  <si>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</si>
  <si>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</si>
  <si>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</si>
  <si>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</si>
  <si>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</si>
  <si>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</si>
  <si>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</si>
  <si>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</si>
  <si>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</si>
  <si>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</si>
  <si>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</si>
  <si>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</si>
  <si>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</si>
  <si>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</si>
  <si>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</si>
  <si>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</si>
  <si>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</si>
  <si>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</si>
  <si>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</si>
  <si>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</si>
  <si>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</si>
  <si>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</si>
  <si>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</si>
  <si>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</si>
  <si>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</si>
  <si>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</si>
  <si>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</si>
  <si>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</si>
  <si>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</si>
  <si>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</si>
  <si>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</si>
  <si>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</si>
  <si>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</si>
  <si>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</si>
  <si>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</si>
  <si>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</si>
  <si>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</si>
  <si>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</si>
  <si>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</si>
  <si>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</si>
  <si>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</si>
  <si>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</si>
  <si>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</si>
  <si>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</si>
  <si>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</si>
  <si>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</si>
  <si>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</si>
  <si>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</si>
  <si>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</si>
  <si>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</si>
  <si>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</si>
  <si>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</si>
  <si>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</si>
  <si>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</si>
  <si>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</si>
  <si>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</si>
  <si>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</si>
  <si>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</si>
  <si>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</si>
  <si>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</si>
  <si>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</si>
  <si>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</si>
  <si>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</si>
  <si>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</si>
  <si>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</si>
  <si>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</si>
  <si>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</si>
  <si>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</si>
  <si>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</si>
  <si>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</si>
  <si>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</si>
  <si>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</si>
  <si>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</si>
  <si>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</si>
  <si>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</si>
  <si>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</si>
  <si>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</si>
  <si>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</si>
  <si>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</si>
  <si>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</si>
  <si>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</si>
  <si>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</si>
  <si>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</si>
  <si>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</si>
  <si>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</si>
  <si>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</si>
  <si>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</si>
  <si>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</si>
  <si>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</si>
  <si>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</si>
  <si>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</si>
  <si>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</si>
  <si>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</si>
  <si>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</si>
  <si>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</si>
  <si>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</si>
  <si>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</si>
  <si>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</si>
  <si>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</si>
  <si>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</si>
  <si>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</si>
  <si>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</si>
  <si>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</si>
  <si>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</si>
  <si>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</si>
  <si>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</si>
  <si>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</si>
  <si>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</si>
  <si>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</si>
  <si>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</si>
  <si>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</si>
  <si>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</si>
  <si>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</si>
  <si>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</si>
  <si>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</si>
  <si>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</si>
  <si>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</si>
  <si>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</si>
  <si>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</si>
  <si>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</si>
  <si>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</si>
  <si>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</si>
  <si>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</si>
  <si>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</si>
  <si>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</si>
  <si>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</si>
  <si>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</si>
  <si>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</si>
  <si>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</si>
  <si>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</si>
  <si>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</si>
  <si>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</si>
  <si>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</si>
  <si>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</si>
  <si>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</si>
  <si>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</si>
  <si>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</si>
  <si>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</si>
  <si>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</si>
  <si>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</si>
  <si>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</si>
  <si>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</si>
  <si>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</si>
  <si>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</si>
  <si>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</si>
  <si>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</si>
  <si>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</si>
  <si>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</si>
  <si>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</si>
  <si>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</si>
  <si>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</si>
  <si>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</si>
  <si>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</si>
  <si>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</si>
  <si>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</si>
  <si>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</si>
  <si>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</si>
  <si>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</si>
  <si>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</si>
  <si>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</si>
  <si>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</si>
  <si>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</si>
  <si>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</si>
  <si>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</si>
  <si>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</si>
  <si>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</si>
  <si>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</si>
  <si>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</si>
  <si>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</si>
  <si>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</si>
  <si>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</si>
  <si>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</si>
  <si>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</si>
  <si>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</si>
  <si>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</si>
  <si>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</si>
  <si>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</si>
  <si>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</si>
  <si>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</si>
  <si>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</si>
  <si>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</si>
  <si>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</si>
  <si>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</si>
  <si>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</si>
  <si>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</si>
  <si>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</si>
  <si>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</si>
  <si>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</si>
  <si>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</si>
  <si>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</si>
  <si>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</si>
  <si>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</si>
  <si>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</si>
  <si>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</si>
  <si>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</si>
  <si>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</si>
  <si>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</si>
  <si>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</si>
  <si>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</si>
  <si>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</si>
  <si>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</si>
  <si>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</si>
  <si>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</si>
  <si>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</si>
  <si>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</si>
  <si>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</si>
  <si>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</si>
  <si>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</si>
  <si>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</si>
  <si>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</si>
  <si>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</si>
  <si>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</si>
  <si>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</si>
  <si>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</si>
  <si>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</si>
  <si>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</si>
  <si>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</si>
  <si>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</si>
  <si>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</si>
  <si>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</si>
  <si>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</si>
  <si>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</si>
  <si>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</si>
  <si>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</si>
  <si>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</si>
  <si>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</si>
  <si>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</si>
  <si>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</si>
  <si>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</si>
  <si>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</si>
  <si>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</si>
  <si>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</si>
  <si>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</si>
  <si>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</si>
  <si>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</si>
  <si>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</si>
  <si>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</si>
  <si>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</si>
  <si>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</si>
  <si>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</si>
  <si>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</si>
  <si>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</si>
  <si>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</si>
  <si>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</si>
  <si>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</si>
  <si>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</si>
  <si>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</si>
  <si>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</si>
  <si>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</si>
  <si>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</si>
  <si>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</si>
  <si>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</si>
  <si>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</si>
  <si>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</si>
  <si>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</si>
  <si>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</si>
  <si>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</si>
  <si>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</si>
  <si>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</si>
  <si>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</si>
  <si>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</si>
  <si>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</si>
  <si>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</si>
  <si>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</si>
  <si>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</si>
  <si>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</si>
  <si>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</si>
  <si>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</si>
  <si>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</si>
  <si>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</si>
  <si>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</si>
  <si>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</si>
  <si>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</si>
  <si>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</si>
  <si>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</si>
  <si>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</si>
  <si>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</si>
  <si>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</si>
  <si>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</si>
  <si>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</si>
  <si>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</si>
  <si>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</si>
  <si>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</si>
  <si>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</si>
  <si>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</si>
  <si>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</si>
  <si>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</si>
  <si>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</si>
  <si>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</si>
  <si>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</si>
  <si>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</si>
  <si>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</si>
  <si>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</si>
  <si>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</si>
  <si>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</si>
  <si>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</si>
  <si>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</si>
  <si>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</si>
  <si>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</si>
  <si>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</si>
  <si>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</si>
  <si>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</si>
  <si>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</si>
  <si>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</si>
  <si>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</si>
  <si>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</si>
  <si>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</si>
  <si>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</si>
  <si>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</si>
  <si>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</si>
  <si>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</si>
  <si>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</si>
  <si>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</si>
  <si>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</si>
  <si>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</si>
  <si>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</si>
  <si>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</si>
  <si>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</si>
  <si>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</si>
  <si>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</si>
  <si>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</si>
  <si>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</si>
  <si>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</si>
  <si>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</si>
  <si>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</si>
  <si>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</si>
  <si>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</si>
  <si>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</si>
  <si>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</si>
  <si>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</si>
  <si>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</si>
  <si>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</si>
  <si>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</si>
  <si>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</si>
  <si>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</si>
  <si>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</si>
  <si>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</si>
  <si>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</si>
  <si>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</si>
  <si>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</si>
  <si>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</si>
  <si>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</si>
  <si>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</si>
  <si>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</si>
  <si>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</si>
  <si>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</si>
  <si>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</si>
  <si>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</si>
  <si>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</si>
  <si>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</si>
  <si>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</si>
  <si>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</si>
  <si>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</si>
  <si>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</si>
  <si>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</si>
  <si>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</si>
  <si>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</si>
  <si>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</si>
  <si>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</si>
  <si>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</si>
  <si>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</si>
  <si>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</si>
  <si>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</si>
  <si>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</si>
  <si>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</si>
  <si>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</si>
  <si>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</si>
  <si>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</si>
  <si>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</si>
  <si>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</si>
  <si>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</si>
  <si>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</si>
  <si>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</si>
  <si>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</si>
  <si>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</si>
  <si>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</si>
  <si>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</si>
  <si>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</si>
  <si>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</si>
  <si>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</si>
  <si>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</si>
  <si>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</si>
  <si>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</si>
  <si>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</si>
  <si>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</si>
  <si>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</si>
  <si>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</si>
  <si>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</si>
  <si>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</si>
  <si>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</si>
  <si>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</si>
  <si>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</si>
  <si>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</si>
  <si>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</si>
  <si>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</si>
  <si>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</si>
  <si>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</si>
  <si>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</si>
  <si>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</si>
  <si>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</si>
  <si>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</si>
  <si>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</si>
  <si>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</si>
  <si>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</si>
  <si>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</si>
  <si>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</si>
  <si>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</si>
  <si>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</si>
  <si>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</si>
  <si>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</si>
  <si>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</si>
  <si>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</si>
  <si>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</si>
  <si>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</si>
  <si>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</si>
  <si>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</si>
  <si>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</si>
  <si>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</si>
  <si>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</si>
  <si>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</si>
  <si>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</si>
  <si>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</si>
  <si>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</si>
  <si>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</si>
  <si>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</si>
  <si>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</si>
  <si>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</si>
  <si>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</si>
  <si>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</si>
  <si>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</si>
  <si>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</si>
  <si>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</si>
  <si>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</si>
  <si>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</si>
  <si>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</si>
  <si>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</si>
  <si>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</si>
  <si>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</si>
  <si>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</si>
  <si>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</si>
  <si>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</si>
  <si>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</si>
  <si>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</si>
  <si>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</si>
  <si>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</si>
  <si>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</si>
  <si>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</si>
  <si>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</si>
  <si>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</si>
  <si>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</si>
  <si>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</si>
  <si>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</si>
  <si>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</si>
  <si>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</si>
  <si>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</si>
  <si>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</si>
  <si>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</si>
  <si>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</si>
  <si>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</si>
  <si>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</si>
  <si>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</si>
  <si>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</si>
  <si>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</si>
  <si>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</si>
  <si>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</si>
  <si>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</si>
  <si>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</si>
  <si>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</si>
  <si>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</si>
  <si>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</si>
  <si>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</si>
  <si>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</si>
  <si>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</si>
  <si>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</si>
  <si>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</si>
  <si>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</si>
  <si>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</si>
  <si>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</si>
  <si>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</si>
  <si>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</si>
  <si>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</si>
  <si>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</si>
  <si>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</si>
  <si>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</si>
  <si>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</si>
  <si>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</si>
  <si>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</si>
  <si>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</si>
  <si>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</si>
  <si>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</si>
  <si>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</si>
  <si>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</si>
  <si>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</si>
  <si>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</si>
  <si>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</si>
  <si>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</si>
  <si>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</si>
  <si>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</si>
  <si>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</si>
  <si>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</si>
  <si>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</si>
  <si>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</si>
  <si>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</si>
  <si>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</si>
  <si>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</si>
  <si>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</si>
  <si>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</si>
  <si>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</si>
  <si>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</si>
  <si>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</si>
  <si>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</si>
  <si>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</si>
  <si>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</si>
  <si>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</si>
  <si>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</si>
  <si>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</si>
  <si>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</si>
  <si>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</si>
  <si>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</si>
  <si>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</si>
  <si>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</si>
  <si>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</si>
  <si>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</si>
  <si>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</si>
  <si>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</si>
  <si>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</si>
  <si>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</si>
  <si>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</si>
  <si>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</si>
  <si>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</si>
  <si>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</si>
  <si>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</si>
  <si>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</si>
  <si>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</si>
  <si>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</si>
  <si>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</si>
  <si>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</si>
  <si>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</si>
  <si>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</si>
  <si>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</si>
  <si>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</si>
  <si>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</si>
  <si>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</si>
  <si>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</si>
  <si>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</si>
  <si>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</si>
  <si>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</si>
  <si>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</si>
  <si>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</si>
  <si>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</si>
  <si>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</si>
  <si>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</si>
  <si>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</si>
  <si>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</si>
  <si>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</si>
  <si>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</si>
  <si>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</si>
  <si>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</si>
  <si>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</si>
  <si>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</si>
  <si>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</si>
  <si>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</si>
  <si>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</si>
  <si>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</si>
  <si>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</si>
  <si>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</si>
  <si>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</si>
  <si>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</si>
  <si>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</si>
  <si>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</si>
  <si>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</si>
  <si>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</si>
  <si>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</si>
  <si>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</si>
  <si>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</si>
  <si>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</si>
  <si>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</si>
  <si>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</si>
  <si>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</si>
  <si>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</si>
  <si>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</si>
  <si>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</si>
  <si>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</si>
  <si>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</si>
  <si>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</si>
  <si>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</si>
  <si>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</si>
  <si>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</si>
  <si>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</si>
  <si>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</si>
  <si>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</si>
  <si>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</si>
  <si>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</si>
  <si>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</si>
  <si>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</si>
  <si>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</si>
  <si>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</si>
  <si>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</si>
  <si>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</si>
  <si>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</si>
  <si>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</si>
  <si>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</si>
  <si>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</si>
  <si>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</si>
  <si>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</si>
  <si>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</si>
  <si>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</si>
  <si>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</si>
  <si>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</si>
  <si>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</si>
  <si>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</si>
  <si>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</si>
  <si>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</si>
  <si>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</si>
  <si>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</si>
  <si>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</si>
  <si>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</si>
  <si>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</si>
  <si>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</si>
  <si>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</si>
  <si>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</si>
  <si>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</si>
  <si>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</si>
  <si>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</si>
  <si>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</si>
  <si>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</si>
  <si>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</si>
  <si>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</si>
  <si>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</si>
  <si>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</si>
  <si>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</si>
  <si>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</si>
  <si>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</si>
  <si>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</si>
  <si>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</si>
  <si>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</si>
  <si>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</si>
  <si>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</si>
  <si>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</si>
  <si>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</si>
  <si>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</si>
  <si>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</si>
  <si>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</si>
  <si>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</si>
  <si>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</si>
  <si>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</si>
  <si>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</si>
  <si>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</si>
  <si>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</si>
  <si>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</si>
  <si>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</si>
  <si>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</si>
  <si>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</si>
  <si>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</si>
  <si>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</si>
  <si>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</si>
  <si>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</si>
  <si>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</si>
  <si>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</si>
  <si>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</si>
  <si>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</si>
  <si>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</si>
  <si>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</si>
  <si>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</si>
  <si>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</si>
  <si>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</si>
  <si>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</si>
  <si>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</si>
  <si>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</si>
  <si>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</si>
  <si>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</si>
  <si>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</si>
  <si>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</si>
  <si>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</si>
  <si>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</si>
  <si>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</si>
  <si>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</si>
  <si>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</si>
  <si>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</si>
  <si>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</si>
  <si>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</si>
  <si>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</si>
  <si>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</si>
  <si>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</si>
  <si>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</si>
  <si>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</si>
  <si>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</si>
  <si>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</si>
  <si>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</si>
  <si>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</si>
  <si>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</si>
  <si>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</si>
  <si>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</si>
  <si>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</si>
  <si>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</si>
  <si>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</si>
  <si>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</si>
  <si>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</si>
  <si>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</si>
  <si>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</si>
  <si>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</si>
  <si>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</si>
  <si>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</si>
  <si>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</si>
  <si>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</si>
  <si>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</si>
  <si>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</si>
  <si>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</si>
  <si>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</si>
  <si>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</si>
  <si>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</si>
  <si>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</si>
  <si>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</si>
  <si>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</si>
  <si>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</si>
  <si>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</si>
  <si>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</si>
  <si>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</si>
  <si>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</si>
  <si>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</si>
  <si>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</si>
  <si>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</si>
  <si>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</si>
  <si>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</si>
  <si>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</si>
  <si>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</si>
  <si>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</si>
  <si>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</si>
  <si>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</si>
  <si>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</si>
  <si>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</si>
  <si>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</si>
  <si>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</si>
  <si>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</si>
  <si>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</si>
  <si>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</si>
  <si>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</si>
  <si>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</si>
  <si>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</si>
  <si>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</si>
  <si>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</si>
  <si>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</si>
  <si>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</si>
  <si>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</si>
  <si>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</si>
  <si>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</si>
  <si>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</si>
  <si>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</si>
  <si>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</si>
  <si>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</si>
  <si>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</si>
  <si>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</si>
  <si>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</si>
  <si>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</si>
  <si>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</si>
  <si>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</si>
  <si>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</si>
  <si>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</si>
  <si>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</si>
  <si>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</si>
  <si>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</si>
  <si>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</si>
  <si>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</si>
  <si>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</si>
  <si>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</si>
  <si>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</si>
  <si>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</si>
  <si>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</si>
  <si>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</si>
  <si>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</si>
  <si>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</si>
  <si>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</si>
  <si>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</si>
  <si>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</si>
  <si>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</si>
  <si>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</si>
  <si>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</si>
  <si>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</si>
  <si>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</si>
  <si>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</si>
  <si>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</si>
  <si>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</si>
  <si>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</si>
  <si>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</si>
  <si>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</si>
  <si>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</si>
  <si>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</si>
  <si>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</si>
  <si>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</si>
  <si>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</si>
  <si>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</si>
  <si>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</si>
  <si>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</si>
  <si>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</si>
  <si>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</si>
  <si>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</si>
  <si>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</si>
  <si>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</si>
  <si>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</si>
  <si>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</si>
  <si>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</si>
  <si>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</si>
  <si>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</si>
  <si>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</si>
  <si>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</si>
  <si>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</si>
  <si>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</si>
  <si>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</si>
  <si>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</si>
  <si>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</si>
  <si>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</si>
  <si>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</si>
  <si>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</si>
  <si>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</si>
  <si>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</si>
  <si>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</si>
  <si>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</si>
  <si>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</si>
  <si>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</si>
  <si>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</si>
  <si>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</si>
  <si>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</si>
  <si>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</si>
  <si>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</si>
  <si>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</si>
  <si>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</si>
  <si>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</si>
  <si>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</si>
  <si>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</si>
  <si>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</si>
  <si>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</si>
  <si>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</si>
  <si>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</si>
  <si>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</si>
  <si>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</si>
  <si>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</si>
  <si>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</si>
  <si>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</si>
  <si>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</si>
  <si>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</si>
  <si>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</si>
  <si>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</si>
  <si>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</si>
  <si>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</si>
  <si>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</si>
  <si>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</si>
  <si>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</si>
  <si>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</si>
  <si>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</si>
  <si>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</si>
  <si>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</si>
  <si>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</si>
  <si>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</si>
  <si>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</si>
  <si>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</si>
  <si>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</si>
  <si>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</si>
  <si>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</si>
  <si>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</si>
  <si>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</si>
  <si>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</si>
  <si>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</si>
  <si>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</si>
  <si>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</si>
  <si>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</si>
  <si>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</si>
  <si>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</si>
  <si>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</si>
  <si>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</si>
  <si>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</si>
  <si>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</si>
  <si>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</si>
  <si>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</si>
  <si>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</si>
  <si>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</si>
  <si>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</si>
  <si>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</si>
  <si>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</si>
  <si>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</si>
  <si>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</si>
  <si>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</si>
  <si>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</si>
  <si>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</si>
  <si>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</si>
  <si>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</si>
  <si>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</si>
  <si>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</si>
  <si>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</si>
  <si>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</si>
  <si>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</si>
  <si>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</si>
  <si>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</si>
  <si>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</si>
  <si>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</si>
  <si>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</si>
  <si>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</si>
  <si>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</si>
  <si>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</si>
  <si>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</si>
  <si>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</si>
  <si>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</si>
  <si>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</si>
  <si>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</si>
  <si>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</si>
  <si>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</si>
  <si>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</si>
  <si>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</si>
  <si>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</si>
  <si>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</si>
  <si>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</si>
  <si>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</si>
  <si>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</si>
  <si>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</si>
  <si>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</si>
  <si>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</si>
  <si>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</si>
  <si>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</si>
  <si>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</si>
  <si>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</si>
  <si>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</si>
  <si>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</si>
  <si>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</si>
  <si>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</si>
  <si>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</si>
  <si>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</si>
  <si>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</si>
  <si>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</si>
  <si>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</si>
  <si>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</si>
  <si>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</si>
  <si>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</si>
  <si>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</si>
  <si>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</si>
  <si>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</si>
  <si>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</si>
  <si>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</si>
  <si>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</si>
  <si>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</si>
  <si>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</si>
  <si>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</si>
  <si>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</si>
  <si>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</si>
  <si>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</si>
  <si>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</si>
  <si>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</si>
  <si>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</si>
  <si>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</si>
  <si>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</si>
  <si>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</si>
  <si>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</si>
  <si>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</si>
  <si>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</si>
  <si>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</si>
  <si>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</si>
  <si>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</si>
  <si>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</si>
  <si>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</si>
  <si>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</si>
  <si>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</si>
  <si>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</si>
  <si>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</si>
  <si>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</si>
  <si>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</si>
  <si>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</si>
  <si>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</si>
  <si>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</si>
  <si>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</si>
  <si>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</si>
  <si>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</si>
  <si>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</si>
  <si>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</si>
  <si>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</si>
  <si>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</si>
  <si>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</si>
  <si>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</si>
  <si>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</si>
  <si>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</si>
  <si>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</si>
  <si>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</si>
  <si>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</si>
  <si>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</si>
  <si>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</si>
  <si>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</si>
  <si>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</si>
  <si>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</si>
  <si>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</si>
  <si>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</si>
  <si>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</si>
  <si>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</si>
  <si>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</si>
  <si>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</si>
  <si>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</si>
  <si>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</si>
  <si>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</si>
  <si>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</si>
  <si>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</si>
  <si>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</si>
  <si>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</si>
  <si>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</si>
  <si>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</si>
  <si>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</si>
  <si>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</si>
  <si>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</si>
  <si>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</si>
  <si>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</si>
  <si>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</si>
  <si>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</si>
  <si>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</si>
  <si>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</si>
  <si>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</si>
  <si>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</si>
  <si>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</si>
  <si>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</si>
  <si>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</si>
  <si>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</si>
  <si>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</si>
  <si>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</si>
  <si>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</si>
  <si>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</si>
  <si>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</si>
  <si>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</si>
  <si>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</si>
  <si>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</si>
  <si>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</si>
  <si>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</si>
  <si>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</si>
  <si>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</si>
  <si>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</si>
  <si>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</si>
  <si>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</si>
  <si>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</si>
  <si>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</si>
  <si>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</si>
  <si>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</si>
  <si>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</si>
  <si>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</si>
  <si>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</si>
  <si>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</si>
  <si>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</si>
  <si>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</si>
  <si>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</si>
  <si>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</si>
  <si>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</si>
  <si>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</si>
  <si>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</si>
  <si>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</si>
  <si>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</si>
  <si>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</si>
  <si>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</si>
  <si>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</si>
  <si>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</si>
  <si>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</si>
  <si>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</si>
  <si>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</si>
  <si>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</si>
  <si>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</si>
  <si>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</si>
  <si>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</si>
  <si>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</si>
  <si>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</si>
  <si>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</si>
  <si>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</si>
  <si>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</si>
  <si>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</si>
  <si>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</si>
  <si>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</si>
  <si>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</si>
  <si>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</si>
  <si>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</si>
  <si>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</si>
  <si>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</si>
  <si>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</si>
  <si>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</si>
  <si>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</si>
  <si>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</si>
  <si>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</si>
  <si>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</si>
  <si>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</si>
  <si>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</si>
  <si>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</si>
  <si>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</si>
  <si>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</si>
  <si>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</si>
  <si>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</si>
  <si>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</si>
  <si>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</si>
  <si>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</si>
  <si>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</si>
  <si>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</si>
  <si>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</si>
  <si>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</si>
  <si>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</si>
  <si>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</si>
  <si>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</si>
  <si>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</si>
  <si>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</si>
  <si>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</si>
  <si>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</si>
  <si>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</si>
  <si>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</si>
  <si>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</si>
  <si>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</si>
  <si>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</si>
  <si>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</si>
  <si>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</si>
  <si>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</si>
  <si>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</si>
  <si>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</si>
  <si>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</si>
  <si>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</si>
  <si>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</si>
  <si>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</si>
  <si>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</si>
  <si>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</si>
  <si>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</si>
  <si>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</si>
  <si>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</si>
  <si>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</si>
  <si>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</si>
  <si>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</si>
  <si>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</si>
  <si>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</si>
  <si>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</si>
  <si>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</si>
  <si>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</si>
  <si>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</si>
  <si>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</si>
  <si>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</si>
  <si>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</si>
  <si>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</si>
  <si>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</si>
  <si>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</si>
  <si>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</si>
  <si>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</si>
  <si>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</si>
  <si>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</si>
  <si>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</si>
  <si>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</si>
  <si>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</si>
  <si>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</si>
  <si>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</si>
  <si>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</si>
  <si>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</si>
  <si>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</si>
  <si>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</si>
  <si>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</si>
  <si>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</si>
  <si>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</si>
  <si>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</si>
  <si>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</si>
  <si>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</si>
  <si>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</si>
  <si>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</si>
  <si>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</si>
  <si>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</si>
  <si>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</si>
  <si>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</si>
  <si>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</si>
  <si>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</si>
  <si>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</si>
  <si>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</si>
  <si>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</si>
  <si>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</si>
  <si>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</si>
  <si>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</si>
  <si>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</si>
  <si>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</si>
  <si>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</si>
  <si>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</si>
  <si>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</si>
  <si>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</si>
  <si>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</si>
  <si>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</si>
  <si>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</si>
  <si>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</si>
  <si>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</si>
  <si>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</si>
  <si>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</si>
  <si>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</si>
  <si>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</si>
  <si>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</si>
  <si>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</si>
  <si>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</si>
  <si>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</si>
  <si>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</si>
  <si>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</si>
  <si>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</si>
  <si>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</si>
  <si>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</si>
  <si>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</si>
  <si>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</si>
  <si>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</si>
  <si>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</si>
  <si>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</si>
  <si>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</si>
  <si>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</si>
  <si>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</si>
  <si>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</si>
  <si>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</si>
  <si>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</si>
  <si>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</si>
  <si>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</si>
  <si>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</si>
  <si>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</si>
  <si>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</si>
  <si>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</si>
  <si>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</si>
  <si>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</si>
  <si>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</si>
  <si>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</si>
  <si>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</si>
  <si>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</si>
  <si>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</si>
  <si>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</si>
  <si>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</si>
  <si>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</si>
  <si>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</si>
  <si>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</si>
  <si>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</si>
  <si>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</si>
  <si>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</si>
  <si>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</si>
  <si>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</si>
  <si>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</si>
  <si>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</si>
  <si>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</si>
  <si>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</si>
  <si>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</si>
  <si>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</si>
  <si>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</si>
  <si>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</si>
  <si>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</si>
  <si>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</si>
  <si>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</si>
  <si>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</si>
  <si>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</si>
  <si>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</si>
  <si>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</si>
  <si>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</si>
  <si>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</si>
  <si>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</si>
  <si>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</si>
  <si>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</si>
  <si>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</si>
  <si>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</si>
  <si>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</si>
  <si>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</si>
  <si>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</si>
  <si>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</si>
  <si>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</si>
  <si>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</si>
  <si>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</si>
  <si>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</si>
  <si>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</si>
  <si>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</si>
  <si>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</si>
  <si>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</si>
  <si>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</si>
  <si>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</si>
  <si>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</si>
  <si>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</si>
  <si>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</si>
  <si>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</si>
  <si>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</si>
  <si>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</si>
  <si>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</si>
  <si>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</si>
  <si>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</si>
  <si>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</si>
  <si>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</si>
  <si>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</si>
  <si>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</si>
  <si>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</si>
  <si>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</si>
  <si>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</si>
  <si>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</si>
  <si>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</si>
  <si>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</si>
  <si>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</si>
  <si>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</si>
  <si>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</si>
  <si>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</si>
  <si>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</si>
  <si>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</si>
  <si>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</si>
  <si>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</si>
  <si>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</si>
  <si>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</si>
  <si>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</si>
  <si>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</si>
  <si>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</si>
  <si>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</si>
  <si>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</si>
  <si>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</si>
  <si>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</si>
  <si>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</si>
  <si>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</si>
  <si>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</si>
  <si>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</si>
  <si>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</si>
  <si>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</si>
  <si>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</si>
  <si>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</si>
  <si>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</si>
  <si>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</si>
  <si>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</si>
  <si>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</si>
  <si>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</si>
  <si>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</si>
  <si>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</si>
  <si>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</si>
  <si>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</si>
  <si>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</si>
  <si>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</si>
  <si>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</si>
  <si>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</si>
  <si>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</si>
  <si>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</si>
  <si>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</si>
  <si>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</si>
  <si>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</si>
  <si>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</si>
  <si>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</si>
  <si>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</si>
  <si>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</si>
  <si>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</si>
  <si>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</si>
  <si>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</si>
  <si>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</si>
  <si>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</si>
  <si>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</si>
  <si>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</si>
  <si>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</si>
  <si>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</si>
  <si>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</si>
  <si>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</si>
  <si>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</si>
  <si>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</si>
  <si>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</si>
  <si>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</si>
  <si>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</si>
  <si>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</si>
  <si>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</si>
  <si>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</si>
  <si>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</si>
  <si>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</si>
  <si>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</si>
  <si>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</si>
  <si>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</si>
  <si>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</si>
  <si>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</si>
  <si>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</si>
  <si>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</si>
  <si>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</si>
  <si>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</si>
  <si>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</si>
  <si>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</si>
  <si>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</si>
  <si>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</si>
  <si>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</si>
  <si>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</si>
  <si>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</si>
  <si>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</si>
  <si>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</si>
  <si>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</si>
  <si>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</si>
  <si>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</si>
  <si>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</si>
  <si>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</si>
  <si>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</si>
  <si>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</si>
  <si>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</si>
  <si>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</si>
  <si>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</si>
  <si>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</si>
  <si>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</si>
  <si>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</si>
  <si>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</si>
  <si>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</si>
  <si>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</si>
  <si>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</si>
  <si>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</si>
  <si>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</si>
  <si>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</si>
  <si>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</si>
  <si>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</si>
  <si>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</si>
  <si>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</si>
  <si>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</si>
  <si>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</si>
  <si>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</si>
  <si>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</si>
  <si>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</si>
  <si>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</si>
  <si>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</si>
  <si>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</si>
  <si>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</si>
  <si>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</si>
  <si>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</si>
  <si>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</si>
  <si>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</si>
  <si>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</si>
  <si>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</si>
  <si>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</si>
  <si>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</si>
  <si>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</si>
  <si>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</si>
  <si>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</si>
  <si>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</si>
  <si>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</si>
  <si>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</si>
  <si>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</si>
  <si>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</si>
  <si>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</si>
  <si>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</si>
  <si>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</si>
  <si>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</si>
  <si>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</si>
  <si>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</si>
  <si>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</si>
  <si>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</si>
  <si>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</si>
  <si>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</si>
  <si>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</si>
  <si>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</si>
  <si>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</si>
  <si>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</si>
  <si>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</si>
  <si>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</si>
  <si>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</si>
  <si>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</si>
  <si>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</si>
  <si>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</si>
  <si>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</si>
  <si>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</si>
  <si>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</si>
  <si>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</si>
  <si>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</si>
  <si>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</si>
  <si>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</si>
  <si>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</si>
  <si>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</si>
  <si>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</si>
  <si>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</si>
  <si>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</si>
  <si>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</si>
  <si>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</si>
  <si>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</si>
  <si>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</si>
  <si>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</si>
  <si>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</si>
  <si>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</si>
  <si>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</si>
  <si>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</si>
  <si>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</si>
  <si>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</si>
  <si>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</si>
  <si>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</si>
  <si>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</si>
  <si>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</si>
  <si>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</si>
  <si>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</si>
  <si>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</si>
  <si>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</si>
  <si>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</si>
  <si>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</si>
  <si>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</si>
  <si>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</si>
  <si>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</si>
  <si>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</si>
  <si>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</si>
  <si>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</si>
  <si>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</si>
  <si>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</si>
  <si>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</si>
  <si>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</si>
  <si>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</si>
  <si>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</si>
  <si>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</si>
  <si>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</si>
  <si>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</si>
  <si>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</si>
  <si>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</si>
  <si>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</si>
  <si>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</si>
  <si>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</si>
  <si>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</si>
  <si>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</si>
  <si>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</si>
  <si>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</si>
  <si>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</si>
  <si>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</si>
  <si>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</si>
  <si>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</si>
  <si>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</si>
  <si>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</si>
  <si>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</si>
  <si>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</si>
  <si>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</si>
  <si>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</si>
  <si>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</si>
  <si>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</si>
  <si>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</si>
  <si>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</si>
  <si>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</si>
  <si>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</si>
  <si>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</si>
  <si>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</si>
  <si>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</si>
  <si>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</si>
  <si>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</si>
  <si>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</si>
  <si>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</si>
  <si>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</si>
  <si>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</si>
  <si>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</si>
  <si>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</si>
  <si>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</si>
  <si>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</si>
  <si>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</si>
  <si>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</si>
  <si>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</si>
  <si>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</si>
  <si>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</si>
  <si>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</si>
  <si>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</si>
  <si>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</si>
  <si>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</si>
  <si>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</si>
  <si>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</si>
  <si>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</si>
  <si>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</si>
  <si>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</si>
  <si>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</si>
  <si>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</si>
  <si>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</si>
  <si>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</si>
  <si>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</si>
  <si>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</si>
  <si>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</si>
  <si>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</si>
  <si>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</si>
  <si>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</si>
  <si>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</si>
  <si>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</si>
  <si>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</si>
  <si>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</si>
  <si>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</si>
  <si>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</si>
  <si>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</si>
  <si>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</si>
  <si>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</si>
  <si>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</si>
  <si>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</si>
  <si>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</si>
  <si>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</si>
  <si>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</si>
  <si>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</si>
  <si>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</si>
  <si>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</si>
  <si>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</si>
  <si>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</si>
  <si>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</si>
  <si>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</si>
  <si>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</si>
  <si>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</si>
  <si>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</si>
  <si>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</si>
  <si>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</si>
  <si>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</si>
  <si>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</si>
  <si>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</si>
  <si>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</si>
  <si>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</si>
  <si>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</si>
  <si>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</si>
  <si>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</si>
  <si>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</si>
  <si>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</si>
  <si>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</si>
  <si>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</si>
  <si>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</si>
  <si>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</si>
  <si>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</si>
  <si>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</si>
  <si>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</si>
  <si>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</si>
  <si>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</si>
  <si>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</si>
  <si>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</si>
  <si>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</si>
  <si>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</si>
  <si>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</si>
  <si>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</si>
  <si>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</si>
  <si>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</si>
  <si>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</si>
  <si>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</si>
  <si>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</si>
  <si>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</si>
  <si>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</si>
  <si>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</si>
  <si>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</si>
  <si>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</si>
  <si>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</si>
  <si>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</si>
  <si>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</si>
  <si>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</si>
  <si>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</si>
  <si>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</si>
  <si>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</si>
  <si>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</si>
  <si>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</si>
  <si>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</si>
  <si>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</si>
  <si>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</si>
  <si>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</si>
  <si>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</si>
  <si>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</si>
  <si>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</si>
  <si>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</si>
  <si>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</si>
  <si>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</si>
  <si>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</si>
  <si>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</si>
  <si>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</si>
  <si>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</si>
  <si>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</si>
  <si>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</si>
  <si>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</si>
  <si>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</si>
  <si>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</si>
  <si>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</si>
  <si>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</si>
  <si>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</si>
  <si>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</si>
  <si>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</si>
  <si>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</si>
  <si>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</si>
  <si>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</si>
  <si>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</si>
  <si>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</si>
  <si>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</si>
  <si>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</si>
  <si>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</si>
  <si>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</si>
  <si>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</si>
  <si>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</si>
  <si>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</si>
  <si>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</si>
  <si>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</si>
  <si>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</si>
  <si>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</si>
  <si>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</si>
  <si>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</si>
  <si>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</si>
  <si>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</si>
  <si>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</si>
  <si>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</si>
  <si>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</si>
  <si>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</si>
  <si>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</si>
  <si>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</si>
  <si>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</si>
  <si>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</si>
  <si>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</si>
  <si>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</si>
  <si>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</si>
  <si>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</si>
  <si>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</si>
  <si>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</si>
  <si>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</si>
  <si>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</si>
  <si>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</si>
  <si>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</si>
  <si>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</si>
  <si>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</si>
  <si>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</si>
  <si>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</si>
  <si>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</si>
  <si>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</si>
  <si>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</si>
  <si>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</si>
  <si>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</si>
  <si>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</si>
  <si>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</si>
  <si>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</si>
  <si>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</si>
  <si>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</si>
  <si>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</si>
  <si>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</si>
  <si>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</si>
  <si>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</si>
  <si>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</si>
  <si>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</si>
  <si>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</si>
  <si>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</si>
  <si>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</si>
  <si>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</si>
  <si>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</si>
  <si>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</si>
  <si>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</si>
  <si>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</si>
  <si>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</si>
  <si>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</si>
  <si>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</si>
  <si>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</si>
  <si>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</si>
  <si>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</si>
  <si>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</si>
  <si>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</si>
  <si>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</si>
  <si>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</si>
  <si>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</si>
  <si>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</si>
  <si>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</si>
  <si>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</si>
  <si>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</si>
  <si>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</si>
  <si>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</si>
  <si>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</si>
  <si>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</si>
  <si>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</si>
  <si>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</si>
  <si>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</si>
  <si>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</si>
  <si>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</si>
  <si>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</si>
  <si>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</si>
  <si>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</si>
  <si>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</si>
  <si>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</si>
  <si>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</si>
  <si>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</si>
  <si>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</si>
  <si>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</si>
  <si>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</si>
  <si>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</si>
  <si>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</si>
  <si>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</si>
  <si>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</si>
  <si>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</si>
  <si>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</si>
  <si>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</si>
  <si>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</si>
  <si>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</si>
  <si>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</si>
  <si>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</si>
  <si>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</si>
  <si>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</si>
  <si>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</si>
  <si>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</si>
  <si>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</si>
  <si>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</si>
  <si>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</si>
  <si>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</si>
  <si>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</si>
  <si>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</si>
  <si>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</si>
  <si>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</si>
  <si>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</si>
  <si>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</si>
  <si>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</si>
  <si>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</si>
  <si>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</si>
  <si>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</si>
  <si>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</si>
  <si>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</si>
  <si>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</si>
  <si>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</si>
  <si>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</si>
  <si>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</si>
  <si>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</si>
  <si>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</si>
  <si>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</si>
  <si>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</si>
  <si>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</si>
  <si>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</si>
  <si>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</si>
  <si>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</si>
  <si>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</si>
  <si>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</si>
  <si>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</si>
  <si>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</si>
  <si>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</si>
  <si>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</si>
  <si>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</si>
  <si>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</si>
  <si>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</si>
  <si>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</si>
  <si>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</si>
  <si>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</si>
  <si>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</si>
  <si>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</si>
  <si>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</si>
  <si>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</si>
  <si>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</si>
  <si>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</si>
  <si>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</si>
  <si>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</si>
  <si>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</si>
  <si>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</si>
  <si>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</si>
  <si>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</si>
  <si>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</si>
  <si>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</si>
  <si>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</si>
  <si>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</si>
  <si>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</si>
  <si>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</si>
  <si>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</si>
  <si>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</si>
  <si>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</si>
  <si>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</si>
  <si>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</si>
  <si>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</si>
  <si>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</si>
  <si>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</si>
  <si>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</si>
  <si>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</si>
  <si>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</si>
  <si>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</si>
  <si>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</si>
  <si>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</si>
  <si>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</si>
  <si>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</si>
  <si>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</si>
  <si>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</si>
  <si>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</si>
  <si>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</si>
  <si>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</si>
  <si>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</si>
  <si>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</si>
  <si>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</si>
  <si>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</si>
  <si>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</si>
  <si>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</si>
  <si>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</si>
  <si>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</si>
  <si>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</si>
  <si>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</si>
  <si>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</si>
  <si>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</si>
  <si>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</si>
  <si>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</si>
  <si>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</si>
  <si>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</si>
  <si>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</si>
  <si>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</si>
  <si>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</si>
  <si>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</si>
  <si>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</si>
  <si>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</si>
  <si>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</si>
  <si>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</si>
  <si>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</si>
  <si>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</si>
  <si>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</si>
  <si>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</si>
  <si>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</si>
  <si>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</si>
  <si>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</si>
  <si>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</si>
  <si>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</si>
  <si>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</si>
  <si>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</si>
  <si>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</si>
  <si>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</si>
  <si>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</si>
  <si>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</si>
  <si>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</si>
  <si>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</si>
  <si>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</si>
  <si>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</si>
  <si>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</si>
  <si>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</si>
  <si>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</si>
  <si>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</si>
  <si>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</si>
  <si>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</si>
  <si>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</si>
  <si>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</si>
  <si>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</si>
  <si>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</si>
  <si>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</si>
  <si>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</si>
  <si>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</si>
  <si>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</si>
  <si>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</si>
  <si>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</si>
  <si>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</si>
  <si>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</si>
  <si>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</si>
  <si>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</si>
  <si>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</si>
  <si>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</si>
  <si>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</si>
  <si>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</si>
  <si>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</si>
  <si>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</si>
  <si>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</si>
  <si>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</si>
  <si>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</si>
  <si>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</si>
  <si>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</si>
  <si>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</si>
  <si>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</si>
  <si>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</si>
  <si>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</si>
  <si>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</si>
  <si>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</si>
  <si>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</si>
  <si>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</si>
  <si>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</si>
  <si>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</si>
  <si>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</si>
  <si>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</si>
  <si>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</si>
  <si>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</si>
  <si>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</si>
  <si>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</si>
  <si>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</si>
  <si>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</si>
  <si>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</si>
  <si>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</si>
  <si>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</si>
  <si>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</si>
  <si>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</si>
  <si>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</si>
  <si>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</si>
  <si>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</si>
  <si>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</si>
  <si>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</si>
  <si>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</si>
  <si>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</si>
  <si>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</si>
  <si>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</si>
  <si>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</si>
  <si>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</si>
  <si>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</si>
  <si>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</si>
  <si>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</si>
  <si>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</si>
  <si>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</si>
  <si>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</si>
  <si>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</si>
  <si>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</si>
  <si>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</si>
  <si>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</si>
  <si>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</si>
  <si>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</si>
  <si>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</si>
  <si>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</si>
  <si>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</si>
  <si>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</si>
  <si>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</si>
  <si>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</si>
  <si>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</si>
  <si>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</si>
  <si>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</si>
  <si>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</si>
  <si>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</si>
  <si>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</si>
  <si>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</si>
  <si>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</si>
  <si>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</si>
  <si>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</si>
  <si>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</si>
  <si>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</si>
  <si>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</si>
  <si>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</si>
  <si>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</si>
  <si>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</si>
  <si>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</si>
  <si>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</si>
  <si>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</si>
  <si>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</si>
  <si>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</si>
  <si>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</si>
  <si>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</si>
  <si>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</si>
  <si>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</si>
  <si>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</si>
  <si>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</si>
  <si>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</si>
  <si>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</si>
  <si>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</si>
  <si>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</si>
  <si>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</si>
  <si>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</si>
  <si>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</si>
  <si>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</si>
  <si>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</si>
  <si>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</si>
  <si>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</si>
  <si>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</si>
  <si>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</si>
  <si>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</si>
  <si>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</si>
  <si>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</si>
  <si>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</si>
  <si>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</si>
  <si>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</si>
  <si>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</si>
  <si>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</si>
  <si>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</si>
  <si>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</si>
  <si>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</si>
  <si>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</si>
  <si>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</si>
  <si>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</si>
  <si>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</si>
  <si>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</si>
  <si>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</si>
  <si>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</si>
  <si>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</si>
  <si>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</si>
  <si>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</si>
  <si>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</si>
  <si>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</si>
  <si>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</si>
  <si>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</si>
  <si>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</si>
  <si>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</si>
  <si>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</si>
  <si>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</si>
  <si>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</si>
  <si>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</si>
  <si>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</si>
  <si>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</si>
  <si>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</si>
  <si>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</si>
  <si>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</si>
  <si>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</si>
  <si>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</si>
  <si>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</si>
  <si>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</si>
  <si>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</si>
  <si>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</si>
  <si>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</si>
  <si>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</si>
  <si>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</si>
  <si>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</si>
  <si>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</si>
  <si>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</si>
  <si>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</si>
  <si>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</si>
  <si>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</si>
  <si>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</si>
  <si>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</si>
  <si>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</si>
  <si>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</si>
  <si>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</si>
  <si>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</si>
  <si>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</si>
  <si>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</si>
  <si>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</si>
  <si>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</si>
  <si>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</si>
  <si>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</si>
  <si>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</si>
  <si>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</si>
  <si>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</si>
  <si>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</si>
  <si>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</si>
  <si>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</si>
  <si>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</si>
  <si>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</si>
  <si>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</si>
  <si>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</si>
  <si>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</si>
  <si>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</si>
  <si>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</si>
  <si>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</si>
  <si>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</si>
  <si>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</si>
  <si>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</si>
  <si>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</si>
  <si>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</si>
  <si>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</si>
  <si>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</si>
  <si>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</si>
  <si>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</si>
  <si>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</si>
  <si>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</si>
  <si>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</si>
  <si>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</si>
  <si>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</si>
  <si>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</si>
  <si>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</si>
  <si>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</si>
  <si>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</si>
  <si>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</si>
  <si>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</si>
  <si>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</si>
  <si>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</si>
  <si>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</si>
  <si>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</si>
  <si>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</si>
  <si>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</si>
  <si>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</si>
  <si>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</si>
  <si>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</si>
  <si>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</si>
  <si>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</si>
  <si>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</si>
  <si>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</si>
  <si>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</si>
  <si>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</si>
  <si>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</si>
  <si>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</si>
  <si>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</si>
  <si>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</si>
  <si>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</si>
  <si>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</si>
  <si>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</si>
  <si>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</si>
  <si>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</si>
  <si>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</si>
  <si>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</si>
  <si>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</si>
  <si>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</si>
  <si>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</si>
  <si>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</si>
  <si>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</si>
  <si>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</si>
  <si>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</si>
  <si>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</si>
  <si>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</si>
  <si>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</si>
  <si>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</si>
  <si>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</si>
  <si>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</si>
  <si>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</si>
  <si>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</si>
  <si>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</si>
  <si>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</si>
  <si>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</si>
  <si>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</si>
  <si>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</si>
  <si>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</si>
  <si>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</si>
  <si>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</si>
  <si>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</si>
  <si>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</si>
  <si>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</si>
  <si>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</si>
  <si>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</si>
  <si>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</si>
  <si>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</si>
  <si>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</si>
  <si>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</si>
  <si>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</si>
  <si>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</si>
  <si>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</si>
  <si>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</si>
  <si>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</si>
  <si>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</si>
  <si>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</si>
  <si>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</si>
  <si>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</si>
  <si>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</si>
  <si>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</si>
  <si>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</si>
  <si>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</si>
  <si>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</si>
  <si>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</si>
  <si>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</si>
  <si>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</si>
  <si>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</si>
  <si>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</si>
  <si>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</si>
  <si>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</si>
  <si>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</si>
  <si>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</si>
  <si>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</si>
  <si>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</si>
  <si>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</si>
  <si>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</si>
  <si>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</si>
  <si>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</si>
  <si>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</si>
  <si>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</si>
  <si>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</si>
  <si>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</si>
  <si>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</si>
  <si>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</si>
  <si>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</si>
  <si>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</si>
  <si>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</si>
  <si>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</si>
  <si>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</si>
  <si>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</si>
  <si>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</si>
  <si>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</si>
  <si>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</si>
  <si>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</si>
  <si>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</si>
  <si>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</si>
  <si>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</si>
  <si>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</si>
  <si>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</si>
  <si>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</si>
  <si>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</si>
  <si>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</si>
  <si>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</si>
  <si>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</si>
  <si>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</si>
  <si>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</si>
  <si>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</si>
  <si>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</si>
  <si>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</si>
  <si>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</si>
  <si>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</si>
  <si>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</si>
  <si>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</si>
  <si>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</si>
  <si>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</si>
  <si>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</si>
  <si>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</si>
  <si>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</si>
  <si>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</si>
  <si>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</si>
  <si>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</si>
  <si>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</si>
  <si>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</si>
  <si>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</si>
  <si>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</si>
  <si>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</si>
  <si>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</si>
  <si>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</si>
  <si>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</si>
  <si>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</si>
  <si>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</si>
  <si>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</si>
  <si>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</si>
  <si>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</si>
  <si>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</si>
  <si>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</si>
  <si>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</si>
  <si>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</si>
  <si>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</si>
  <si>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</si>
  <si>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</si>
  <si>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</si>
  <si>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</si>
  <si>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</si>
  <si>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</si>
  <si>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</si>
  <si>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</si>
  <si>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</si>
  <si>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</si>
  <si>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</si>
  <si>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</si>
  <si>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</si>
  <si>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</si>
  <si>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</si>
  <si>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</si>
  <si>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</si>
  <si>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</si>
  <si>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</si>
  <si>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</si>
  <si>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</si>
  <si>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</si>
  <si>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</si>
  <si>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</si>
  <si>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</si>
  <si>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</si>
  <si>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</si>
  <si>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</si>
  <si>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</si>
  <si>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</si>
  <si>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</si>
  <si>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</si>
  <si>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</si>
  <si>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</si>
  <si>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</si>
  <si>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</si>
  <si>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</si>
  <si>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</si>
  <si>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</si>
  <si>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</si>
  <si>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</si>
  <si>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</si>
  <si>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</si>
  <si>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</si>
  <si>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</si>
  <si>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</si>
  <si>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</si>
  <si>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</si>
  <si>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</si>
  <si>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</si>
  <si>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</si>
  <si>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</si>
  <si>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</si>
  <si>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</si>
  <si>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</si>
  <si>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</si>
  <si>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</si>
  <si>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</si>
  <si>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</si>
  <si>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</si>
  <si>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</si>
  <si>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</si>
  <si>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</si>
  <si>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</si>
  <si>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</si>
  <si>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</si>
  <si>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</si>
  <si>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</si>
  <si>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</si>
  <si>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</si>
  <si>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</si>
  <si>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</si>
  <si>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</si>
  <si>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</si>
  <si>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</si>
  <si>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</si>
  <si>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</si>
  <si>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</si>
  <si>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</si>
  <si>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</si>
  <si>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</si>
  <si>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</si>
  <si>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</si>
  <si>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</si>
  <si>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</si>
  <si>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</si>
  <si>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</si>
  <si>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</si>
  <si>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</si>
  <si>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</si>
  <si>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</si>
  <si>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</si>
  <si>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</si>
  <si>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</si>
  <si>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</si>
  <si>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</si>
  <si>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</si>
  <si>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</si>
  <si>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</si>
  <si>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</si>
  <si>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</si>
  <si>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</si>
  <si>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</si>
  <si>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</si>
  <si>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</si>
  <si>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</si>
  <si>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</si>
  <si>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</si>
  <si>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</si>
  <si>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</si>
  <si>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</si>
  <si>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</si>
  <si>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</si>
  <si>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</si>
  <si>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</si>
  <si>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</si>
  <si>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</si>
  <si>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</si>
  <si>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</si>
  <si>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</si>
  <si>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</si>
  <si>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</si>
  <si>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</si>
  <si>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</si>
  <si>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</si>
  <si>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</si>
  <si>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</si>
  <si>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</si>
  <si>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</si>
  <si>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</si>
  <si>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</si>
  <si>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</si>
  <si>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</si>
  <si>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</si>
  <si>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</si>
  <si>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</si>
  <si>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</si>
  <si>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</si>
  <si>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</si>
  <si>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</si>
  <si>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</si>
  <si>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</si>
  <si>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</si>
  <si>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</si>
  <si>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</si>
  <si>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</si>
  <si>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</si>
  <si>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</si>
  <si>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</si>
  <si>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</si>
  <si>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</si>
  <si>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</si>
  <si>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</si>
  <si>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</si>
  <si>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</si>
  <si>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</si>
  <si>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</si>
  <si>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</si>
  <si>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</si>
  <si>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</si>
  <si>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</si>
  <si>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</si>
  <si>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</si>
  <si>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</si>
  <si>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</si>
  <si>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</si>
  <si>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</si>
  <si>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</si>
  <si>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</si>
  <si>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</si>
  <si>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</si>
  <si>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</si>
  <si>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</si>
  <si>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</si>
  <si>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</si>
  <si>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</si>
  <si>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</si>
  <si>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</si>
  <si>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</si>
  <si>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</si>
  <si>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</si>
  <si>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</si>
  <si>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</si>
  <si>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</si>
  <si>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</si>
  <si>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</si>
  <si>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</si>
  <si>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</si>
  <si>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</si>
  <si>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</si>
  <si>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</si>
  <si>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</si>
  <si>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</si>
  <si>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</si>
  <si>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</si>
  <si>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</si>
  <si>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</si>
  <si>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</si>
  <si>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</si>
  <si>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</si>
  <si>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</si>
  <si>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</si>
  <si>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</si>
  <si>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</si>
  <si>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</si>
  <si>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</si>
  <si>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</si>
  <si>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</si>
  <si>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</si>
  <si>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</si>
  <si>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</si>
  <si>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</si>
  <si>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</si>
  <si>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</si>
  <si>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</si>
  <si>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</si>
  <si>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</si>
  <si>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</si>
  <si>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</si>
  <si>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</si>
  <si>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</si>
  <si>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</si>
  <si>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</si>
  <si>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</si>
  <si>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</si>
  <si>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</si>
  <si>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</si>
  <si>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</si>
  <si>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</si>
  <si>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</si>
  <si>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</si>
  <si>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</si>
  <si>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</si>
  <si>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</si>
  <si>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</si>
  <si>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</si>
  <si>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</si>
  <si>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</si>
  <si>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</si>
  <si>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</si>
  <si>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</si>
  <si>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</si>
  <si>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</si>
  <si>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</si>
  <si>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</si>
  <si>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</si>
  <si>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</si>
  <si>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</si>
  <si>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</si>
  <si>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</si>
  <si>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</si>
  <si>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</si>
  <si>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</si>
  <si>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</si>
  <si>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</si>
  <si>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</si>
  <si>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</si>
  <si>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</si>
  <si>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</si>
  <si>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</si>
  <si>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</si>
  <si>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</si>
  <si>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</si>
  <si>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</si>
  <si>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</si>
  <si>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</si>
  <si>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</si>
  <si>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</si>
  <si>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</si>
  <si>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</si>
  <si>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</si>
  <si>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</si>
  <si>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</si>
  <si>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</si>
  <si>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</si>
  <si>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</si>
  <si>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</si>
  <si>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</si>
  <si>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</si>
  <si>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</si>
  <si>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</si>
  <si>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</si>
  <si>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</si>
  <si>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</si>
  <si>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</si>
  <si>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</si>
  <si>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</si>
  <si>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</si>
  <si>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</si>
  <si>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</si>
  <si>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</si>
  <si>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</si>
  <si>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</si>
  <si>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</si>
  <si>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</si>
  <si>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</si>
  <si>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</si>
  <si>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</si>
  <si>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</si>
  <si>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</si>
  <si>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</si>
  <si>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</si>
  <si>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</si>
  <si>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</si>
  <si>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</si>
  <si>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</si>
  <si>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</si>
  <si>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</si>
  <si>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</si>
  <si>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</si>
  <si>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</si>
  <si>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</si>
  <si>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</si>
  <si>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</si>
  <si>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</si>
  <si>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</si>
  <si>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</si>
  <si>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</si>
  <si>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</si>
  <si>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</si>
  <si>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</si>
  <si>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</si>
  <si>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</si>
  <si>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</si>
  <si>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</si>
  <si>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</si>
  <si>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</si>
  <si>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</si>
  <si>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</si>
  <si>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</si>
  <si>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</si>
  <si>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</si>
  <si>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</si>
  <si>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</si>
  <si>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</si>
  <si>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</si>
  <si>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</si>
  <si>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</si>
  <si>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</si>
  <si>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</si>
  <si>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</si>
  <si>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</si>
  <si>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</si>
  <si>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</si>
  <si>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</si>
  <si>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</si>
  <si>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</si>
  <si>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</si>
  <si>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</si>
  <si>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</si>
  <si>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</si>
  <si>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</si>
  <si>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</si>
  <si>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</si>
  <si>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</si>
  <si>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</si>
  <si>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</si>
  <si>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</si>
  <si>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</si>
  <si>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</si>
  <si>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</si>
  <si>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</si>
  <si>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</si>
  <si>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</si>
  <si>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</si>
  <si>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</si>
  <si>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</si>
  <si>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</si>
  <si>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</si>
  <si>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</si>
  <si>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</si>
  <si>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</si>
  <si>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</si>
  <si>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</si>
  <si>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</si>
  <si>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</si>
  <si>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</si>
  <si>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</si>
  <si>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</si>
  <si>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</si>
  <si>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</si>
  <si>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</si>
  <si>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</si>
  <si>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</si>
  <si>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</si>
  <si>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</si>
  <si>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</si>
  <si>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</si>
  <si>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</si>
  <si>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</si>
  <si>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</si>
  <si>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</si>
  <si>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</si>
  <si>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</si>
  <si>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</si>
  <si>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</si>
  <si>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</si>
  <si>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</si>
  <si>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</si>
  <si>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</si>
  <si>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</si>
  <si>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</si>
  <si>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</si>
  <si>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</si>
  <si>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</si>
  <si>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</si>
  <si>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</si>
  <si>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</si>
  <si>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</si>
  <si>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</si>
  <si>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</si>
  <si>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</si>
  <si>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</si>
  <si>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</si>
  <si>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</si>
  <si>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</si>
  <si>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</si>
  <si>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</si>
  <si>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</si>
  <si>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</si>
  <si>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</si>
  <si>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</si>
  <si>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</si>
  <si>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</si>
  <si>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</si>
  <si>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</si>
  <si>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</si>
  <si>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</si>
  <si>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</si>
  <si>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</si>
  <si>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</si>
  <si>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</si>
  <si>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</si>
  <si>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</si>
  <si>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</si>
  <si>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</si>
  <si>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</si>
  <si>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</si>
  <si>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</si>
  <si>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</si>
  <si>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</si>
  <si>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</si>
  <si>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</si>
  <si>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</si>
  <si>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</si>
  <si>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</si>
  <si>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</si>
  <si>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</si>
  <si>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</si>
  <si>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</si>
  <si>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</si>
  <si>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</si>
  <si>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</si>
  <si>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</si>
  <si>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</si>
  <si>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</si>
  <si>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</si>
  <si>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</si>
  <si>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</si>
  <si>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</si>
  <si>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</si>
  <si>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</si>
  <si>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</si>
  <si>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</si>
  <si>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</si>
  <si>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</si>
  <si>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</si>
  <si>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</si>
  <si>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</si>
  <si>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</si>
  <si>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</si>
  <si>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</si>
  <si>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</si>
  <si>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</si>
  <si>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</si>
  <si>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</si>
  <si>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</si>
  <si>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</si>
  <si>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</si>
  <si>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</si>
  <si>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</si>
  <si>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</si>
  <si>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</si>
  <si>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</si>
  <si>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</si>
  <si>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</si>
  <si>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</si>
  <si>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</si>
  <si>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</si>
  <si>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</si>
  <si>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</si>
  <si>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</si>
  <si>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</si>
  <si>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</si>
  <si>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</si>
  <si>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</si>
  <si>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</si>
  <si>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</si>
  <si>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</si>
  <si>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</si>
  <si>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</si>
  <si>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</si>
  <si>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</si>
  <si>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</si>
  <si>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</si>
  <si>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</si>
  <si>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</si>
  <si>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</si>
  <si>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</si>
  <si>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</si>
  <si>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</si>
  <si>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</si>
  <si>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</si>
  <si>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</si>
  <si>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</si>
  <si>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</si>
  <si>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</si>
  <si>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</si>
  <si>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</si>
  <si>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</si>
  <si>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</si>
  <si>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</si>
  <si>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</si>
  <si>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</si>
  <si>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</si>
  <si>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</si>
  <si>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</si>
  <si>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</si>
  <si>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</si>
  <si>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</si>
  <si>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</si>
  <si>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</si>
  <si>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</si>
  <si>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</si>
  <si>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</si>
  <si>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</si>
  <si>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</si>
  <si>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</si>
  <si>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</si>
  <si>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</si>
  <si>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</si>
  <si>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</si>
  <si>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</si>
  <si>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</si>
  <si>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</si>
  <si>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</si>
  <si>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</si>
  <si>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</si>
  <si>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</si>
  <si>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</si>
  <si>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</si>
  <si>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</si>
  <si>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</si>
  <si>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</si>
  <si>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</si>
  <si>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</si>
  <si>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</si>
  <si>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</si>
  <si>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</si>
  <si>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</si>
  <si>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</si>
  <si>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</si>
  <si>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</si>
  <si>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</si>
  <si>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</si>
  <si>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</si>
  <si>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</si>
  <si>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</si>
  <si>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</si>
  <si>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</si>
  <si>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</si>
  <si>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</si>
  <si>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</si>
  <si>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</si>
  <si>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</si>
  <si>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</si>
  <si>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</si>
  <si>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</si>
  <si>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</si>
  <si>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</si>
  <si>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</si>
  <si>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</si>
  <si>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</si>
  <si>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</si>
  <si>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</si>
  <si>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</si>
  <si>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</si>
  <si>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</si>
  <si>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</si>
  <si>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</si>
  <si>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</si>
  <si>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</si>
  <si>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</si>
  <si>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</si>
  <si>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</si>
  <si>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</si>
  <si>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</si>
  <si>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</si>
  <si>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</si>
  <si>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</si>
  <si>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</si>
  <si>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</si>
  <si>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</si>
  <si>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</si>
  <si>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</si>
  <si>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</si>
  <si>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</si>
  <si>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</si>
  <si>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</si>
  <si>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</si>
  <si>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</si>
  <si>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</si>
  <si>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</si>
  <si>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</si>
  <si>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</si>
  <si>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</si>
  <si>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</si>
  <si>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</si>
  <si>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</si>
  <si>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</si>
  <si>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</si>
  <si>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</si>
  <si>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</si>
  <si>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</si>
  <si>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</si>
  <si>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</si>
  <si>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</si>
  <si>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</si>
  <si>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</si>
  <si>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</si>
  <si>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</si>
  <si>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</si>
  <si>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</si>
  <si>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</si>
  <si>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</si>
  <si>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</si>
  <si>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</si>
  <si>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</si>
  <si>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</si>
  <si>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</si>
  <si>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</si>
  <si>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</si>
  <si>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</si>
  <si>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</si>
  <si>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</si>
  <si>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</si>
  <si>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</si>
  <si>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</si>
  <si>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</si>
  <si>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</si>
  <si>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</si>
  <si>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</si>
  <si>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</si>
  <si>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</si>
  <si>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</si>
  <si>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</si>
  <si>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</si>
  <si>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</si>
  <si>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</si>
  <si>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</si>
  <si>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</si>
  <si>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</si>
  <si>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</si>
  <si>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</si>
  <si>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</si>
  <si>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</si>
  <si>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</si>
  <si>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</si>
  <si>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</si>
  <si>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</si>
  <si>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</si>
  <si>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</si>
  <si>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</si>
  <si>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</si>
  <si>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</si>
  <si>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</si>
  <si>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</si>
  <si>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</si>
  <si>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</si>
  <si>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</si>
  <si>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</si>
  <si>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</si>
  <si>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</si>
  <si>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</si>
  <si>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</si>
  <si>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</si>
  <si>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</si>
  <si>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</si>
  <si>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</si>
  <si>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</si>
  <si>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</si>
  <si>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</si>
  <si>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</si>
  <si>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</si>
  <si>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</si>
  <si>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</si>
  <si>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</si>
  <si>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</si>
  <si>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</si>
  <si>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</si>
  <si>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</si>
  <si>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</si>
  <si>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</si>
  <si>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</si>
  <si>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</si>
  <si>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</si>
  <si>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</si>
  <si>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</si>
  <si>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</si>
  <si>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</si>
  <si>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</si>
  <si>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</si>
  <si>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</si>
  <si>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</si>
  <si>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</si>
  <si>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</si>
  <si>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</si>
  <si>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</si>
  <si>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</si>
  <si>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</si>
  <si>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</si>
  <si>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</si>
  <si>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</si>
  <si>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</si>
  <si>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</si>
  <si>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</si>
  <si>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</si>
  <si>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</si>
  <si>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</si>
  <si>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</si>
  <si>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</si>
  <si>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</si>
  <si>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</si>
  <si>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</si>
  <si>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</si>
  <si>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</si>
  <si>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</si>
  <si>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</si>
  <si>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</si>
  <si>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</si>
  <si>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</si>
  <si>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</si>
  <si>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</si>
  <si>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</si>
  <si>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</si>
  <si>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</si>
  <si>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</si>
  <si>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</si>
  <si>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</si>
  <si>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</si>
  <si>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</si>
  <si>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</si>
  <si>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</si>
  <si>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</si>
  <si>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</si>
  <si>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</si>
  <si>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</si>
  <si>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</si>
  <si>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</si>
  <si>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</si>
  <si>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</si>
  <si>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</si>
  <si>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</si>
  <si>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</si>
  <si>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</si>
  <si>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</si>
  <si>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</si>
  <si>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</si>
  <si>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</si>
  <si>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</si>
  <si>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</si>
  <si>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</si>
  <si>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</si>
  <si>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</si>
  <si>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</si>
  <si>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</si>
  <si>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</si>
  <si>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</si>
  <si>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</si>
  <si>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</si>
  <si>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</si>
  <si>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</si>
  <si>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</si>
  <si>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</si>
  <si>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</si>
  <si>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</si>
  <si>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</si>
  <si>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</si>
  <si>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</si>
  <si>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</si>
  <si>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</si>
  <si>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</si>
  <si>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</si>
  <si>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</si>
  <si>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</si>
  <si>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</si>
  <si>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</si>
  <si>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</si>
  <si>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</si>
  <si>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</si>
  <si>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</si>
  <si>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</si>
  <si>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</si>
  <si>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</si>
  <si>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</si>
  <si>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</si>
  <si>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</si>
  <si>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</si>
  <si>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</si>
  <si>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</si>
  <si>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</si>
  <si>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</si>
  <si>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</si>
  <si>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</si>
  <si>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</si>
  <si>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</si>
  <si>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</si>
  <si>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</si>
  <si>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</si>
  <si>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</si>
  <si>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</si>
  <si>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</si>
  <si>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</si>
  <si>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</si>
  <si>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</si>
  <si>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</si>
  <si>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</si>
  <si>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</si>
  <si>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</si>
  <si>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</si>
  <si>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</si>
  <si>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</si>
  <si>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</si>
  <si>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</si>
  <si>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</si>
  <si>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</si>
  <si>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</si>
  <si>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</si>
  <si>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</si>
  <si>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</si>
  <si>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</si>
  <si>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</si>
  <si>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</si>
  <si>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</si>
  <si>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</si>
  <si>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</si>
  <si>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</si>
  <si>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</si>
  <si>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</si>
  <si>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</si>
  <si>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</si>
  <si>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</si>
  <si>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</si>
  <si>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</si>
  <si>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</si>
  <si>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</si>
  <si>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</si>
  <si>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</si>
  <si>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</si>
  <si>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</si>
  <si>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</si>
  <si>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</si>
  <si>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</si>
  <si>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</si>
  <si>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</si>
  <si>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</si>
  <si>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</si>
  <si>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</si>
  <si>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</si>
  <si>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</si>
  <si>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</si>
  <si>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</si>
  <si>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</si>
  <si>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</si>
  <si>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</si>
  <si>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</si>
  <si>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</si>
  <si>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</si>
  <si>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</si>
  <si>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</si>
  <si>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</si>
  <si>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</si>
  <si>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</si>
  <si>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</si>
  <si>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</si>
  <si>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</si>
  <si>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</si>
  <si>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</si>
  <si>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</si>
  <si>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</si>
  <si>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</si>
  <si>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</si>
  <si>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</si>
  <si>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</si>
  <si>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</si>
  <si>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</si>
  <si>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</si>
  <si>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</si>
  <si>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</si>
  <si>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</si>
  <si>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</si>
  <si>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</si>
  <si>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</si>
  <si>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</si>
  <si>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</si>
  <si>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</si>
  <si>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</si>
  <si>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</si>
  <si>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</si>
  <si>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</si>
  <si>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</si>
  <si>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</si>
  <si>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</si>
  <si>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</si>
  <si>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</si>
  <si>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</si>
  <si>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</si>
  <si>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</si>
  <si>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</si>
  <si>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</si>
  <si>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</si>
  <si>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</si>
  <si>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</si>
  <si>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</si>
  <si>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</si>
  <si>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</si>
  <si>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</si>
  <si>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</si>
  <si>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</si>
  <si>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</si>
  <si>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</si>
  <si>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</si>
  <si>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</si>
  <si>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</si>
  <si>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</si>
  <si>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</si>
  <si>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</si>
  <si>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</si>
  <si>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</si>
  <si>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</si>
  <si>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</si>
  <si>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</si>
  <si>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</si>
  <si>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</si>
  <si>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</si>
  <si>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</si>
  <si>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</si>
  <si>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</si>
  <si>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</si>
  <si>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</si>
  <si>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</si>
  <si>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</si>
  <si>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</si>
  <si>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</si>
  <si>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</si>
  <si>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</si>
  <si>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</si>
  <si>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</si>
  <si>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</si>
  <si>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</si>
  <si>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</si>
  <si>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</si>
  <si>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</si>
  <si>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</si>
  <si>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</si>
  <si>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</si>
  <si>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</si>
  <si>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</si>
  <si>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</si>
  <si>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</si>
  <si>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</si>
  <si>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</si>
  <si>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</si>
  <si>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</si>
  <si>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</si>
  <si>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</si>
  <si>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</si>
  <si>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</si>
  <si>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</si>
  <si>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</si>
  <si>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</si>
  <si>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</si>
  <si>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</si>
  <si>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</si>
  <si>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</si>
  <si>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</si>
  <si>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</si>
  <si>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</si>
  <si>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</si>
  <si>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</si>
  <si>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</si>
  <si>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</si>
  <si>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</si>
  <si>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</si>
  <si>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</si>
  <si>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</si>
  <si>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</si>
  <si>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</si>
  <si>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</si>
  <si>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</si>
  <si>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</si>
  <si>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</si>
  <si>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</si>
  <si>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</si>
  <si>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</si>
  <si>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</si>
  <si>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</si>
  <si>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</si>
  <si>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</si>
  <si>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</si>
  <si>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</si>
  <si>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</si>
  <si>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</si>
  <si>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</si>
  <si>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</si>
  <si>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</si>
  <si>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</si>
  <si>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</si>
  <si>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</si>
  <si>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</si>
  <si>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</si>
  <si>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</si>
  <si>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</si>
  <si>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</si>
  <si>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</si>
  <si>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</si>
  <si>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</si>
  <si>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</si>
  <si>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</si>
  <si>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</si>
  <si>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</si>
  <si>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</si>
  <si>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</si>
  <si>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</si>
  <si>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</si>
  <si>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</si>
  <si>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</si>
  <si>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</si>
  <si>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</si>
  <si>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</si>
  <si>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</si>
  <si>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</si>
  <si>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</si>
  <si>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</si>
  <si>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</si>
  <si>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</si>
  <si>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</si>
  <si>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</si>
  <si>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</si>
  <si>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</si>
  <si>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</si>
  <si>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</si>
  <si>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</si>
  <si>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</si>
  <si>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</si>
  <si>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</si>
  <si>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</si>
  <si>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</si>
  <si>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</si>
  <si>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</si>
  <si>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</si>
  <si>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</si>
  <si>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</si>
  <si>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</si>
  <si>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</si>
  <si>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</si>
  <si>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</si>
  <si>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</si>
  <si>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</si>
  <si>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</si>
  <si>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</si>
  <si>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</si>
  <si>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</si>
  <si>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</si>
  <si>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</si>
  <si>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</si>
  <si>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</si>
  <si>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</si>
  <si>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</si>
  <si>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</si>
  <si>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</si>
  <si>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</si>
  <si>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</si>
  <si>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</si>
  <si>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</si>
  <si>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</si>
  <si>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</si>
  <si>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</si>
  <si>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</si>
  <si>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</si>
  <si>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</si>
  <si>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</si>
  <si>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</si>
  <si>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</si>
  <si>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</si>
  <si>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</si>
  <si>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</si>
  <si>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</si>
  <si>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</si>
  <si>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</si>
  <si>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</si>
  <si>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</si>
  <si>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</si>
  <si>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</si>
  <si>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</si>
  <si>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</si>
  <si>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</si>
  <si>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</si>
  <si>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</si>
  <si>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</si>
  <si>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</si>
  <si>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</si>
  <si>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</si>
  <si>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</si>
  <si>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</si>
  <si>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</si>
  <si>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</si>
  <si>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</si>
  <si>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</si>
  <si>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</si>
  <si>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</si>
  <si>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</si>
  <si>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</si>
  <si>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</si>
  <si>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</si>
  <si>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</si>
  <si>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</si>
  <si>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</si>
  <si>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</si>
  <si>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</si>
  <si>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</si>
  <si>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</si>
  <si>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</si>
  <si>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</si>
  <si>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</si>
  <si>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</si>
  <si>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</si>
  <si>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</si>
  <si>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</si>
  <si>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</si>
  <si>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</si>
  <si>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</si>
  <si>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</si>
  <si>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</si>
  <si>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</si>
  <si>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</si>
  <si>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</si>
  <si>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</si>
  <si>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</si>
  <si>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</si>
  <si>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</si>
  <si>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</si>
  <si>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</si>
  <si>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</si>
  <si>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</si>
  <si>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</si>
  <si>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</si>
  <si>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</si>
  <si>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</si>
  <si>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</si>
  <si>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</si>
  <si>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</si>
  <si>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</si>
  <si>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</si>
  <si>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</si>
  <si>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</si>
  <si>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</si>
  <si>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</si>
  <si>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</si>
  <si>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</si>
  <si>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</si>
  <si>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</si>
  <si>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</si>
  <si>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</si>
  <si>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</si>
  <si>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</si>
  <si>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</si>
  <si>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</si>
  <si>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</si>
  <si>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</si>
  <si>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</si>
  <si>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</si>
  <si>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</si>
  <si>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</si>
  <si>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</si>
  <si>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</si>
  <si>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</si>
  <si>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</si>
  <si>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</si>
  <si>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</si>
  <si>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</si>
  <si>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</si>
  <si>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</si>
  <si>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</si>
  <si>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</si>
  <si>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</si>
  <si>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</si>
  <si>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</si>
  <si>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</si>
  <si>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</si>
  <si>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</si>
  <si>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</si>
  <si>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</si>
  <si>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</si>
  <si>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</si>
  <si>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</si>
  <si>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</si>
  <si>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</si>
  <si>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</si>
  <si>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</si>
  <si>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</si>
  <si>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</si>
  <si>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</si>
  <si>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</si>
  <si>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</si>
  <si>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</si>
  <si>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</si>
  <si>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</si>
  <si>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</si>
  <si>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</si>
  <si>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</si>
  <si>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</si>
  <si>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</si>
  <si>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</si>
  <si>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</si>
  <si>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</si>
  <si>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</si>
  <si>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</si>
  <si>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</si>
  <si>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</si>
  <si>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</si>
  <si>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</si>
  <si>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</si>
  <si>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</si>
  <si>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</si>
  <si>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</si>
  <si>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</si>
  <si>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</si>
  <si>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</si>
  <si>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</si>
  <si>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</si>
  <si>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</si>
  <si>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</si>
  <si>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</si>
  <si>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</si>
  <si>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</si>
  <si>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</si>
  <si>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</si>
  <si>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</si>
  <si>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</si>
  <si>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</si>
  <si>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</si>
  <si>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</si>
  <si>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</si>
  <si>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</si>
  <si>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</si>
  <si>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</si>
  <si>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</si>
  <si>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</si>
  <si>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</si>
  <si>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</si>
  <si>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</si>
  <si>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</si>
  <si>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</si>
  <si>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</si>
  <si>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</si>
  <si>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</si>
  <si>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</si>
  <si>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</si>
  <si>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</si>
  <si>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</si>
  <si>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</si>
  <si>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</si>
  <si>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</si>
  <si>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</si>
  <si>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</si>
  <si>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</si>
  <si>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</si>
  <si>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</si>
  <si>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</si>
  <si>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</si>
  <si>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</si>
  <si>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</si>
  <si>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</si>
  <si>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</si>
  <si>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</si>
  <si>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</si>
  <si>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</si>
  <si>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</si>
  <si>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</si>
  <si>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</si>
  <si>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</si>
  <si>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</si>
  <si>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</si>
  <si>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</si>
  <si>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</si>
  <si>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</si>
  <si>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</si>
  <si>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</si>
  <si>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</si>
  <si>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</si>
  <si>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</si>
  <si>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</si>
  <si>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</si>
  <si>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</si>
  <si>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</si>
  <si>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</si>
  <si>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</si>
  <si>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</si>
  <si>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</si>
  <si>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</si>
  <si>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</si>
  <si>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</si>
  <si>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</si>
  <si>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</si>
  <si>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</si>
  <si>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</si>
  <si>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</si>
  <si>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</si>
  <si>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</si>
  <si>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</si>
  <si>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</si>
  <si>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</si>
  <si>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</si>
  <si>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</si>
  <si>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</si>
  <si>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</si>
  <si>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</si>
  <si>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</si>
  <si>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</si>
  <si>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</si>
  <si>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</si>
  <si>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</si>
  <si>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</si>
  <si>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</si>
  <si>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</si>
  <si>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</si>
  <si>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</si>
  <si>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</si>
  <si>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</si>
  <si>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</si>
  <si>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</si>
  <si>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</si>
  <si>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</si>
  <si>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</si>
  <si>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</si>
  <si>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</si>
  <si>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</si>
  <si>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</si>
  <si>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</si>
  <si>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</si>
  <si>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</si>
  <si>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</si>
  <si>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</si>
  <si>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</si>
  <si>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</si>
  <si>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</si>
  <si>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</si>
  <si>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</si>
  <si>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</si>
  <si>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</si>
  <si>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</si>
  <si>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</si>
  <si>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</si>
  <si>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</si>
  <si>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</si>
  <si>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</si>
  <si>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</si>
  <si>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</si>
  <si>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</si>
  <si>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</si>
  <si>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</si>
  <si>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</si>
  <si>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</si>
  <si>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</si>
  <si>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</si>
  <si>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</si>
  <si>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</si>
  <si>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</si>
  <si>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</si>
  <si>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</si>
  <si>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</si>
  <si>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</si>
  <si>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</si>
  <si>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</si>
  <si>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</si>
  <si>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</si>
  <si>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</si>
  <si>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</si>
  <si>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</si>
  <si>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</si>
  <si>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</si>
  <si>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</si>
  <si>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</si>
  <si>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</si>
  <si>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</si>
  <si>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</si>
  <si>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</si>
  <si>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</si>
  <si>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</si>
  <si>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</si>
  <si>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</si>
  <si>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</si>
  <si>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</si>
  <si>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</si>
  <si>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</si>
  <si>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</si>
  <si>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</si>
  <si>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</si>
  <si>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</si>
  <si>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</si>
  <si>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</si>
  <si>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</si>
  <si>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</si>
  <si>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</si>
  <si>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</si>
  <si>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</si>
  <si>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</si>
  <si>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</si>
  <si>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</si>
  <si>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</si>
  <si>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</si>
  <si>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</si>
  <si>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</si>
  <si>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</si>
  <si>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</si>
  <si>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</si>
  <si>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</si>
  <si>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</si>
  <si>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</si>
  <si>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</si>
  <si>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</si>
  <si>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</si>
  <si>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</si>
  <si>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</si>
  <si>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</si>
  <si>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</si>
  <si>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</si>
  <si>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</si>
  <si>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</si>
  <si>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</si>
  <si>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</si>
  <si>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</si>
  <si>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</si>
  <si>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</si>
  <si>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</si>
  <si>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</si>
  <si>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</si>
  <si>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</si>
  <si>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</si>
  <si>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</si>
  <si>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</si>
  <si>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</si>
  <si>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</si>
  <si>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</si>
  <si>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</si>
  <si>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</si>
  <si>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</si>
  <si>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</si>
  <si>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</si>
  <si>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</si>
  <si>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</si>
  <si>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</si>
  <si>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</si>
  <si>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</si>
  <si>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</si>
  <si>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</si>
  <si>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</si>
  <si>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</si>
  <si>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</si>
  <si>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</si>
  <si>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</si>
  <si>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</si>
  <si>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</si>
  <si>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</si>
  <si>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</si>
  <si>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</si>
  <si>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</si>
  <si>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</si>
  <si>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</si>
  <si>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</si>
  <si>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</si>
  <si>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</si>
  <si>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</si>
  <si>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</si>
  <si>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</si>
  <si>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</si>
  <si>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</si>
  <si>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</si>
  <si>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</si>
  <si>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</si>
  <si>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</si>
  <si>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</si>
  <si>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</si>
  <si>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</si>
  <si>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</si>
  <si>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</si>
  <si>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</si>
  <si>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</si>
  <si>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</si>
  <si>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</si>
  <si>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</si>
  <si>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</si>
  <si>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</si>
  <si>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</si>
  <si>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</si>
  <si>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</si>
  <si>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</si>
  <si>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</si>
  <si>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</si>
  <si>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</si>
  <si>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</si>
  <si>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</si>
  <si>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</si>
  <si>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</si>
  <si>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</si>
  <si>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</si>
  <si>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</si>
  <si>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</si>
  <si>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</si>
  <si>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</si>
  <si>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</si>
  <si>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</si>
  <si>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</si>
  <si>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</si>
  <si>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</si>
  <si>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</si>
  <si>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</si>
  <si>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</si>
  <si>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</si>
  <si>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</si>
  <si>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</si>
  <si>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</si>
  <si>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</si>
  <si>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</si>
  <si>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</si>
  <si>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</si>
  <si>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</si>
  <si>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</si>
  <si>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</si>
  <si>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</si>
  <si>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</si>
  <si>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</si>
  <si>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</si>
  <si>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</si>
  <si>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</si>
  <si>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</si>
  <si>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</si>
  <si>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</si>
  <si>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</si>
  <si>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</si>
  <si>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</si>
  <si>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</si>
  <si>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</si>
  <si>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</si>
  <si>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</si>
  <si>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</si>
  <si>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</si>
  <si>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</si>
  <si>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</si>
  <si>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</si>
  <si>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</si>
  <si>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</si>
  <si>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</si>
  <si>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</si>
  <si>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</si>
  <si>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</si>
  <si>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</si>
  <si>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</si>
  <si>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</si>
  <si>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</si>
  <si>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</si>
  <si>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</si>
  <si>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</si>
  <si>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</si>
  <si>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</si>
  <si>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</si>
  <si>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</si>
  <si>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</si>
  <si>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</si>
  <si>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</si>
  <si>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</si>
  <si>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</si>
  <si>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</si>
  <si>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</si>
  <si>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</si>
  <si>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</si>
  <si>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</si>
  <si>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</si>
  <si>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</si>
  <si>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</si>
  <si>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</si>
  <si>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</si>
  <si>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</si>
  <si>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</si>
  <si>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</si>
  <si>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</si>
  <si>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</si>
  <si>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</si>
  <si>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</si>
  <si>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</si>
  <si>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</si>
  <si>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</si>
  <si>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</si>
  <si>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</si>
  <si>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</si>
  <si>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</si>
  <si>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</si>
  <si>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</si>
  <si>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</si>
  <si>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</si>
  <si>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</si>
  <si>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</si>
  <si>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</si>
  <si>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</si>
  <si>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</si>
  <si>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</si>
  <si>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</si>
  <si>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</si>
  <si>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</si>
  <si>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</si>
  <si>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</si>
  <si>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</si>
  <si>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</si>
  <si>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</si>
  <si>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</si>
  <si>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</si>
  <si>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</si>
  <si>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</si>
  <si>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</si>
  <si>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</si>
  <si>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</si>
  <si>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</si>
  <si>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</si>
  <si>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</si>
  <si>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</si>
  <si>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</si>
  <si>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</si>
  <si>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</si>
  <si>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</si>
  <si>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</si>
  <si>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</si>
  <si>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</si>
  <si>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</si>
  <si>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</si>
  <si>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</si>
  <si>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</si>
  <si>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</si>
  <si>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</si>
  <si>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</si>
  <si>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</si>
  <si>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</si>
  <si>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</si>
  <si>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</si>
  <si>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</si>
  <si>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</si>
  <si>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</si>
  <si>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</si>
  <si>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</si>
  <si>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</si>
  <si>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</si>
  <si>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</si>
  <si>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</si>
  <si>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</si>
  <si>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</si>
  <si>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</si>
  <si>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</si>
  <si>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</si>
  <si>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</si>
  <si>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</si>
  <si>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</si>
  <si>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</si>
  <si>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</si>
  <si>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</si>
  <si>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</si>
  <si>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</si>
  <si>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</si>
  <si>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</si>
  <si>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</si>
  <si>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</si>
  <si>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</si>
  <si>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</si>
  <si>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</si>
  <si>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</si>
  <si>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</si>
  <si>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</si>
  <si>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</si>
  <si>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</si>
  <si>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</si>
  <si>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</si>
  <si>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</si>
  <si>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</si>
  <si>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</si>
  <si>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</si>
  <si>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</si>
  <si>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</si>
  <si>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</si>
  <si>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</si>
  <si>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</si>
  <si>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</si>
  <si>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</si>
  <si>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</si>
  <si>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</si>
  <si>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</si>
  <si>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</si>
  <si>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</si>
  <si>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</si>
  <si>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</si>
  <si>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</si>
  <si>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</si>
  <si>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</si>
  <si>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</si>
  <si>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</si>
  <si>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</si>
  <si>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</si>
  <si>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</si>
  <si>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</si>
  <si>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</si>
  <si>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</si>
  <si>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</si>
  <si>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</si>
  <si>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</si>
  <si>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</si>
  <si>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</si>
  <si>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</si>
  <si>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</si>
  <si>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</si>
  <si>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</si>
  <si>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</si>
  <si>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</si>
  <si>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</si>
  <si>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</si>
  <si>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</si>
  <si>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</si>
  <si>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</si>
  <si>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</si>
  <si>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</si>
  <si>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</si>
  <si>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</si>
  <si>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</si>
  <si>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</si>
  <si>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</si>
  <si>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</si>
  <si>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</si>
  <si>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</si>
  <si>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</si>
  <si>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</si>
  <si>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</si>
  <si>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</si>
  <si>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</si>
  <si>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</si>
  <si>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</si>
  <si>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</si>
  <si>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</si>
  <si>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</si>
  <si>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</si>
  <si>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</si>
  <si>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</si>
  <si>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</si>
  <si>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</si>
  <si>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</si>
  <si>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</si>
  <si>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</si>
  <si>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</si>
  <si>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</si>
  <si>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</si>
  <si>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</si>
  <si>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</si>
  <si>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</si>
  <si>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</si>
  <si>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</si>
  <si>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</si>
  <si>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</si>
  <si>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</si>
  <si>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</si>
  <si>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</si>
  <si>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</si>
  <si>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</si>
  <si>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</si>
  <si>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</si>
  <si>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</si>
  <si>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</si>
  <si>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</si>
  <si>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</si>
  <si>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</si>
  <si>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</si>
  <si>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</si>
  <si>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</si>
  <si>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</si>
  <si>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</si>
  <si>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</si>
  <si>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</si>
  <si>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</si>
  <si>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</si>
  <si>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</si>
  <si>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</si>
  <si>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</si>
  <si>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</si>
  <si>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</si>
  <si>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</si>
  <si>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</si>
  <si>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</si>
  <si>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</si>
  <si>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</si>
  <si>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</si>
  <si>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</si>
  <si>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</si>
  <si>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</si>
  <si>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</si>
  <si>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</si>
  <si>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</si>
  <si>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</si>
  <si>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</si>
  <si>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</si>
  <si>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</si>
  <si>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</si>
  <si>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</si>
  <si>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</si>
  <si>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</si>
  <si>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</si>
  <si>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</si>
  <si>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</si>
  <si>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</si>
  <si>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</si>
  <si>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</si>
  <si>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</si>
  <si>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</si>
  <si>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</si>
  <si>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</si>
  <si>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</si>
  <si>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</si>
  <si>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</si>
  <si>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</si>
  <si>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</si>
  <si>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</si>
  <si>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</si>
  <si>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</si>
  <si>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</si>
  <si>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</si>
  <si>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</si>
  <si>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</si>
  <si>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</si>
  <si>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</si>
  <si>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</si>
  <si>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</si>
  <si>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</si>
  <si>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</si>
  <si>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</si>
  <si>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</si>
  <si>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</si>
  <si>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</si>
  <si>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</si>
  <si>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</si>
  <si>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</si>
  <si>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</si>
  <si>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</si>
  <si>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</si>
  <si>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</si>
  <si>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</si>
  <si>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</si>
  <si>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</si>
  <si>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</si>
  <si>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</si>
  <si>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</si>
  <si>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</si>
  <si>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</si>
  <si>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</si>
  <si>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</si>
  <si>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</si>
  <si>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</si>
  <si>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</si>
  <si>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</si>
  <si>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</si>
  <si>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</si>
  <si>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</si>
  <si>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</si>
  <si>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</si>
  <si>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</si>
  <si>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</si>
  <si>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</si>
  <si>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</si>
  <si>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</si>
  <si>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</si>
  <si>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</si>
  <si>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</si>
  <si>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</si>
  <si>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</si>
  <si>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</si>
  <si>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</si>
  <si>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</si>
  <si>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</si>
  <si>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</si>
  <si>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</si>
  <si>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</si>
  <si>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</si>
  <si>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</si>
  <si>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</si>
  <si>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</si>
  <si>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</si>
  <si>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</si>
  <si>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</si>
  <si>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</si>
  <si>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</si>
  <si>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</si>
  <si>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</si>
  <si>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</si>
  <si>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</si>
  <si>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</si>
  <si>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</si>
  <si>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</si>
  <si>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</si>
  <si>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</si>
  <si>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</si>
  <si>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</si>
  <si>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</si>
  <si>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</si>
  <si>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</si>
  <si>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</si>
  <si>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</si>
  <si>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</si>
  <si>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</si>
  <si>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</si>
  <si>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</si>
  <si>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</si>
  <si>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</si>
  <si>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</si>
  <si>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</si>
  <si>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</si>
  <si>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</si>
  <si>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</si>
  <si>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</si>
  <si>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</si>
  <si>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</si>
  <si>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</si>
  <si>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</si>
  <si>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</si>
  <si>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</si>
  <si>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</si>
  <si>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</si>
  <si>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</si>
  <si>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</si>
  <si>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</si>
  <si>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</si>
  <si>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</si>
  <si>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</si>
  <si>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</si>
  <si>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</si>
  <si>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</si>
  <si>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</si>
  <si>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</si>
  <si>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</si>
  <si>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</si>
  <si>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</si>
  <si>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</si>
  <si>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</si>
  <si>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</si>
  <si>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</si>
  <si>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</si>
  <si>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</si>
  <si>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</si>
  <si>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</si>
  <si>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</si>
  <si>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</si>
  <si>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</si>
  <si>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</si>
  <si>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</si>
  <si>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</si>
  <si>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</si>
  <si>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</si>
  <si>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</si>
  <si>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</si>
  <si>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</si>
  <si>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</si>
  <si>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</si>
  <si>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</si>
  <si>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</si>
  <si>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</si>
  <si>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</si>
  <si>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</si>
  <si>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</si>
  <si>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</si>
  <si>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</si>
  <si>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</si>
  <si>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</si>
  <si>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</si>
  <si>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</si>
  <si>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</si>
  <si>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</si>
  <si>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</si>
  <si>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</si>
  <si>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</si>
  <si>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</si>
  <si>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</si>
  <si>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</si>
  <si>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</si>
  <si>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</si>
  <si>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</si>
  <si>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</si>
  <si>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</si>
  <si>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</si>
  <si>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</si>
  <si>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</si>
  <si>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</si>
  <si>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</si>
  <si>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</si>
  <si>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</si>
  <si>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</si>
  <si>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</si>
  <si>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</si>
  <si>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</si>
  <si>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</si>
  <si>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</si>
  <si>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</si>
  <si>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</si>
  <si>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</si>
  <si>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</si>
  <si>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</si>
  <si>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</si>
  <si>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</si>
  <si>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</si>
  <si>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</si>
  <si>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</si>
  <si>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</si>
  <si>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</si>
  <si>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</si>
  <si>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</si>
  <si>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</si>
  <si>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</si>
  <si>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</si>
  <si>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</si>
  <si>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</si>
  <si>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</si>
  <si>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</si>
  <si>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</si>
  <si>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</si>
  <si>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</si>
  <si>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</si>
  <si>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</si>
  <si>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</si>
  <si>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</si>
  <si>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</si>
  <si>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</si>
  <si>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</si>
  <si>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</si>
  <si>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</si>
  <si>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</si>
  <si>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</si>
  <si>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</si>
  <si>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</si>
  <si>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</si>
  <si>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</si>
  <si>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</si>
  <si>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</si>
  <si>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</si>
  <si>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</si>
  <si>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</si>
  <si>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</si>
  <si>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</si>
  <si>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</si>
  <si>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</si>
  <si>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</si>
  <si>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</si>
  <si>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</si>
  <si>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</si>
  <si>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</si>
  <si>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</si>
  <si>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</si>
  <si>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</si>
  <si>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</si>
  <si>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</si>
  <si>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</si>
  <si>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</si>
  <si>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</si>
  <si>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</si>
  <si>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</si>
  <si>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</si>
  <si>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</si>
  <si>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</si>
  <si>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</si>
  <si>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</si>
  <si>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</si>
  <si>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</si>
  <si>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</si>
  <si>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</si>
  <si>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</si>
  <si>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</si>
  <si>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</si>
  <si>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</si>
  <si>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</si>
  <si>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</si>
  <si>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</si>
  <si>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</si>
  <si>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</si>
  <si>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</si>
  <si>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</si>
  <si>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</si>
  <si>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</si>
  <si>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</si>
  <si>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</si>
  <si>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</si>
  <si>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</si>
  <si>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</si>
  <si>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</si>
  <si>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</si>
  <si>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</si>
  <si>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</si>
  <si>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</si>
  <si>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</si>
  <si>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</si>
  <si>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</si>
  <si>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</si>
  <si>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</si>
  <si>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</si>
  <si>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</si>
  <si>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</si>
  <si>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</si>
  <si>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</si>
  <si>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</si>
  <si>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</si>
  <si>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</si>
  <si>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</si>
  <si>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</si>
  <si>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</si>
  <si>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</si>
  <si>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</si>
  <si>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</si>
  <si>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</si>
  <si>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</si>
  <si>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</si>
  <si>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</si>
  <si>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</si>
  <si>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</si>
  <si>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</si>
  <si>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</si>
  <si>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</si>
  <si>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</si>
  <si>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</si>
  <si>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</si>
  <si>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</si>
  <si>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</si>
  <si>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</si>
  <si>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</si>
  <si>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</si>
  <si>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</si>
  <si>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</si>
  <si>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</si>
  <si>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</si>
  <si>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</si>
  <si>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</si>
  <si>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</si>
  <si>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</si>
  <si>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</si>
  <si>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</si>
  <si>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</si>
  <si>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</si>
  <si>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</si>
  <si>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</si>
  <si>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</si>
  <si>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</si>
  <si>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</si>
  <si>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</si>
  <si>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</si>
  <si>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</si>
  <si>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</si>
  <si>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</si>
  <si>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</si>
  <si>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</si>
  <si>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</si>
  <si>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</si>
  <si>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</si>
  <si>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</si>
  <si>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</si>
  <si>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</si>
  <si>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</si>
  <si>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</si>
  <si>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</si>
  <si>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</si>
  <si>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</si>
  <si>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</si>
  <si>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</si>
  <si>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</si>
  <si>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</si>
  <si>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</si>
  <si>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</si>
  <si>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</si>
  <si>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</si>
  <si>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</si>
  <si>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</si>
  <si>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</si>
  <si>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</si>
  <si>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</si>
  <si>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</si>
  <si>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</si>
  <si>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</si>
  <si>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</si>
  <si>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</si>
  <si>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</si>
  <si>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</si>
  <si>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</si>
  <si>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</si>
  <si>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</si>
  <si>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</si>
  <si>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</si>
  <si>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</si>
  <si>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</si>
  <si>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</si>
  <si>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</si>
  <si>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</si>
  <si>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</si>
  <si>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</si>
  <si>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</si>
  <si>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</si>
  <si>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</si>
  <si>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</si>
  <si>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</si>
  <si>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</si>
  <si>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</si>
  <si>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</si>
  <si>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</si>
  <si>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</si>
  <si>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</si>
  <si>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</si>
  <si>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</si>
  <si>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</si>
  <si>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</si>
  <si>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</si>
  <si>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</si>
  <si>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</si>
  <si>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</si>
  <si>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</si>
  <si>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</si>
  <si>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</si>
  <si>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</si>
  <si>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</si>
  <si>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</si>
  <si>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</si>
  <si>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</si>
  <si>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</si>
  <si>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</si>
  <si>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</si>
  <si>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</si>
  <si>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</si>
  <si>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</si>
  <si>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</si>
  <si>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</si>
  <si>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</si>
  <si>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</si>
  <si>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</si>
  <si>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</si>
  <si>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</si>
  <si>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</si>
  <si>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</si>
  <si>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</si>
  <si>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</si>
  <si>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</si>
  <si>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</si>
  <si>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</si>
  <si>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</si>
  <si>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</si>
  <si>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</si>
  <si>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</si>
  <si>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</si>
  <si>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</si>
  <si>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</si>
  <si>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</si>
  <si>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</si>
  <si>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</si>
  <si>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</si>
  <si>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</si>
  <si>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</si>
  <si>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</si>
  <si>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</si>
  <si>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</si>
  <si>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</si>
  <si>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</si>
  <si>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</si>
  <si>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</si>
  <si>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</si>
  <si>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</si>
  <si>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</si>
  <si>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</si>
  <si>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</si>
  <si>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</si>
  <si>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</si>
  <si>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</si>
  <si>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</si>
  <si>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</si>
  <si>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</si>
  <si>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</si>
  <si>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</si>
  <si>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</si>
  <si>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</si>
  <si>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</si>
  <si>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</si>
  <si>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</si>
  <si>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</si>
  <si>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</si>
  <si>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</si>
  <si>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</si>
  <si>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</si>
  <si>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</si>
  <si>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</si>
  <si>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</si>
  <si>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</si>
  <si>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</si>
  <si>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</si>
  <si>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</si>
  <si>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</si>
  <si>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</si>
  <si>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</si>
  <si>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</si>
  <si>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</si>
  <si>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</si>
  <si>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</si>
  <si>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</si>
  <si>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</si>
  <si>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</si>
  <si>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</si>
  <si>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</si>
  <si>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</si>
  <si>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</si>
  <si>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</si>
  <si>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</si>
  <si>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</si>
  <si>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</si>
  <si>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</si>
  <si>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</si>
  <si>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</si>
  <si>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</si>
  <si>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</si>
  <si>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</si>
  <si>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</si>
  <si>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</si>
  <si>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</si>
  <si>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</si>
  <si>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</si>
  <si>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</si>
  <si>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</si>
  <si>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</si>
  <si>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</si>
  <si>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</si>
  <si>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</si>
  <si>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</si>
  <si>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</si>
  <si>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</si>
  <si>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</si>
  <si>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</si>
  <si>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</si>
  <si>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</si>
  <si>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</si>
  <si>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</si>
  <si>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</si>
  <si>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</si>
  <si>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</si>
  <si>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</si>
  <si>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</si>
  <si>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</si>
  <si>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</si>
  <si>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</si>
  <si>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</si>
  <si>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</si>
  <si>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</si>
  <si>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</si>
  <si>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</si>
  <si>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</si>
  <si>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</si>
  <si>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</si>
  <si>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</si>
  <si>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</si>
  <si>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</si>
  <si>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</si>
  <si>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</si>
  <si>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</si>
  <si>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</si>
  <si>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</si>
  <si>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</si>
  <si>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</si>
  <si>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</si>
  <si>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</si>
  <si>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</si>
  <si>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</si>
  <si>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</si>
  <si>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</si>
  <si>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</si>
  <si>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</si>
  <si>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</si>
  <si>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</si>
  <si>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</si>
  <si>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</si>
  <si>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</si>
  <si>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</si>
  <si>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</si>
  <si>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</si>
  <si>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</si>
  <si>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</si>
  <si>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</si>
  <si>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</si>
  <si>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</si>
  <si>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</si>
  <si>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</si>
  <si>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</si>
  <si>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</si>
  <si>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</si>
  <si>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</si>
  <si>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</si>
  <si>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</si>
  <si>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</si>
  <si>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</si>
  <si>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</si>
  <si>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</si>
  <si>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</si>
  <si>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</si>
  <si>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</si>
  <si>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</si>
  <si>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</si>
  <si>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</si>
  <si>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</si>
  <si>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</si>
  <si>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</si>
  <si>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</si>
  <si>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</si>
  <si>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</si>
  <si>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</si>
  <si>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</si>
  <si>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</si>
  <si>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</si>
  <si>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</si>
  <si>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</si>
  <si>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</si>
  <si>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</si>
  <si>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</si>
  <si>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</si>
  <si>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</si>
  <si>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</si>
  <si>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</si>
  <si>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</si>
  <si>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</si>
  <si>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</si>
  <si>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</si>
  <si>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</si>
  <si>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</si>
  <si>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</si>
  <si>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</si>
  <si>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</si>
  <si>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</si>
  <si>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</si>
  <si>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</si>
  <si>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</si>
  <si>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</si>
  <si>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</si>
  <si>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</si>
  <si>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</si>
  <si>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</si>
  <si>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</si>
  <si>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</si>
  <si>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</si>
  <si>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</si>
  <si>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</si>
  <si>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</si>
  <si>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</si>
  <si>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</si>
  <si>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</si>
  <si>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</si>
  <si>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</si>
  <si>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</si>
  <si>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</si>
  <si>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</si>
  <si>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</si>
  <si>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</si>
  <si>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</si>
  <si>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</si>
  <si>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</si>
  <si>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</si>
  <si>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</si>
  <si>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</si>
  <si>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</si>
  <si>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</si>
  <si>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</si>
  <si>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</si>
  <si>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</si>
  <si>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</si>
  <si>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</si>
  <si>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</si>
  <si>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</si>
  <si>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</si>
  <si>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</si>
  <si>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</si>
  <si>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</si>
  <si>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</si>
  <si>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</si>
  <si>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</si>
  <si>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</si>
  <si>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</si>
  <si>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</si>
  <si>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</si>
  <si>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</si>
  <si>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</si>
  <si>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</si>
  <si>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</si>
  <si>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</si>
  <si>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</si>
  <si>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</si>
  <si>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</si>
  <si>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</si>
  <si>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</si>
  <si>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</si>
  <si>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</si>
  <si>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</si>
  <si>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</si>
  <si>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</si>
  <si>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</si>
  <si>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</si>
  <si>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</si>
  <si>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</si>
  <si>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</si>
  <si>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</si>
  <si>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</si>
  <si>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</si>
  <si>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</si>
  <si>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</si>
  <si>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</si>
  <si>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</si>
  <si>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</si>
  <si>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</si>
  <si>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</si>
  <si>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</si>
  <si>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</si>
  <si>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</si>
  <si>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</si>
  <si>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</si>
  <si>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</si>
  <si>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</si>
  <si>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</si>
  <si>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</si>
  <si>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</si>
  <si>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</si>
  <si>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</si>
  <si>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</si>
  <si>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</si>
  <si>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</si>
  <si>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</si>
  <si>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</si>
  <si>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</si>
  <si>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</si>
  <si>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</si>
  <si>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</si>
  <si>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</si>
  <si>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</si>
  <si>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</si>
  <si>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</si>
  <si>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</si>
  <si>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</si>
  <si>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</si>
  <si>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</si>
  <si>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</si>
  <si>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</si>
  <si>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</si>
  <si>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</si>
  <si>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</si>
  <si>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</si>
  <si>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</si>
  <si>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</si>
  <si>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</si>
  <si>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</si>
  <si>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</si>
  <si>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</si>
  <si>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</si>
  <si>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</si>
  <si>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</si>
  <si>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</si>
  <si>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</si>
  <si>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</si>
  <si>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</si>
  <si>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</si>
  <si>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</si>
  <si>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</si>
  <si>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</si>
  <si>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</si>
  <si>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</si>
  <si>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</si>
  <si>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</si>
  <si>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</si>
  <si>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</si>
  <si>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</si>
  <si>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</si>
  <si>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</si>
  <si>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</si>
  <si>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</si>
  <si>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</si>
  <si>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</si>
  <si>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</si>
  <si>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</si>
  <si>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</si>
  <si>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</si>
  <si>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</si>
  <si>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</si>
  <si>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</si>
  <si>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</si>
  <si>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</si>
  <si>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</si>
  <si>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</si>
  <si>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</si>
  <si>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</si>
  <si>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</si>
  <si>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</si>
  <si>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</si>
  <si>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</si>
  <si>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</si>
  <si>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</si>
  <si>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</si>
  <si>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</si>
  <si>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</si>
  <si>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</si>
  <si>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</si>
  <si>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</si>
  <si>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</si>
  <si>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</si>
  <si>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</si>
  <si>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</si>
  <si>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</si>
  <si>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</si>
  <si>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</si>
  <si>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</si>
  <si>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</si>
  <si>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</si>
  <si>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</si>
  <si>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</si>
  <si>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</si>
  <si>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</si>
  <si>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</si>
  <si>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</si>
  <si>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</si>
  <si>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</si>
  <si>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</si>
  <si>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</si>
  <si>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</si>
  <si>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</si>
  <si>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</si>
  <si>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</si>
  <si>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</si>
  <si>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</si>
  <si>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</si>
  <si>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</si>
  <si>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</si>
  <si>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</si>
  <si>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</si>
  <si>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</si>
  <si>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</si>
  <si>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</si>
  <si>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</si>
  <si>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</si>
  <si>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</si>
  <si>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</si>
  <si>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</si>
  <si>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</si>
  <si>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</si>
  <si>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</si>
  <si>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</si>
  <si>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</si>
  <si>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</si>
  <si>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</si>
  <si>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</si>
  <si>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</si>
  <si>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</si>
  <si>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</si>
  <si>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</si>
  <si>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</si>
  <si>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</si>
  <si>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</si>
  <si>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</si>
  <si>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</si>
  <si>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</si>
  <si>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</si>
  <si>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</si>
  <si>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</si>
  <si>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</si>
  <si>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</si>
  <si>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</si>
  <si>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</si>
  <si>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</si>
  <si>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</si>
  <si>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</si>
  <si>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</si>
  <si>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</si>
  <si>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</si>
  <si>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</si>
  <si>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</si>
  <si>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</si>
  <si>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</si>
  <si>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</si>
  <si>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</si>
  <si>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</si>
  <si>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</si>
  <si>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</si>
  <si>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</si>
  <si>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</si>
  <si>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</si>
  <si>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</si>
  <si>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</si>
  <si>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</si>
  <si>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</si>
  <si>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</si>
  <si>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</si>
  <si>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</si>
  <si>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</si>
  <si>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</si>
  <si>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</si>
  <si>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</si>
  <si>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</si>
  <si>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</si>
  <si>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</si>
  <si>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</si>
  <si>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</si>
  <si>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</si>
  <si>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</si>
  <si>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</si>
  <si>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</si>
  <si>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</si>
  <si>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</si>
  <si>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</si>
  <si>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</si>
  <si>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</si>
  <si>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</si>
  <si>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</si>
  <si>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</si>
  <si>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</si>
  <si>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</si>
  <si>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</si>
  <si>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</si>
  <si>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</si>
  <si>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</si>
  <si>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</si>
  <si>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</si>
  <si>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</si>
  <si>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</si>
  <si>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</si>
  <si>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</si>
  <si>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</si>
  <si>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</si>
  <si>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</si>
  <si>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</si>
  <si>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</si>
  <si>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</si>
  <si>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</si>
  <si>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</si>
  <si>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</si>
  <si>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</si>
  <si>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</si>
  <si>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</si>
  <si>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</si>
  <si>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</si>
  <si>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</si>
  <si>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</si>
  <si>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</si>
  <si>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</si>
  <si>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</si>
  <si>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</si>
  <si>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</si>
  <si>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</si>
  <si>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</si>
  <si>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</si>
  <si>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</si>
  <si>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</si>
  <si>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</si>
  <si>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</si>
  <si>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</si>
  <si>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</si>
  <si>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</si>
  <si>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</si>
  <si>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</si>
  <si>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</si>
  <si>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</si>
  <si>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</si>
  <si>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</si>
  <si>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</si>
  <si>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</si>
  <si>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</si>
  <si>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</si>
  <si>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</si>
  <si>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</si>
  <si>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</si>
  <si>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</si>
  <si>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</si>
  <si>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</si>
  <si>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</si>
  <si>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</si>
  <si>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</si>
  <si>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</si>
  <si>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</si>
  <si>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</si>
  <si>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</si>
  <si>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</si>
  <si>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</si>
  <si>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</si>
  <si>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</si>
  <si>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</si>
  <si>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</si>
  <si>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</si>
  <si>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</si>
  <si>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</si>
  <si>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</si>
  <si>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</si>
  <si>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</si>
  <si>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</si>
  <si>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</si>
  <si>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</si>
  <si>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</si>
  <si>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</si>
  <si>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</si>
  <si>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</si>
  <si>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</si>
  <si>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</si>
  <si>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</si>
  <si>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</si>
  <si>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</si>
  <si>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</si>
  <si>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</si>
  <si>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</si>
  <si>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</si>
  <si>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</si>
  <si>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</si>
  <si>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</si>
  <si>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</si>
  <si>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</si>
  <si>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</si>
  <si>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</si>
  <si>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</si>
  <si>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</si>
  <si>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</si>
  <si>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</si>
  <si>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</si>
  <si>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</si>
  <si>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</si>
  <si>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</si>
  <si>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</si>
  <si>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</si>
  <si>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</si>
  <si>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</si>
  <si>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</si>
  <si>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</si>
  <si>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</si>
  <si>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</si>
  <si>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</si>
  <si>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</si>
  <si>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</si>
  <si>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</si>
  <si>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</si>
  <si>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</si>
  <si>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</si>
  <si>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</si>
  <si>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</si>
  <si>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</si>
  <si>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</si>
  <si>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</si>
  <si>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</si>
  <si>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</si>
  <si>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</si>
  <si>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</si>
  <si>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</si>
  <si>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</si>
  <si>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</si>
  <si>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</si>
  <si>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</si>
  <si>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</si>
  <si>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</si>
  <si>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</si>
  <si>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</si>
  <si>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</si>
  <si>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</si>
  <si>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</si>
  <si>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</si>
  <si>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</si>
  <si>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</si>
  <si>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</si>
  <si>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</si>
  <si>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</si>
  <si>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</si>
  <si>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</si>
  <si>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</si>
  <si>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</si>
  <si>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</si>
  <si>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</si>
  <si>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</si>
  <si>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</si>
  <si>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</si>
  <si>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</si>
  <si>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</si>
  <si>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</si>
  <si>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</si>
  <si>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</si>
  <si>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</si>
  <si>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</si>
  <si>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</si>
  <si>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</si>
  <si>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</si>
  <si>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</si>
  <si>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</si>
  <si>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</si>
  <si>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</si>
  <si>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</si>
  <si>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</si>
  <si>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</si>
  <si>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</si>
  <si>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</si>
  <si>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</si>
  <si>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</si>
  <si>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</si>
  <si>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</si>
  <si>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</si>
  <si>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</si>
  <si>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</si>
  <si>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</si>
  <si>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</si>
  <si>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</si>
  <si>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</si>
  <si>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</si>
  <si>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</si>
  <si>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</si>
  <si>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</si>
  <si>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</si>
  <si>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</si>
  <si>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</si>
  <si>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</si>
  <si>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</si>
  <si>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</si>
  <si>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</si>
  <si>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</si>
  <si>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</si>
  <si>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</si>
  <si>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</si>
  <si>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</si>
  <si>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</si>
  <si>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</si>
  <si>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</si>
  <si>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</si>
  <si>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</si>
  <si>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</si>
  <si>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</si>
  <si>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</si>
  <si>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</si>
  <si>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</si>
  <si>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</si>
  <si>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</si>
  <si>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</si>
  <si>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</si>
  <si>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</si>
  <si>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</si>
  <si>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</si>
  <si>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</si>
  <si>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</si>
  <si>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</si>
  <si>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</si>
  <si>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</si>
  <si>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</si>
  <si>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</si>
  <si>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</si>
  <si>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</si>
  <si>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</si>
  <si>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</si>
  <si>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</si>
  <si>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</si>
  <si>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</si>
  <si>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</si>
  <si>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</si>
  <si>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</si>
  <si>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</si>
  <si>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</si>
  <si>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</si>
  <si>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</si>
  <si>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</si>
  <si>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</si>
  <si>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</si>
  <si>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</si>
  <si>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</si>
  <si>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</si>
  <si>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</si>
  <si>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</si>
  <si>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</si>
  <si>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</si>
  <si>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</si>
  <si>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</si>
  <si>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</si>
  <si>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</si>
  <si>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</si>
  <si>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</si>
  <si>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</si>
  <si>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</si>
  <si>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</si>
  <si>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</si>
  <si>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</si>
  <si>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</si>
  <si>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</si>
  <si>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</si>
  <si>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</si>
  <si>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</si>
  <si>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</si>
  <si>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</si>
  <si>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</si>
  <si>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</si>
  <si>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</si>
  <si>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</si>
  <si>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</si>
  <si>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</si>
  <si>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</si>
  <si>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</si>
  <si>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</si>
  <si>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</si>
  <si>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</si>
  <si>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</si>
  <si>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</si>
  <si>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</si>
  <si>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</si>
  <si>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</si>
  <si>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</si>
  <si>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</si>
  <si>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</si>
  <si>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</si>
  <si>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</si>
  <si>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</si>
  <si>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</si>
  <si>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</si>
  <si>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</si>
  <si>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</si>
  <si>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</si>
  <si>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</si>
  <si>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</si>
  <si>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</si>
  <si>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</si>
  <si>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</si>
  <si>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</si>
  <si>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</si>
  <si>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</si>
  <si>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</si>
  <si>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</si>
  <si>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</si>
  <si>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</si>
  <si>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</si>
  <si>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</si>
  <si>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</si>
  <si>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</si>
  <si>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</si>
  <si>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</si>
  <si>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</si>
  <si>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</si>
  <si>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</si>
  <si>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</si>
  <si>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</si>
  <si>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</si>
  <si>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</si>
  <si>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</si>
  <si>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</si>
  <si>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</si>
  <si>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</si>
  <si>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</si>
  <si>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</si>
  <si>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</si>
  <si>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</si>
  <si>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</si>
  <si>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</si>
  <si>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</si>
  <si>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</si>
  <si>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</si>
  <si>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</si>
  <si>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</si>
  <si>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</si>
  <si>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</si>
  <si>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</si>
  <si>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</si>
  <si>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</si>
  <si>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</si>
  <si>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</si>
  <si>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</si>
  <si>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</si>
  <si>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</si>
  <si>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</si>
  <si>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</si>
  <si>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</si>
  <si>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</si>
  <si>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</si>
  <si>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</si>
  <si>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</si>
  <si>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</si>
  <si>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</si>
  <si>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</si>
  <si>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</si>
  <si>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</si>
  <si>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</si>
  <si>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</si>
  <si>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</si>
  <si>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</si>
  <si>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</si>
  <si>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</si>
  <si>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</si>
  <si>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</si>
  <si>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</si>
  <si>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</si>
  <si>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</si>
  <si>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</si>
  <si>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</si>
  <si>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</si>
  <si>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</si>
  <si>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</si>
  <si>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</si>
  <si>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</si>
  <si>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</si>
  <si>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</si>
  <si>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</si>
  <si>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</si>
  <si>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</si>
  <si>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</si>
  <si>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</si>
  <si>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</si>
  <si>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</si>
  <si>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</si>
  <si>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</si>
  <si>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</si>
  <si>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</si>
  <si>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</si>
  <si>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</si>
  <si>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</si>
  <si>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</si>
  <si>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</si>
  <si>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</si>
  <si>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</si>
  <si>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</si>
  <si>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</si>
  <si>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</si>
  <si>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</si>
  <si>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</si>
  <si>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</si>
  <si>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</si>
  <si>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</si>
  <si>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</si>
  <si>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</si>
  <si>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</si>
  <si>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</si>
  <si>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</si>
  <si>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</si>
  <si>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</si>
  <si>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</si>
  <si>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</si>
  <si>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</si>
  <si>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</si>
  <si>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</si>
  <si>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</si>
  <si>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</si>
  <si>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</si>
  <si>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</si>
  <si>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</si>
  <si>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</si>
  <si>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</si>
  <si>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</si>
  <si>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</si>
  <si>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</si>
  <si>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</si>
  <si>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</si>
  <si>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</si>
  <si>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</si>
  <si>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</si>
  <si>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</si>
  <si>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</si>
  <si>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</si>
  <si>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</si>
  <si>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</si>
  <si>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</si>
  <si>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</si>
  <si>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</si>
  <si>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</si>
  <si>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</si>
  <si>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</si>
  <si>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</si>
  <si>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</si>
  <si>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</si>
  <si>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</si>
  <si>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</si>
  <si>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</si>
  <si>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</si>
  <si>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</si>
  <si>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</si>
  <si>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</si>
  <si>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</si>
  <si>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</si>
  <si>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</si>
  <si>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</si>
  <si>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</si>
  <si>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</si>
  <si>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</si>
  <si>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</si>
  <si>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</si>
  <si>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</si>
  <si>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</si>
  <si>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</si>
  <si>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</si>
  <si>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</si>
  <si>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</si>
  <si>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</si>
  <si>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</si>
  <si>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</si>
  <si>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</si>
  <si>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</si>
  <si>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</si>
  <si>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</si>
  <si>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</si>
  <si>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</si>
  <si>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</si>
  <si>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</si>
  <si>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</si>
  <si>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</si>
  <si>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</si>
  <si>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</si>
  <si>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</si>
  <si>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</si>
  <si>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</si>
  <si>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</si>
  <si>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</si>
  <si>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</si>
  <si>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</si>
  <si>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</si>
  <si>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</si>
  <si>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</si>
  <si>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</si>
  <si>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</si>
  <si>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</si>
  <si>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</si>
  <si>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</si>
  <si>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</si>
  <si>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</si>
  <si>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</si>
  <si>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</si>
  <si>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</si>
  <si>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</si>
  <si>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</si>
  <si>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</si>
  <si>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</si>
  <si>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</si>
  <si>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</si>
  <si>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</si>
  <si>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</si>
  <si>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</si>
  <si>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</si>
  <si>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</si>
  <si>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</si>
  <si>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</si>
  <si>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</si>
  <si>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</si>
  <si>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</si>
  <si>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</si>
  <si>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</si>
  <si>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</si>
  <si>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</si>
  <si>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</si>
  <si>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</si>
  <si>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</si>
  <si>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</si>
  <si>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</si>
  <si>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</si>
  <si>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</si>
  <si>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</si>
  <si>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</si>
  <si>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</si>
  <si>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</si>
  <si>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</si>
  <si>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</si>
  <si>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</si>
  <si>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</si>
  <si>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</si>
  <si>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</si>
  <si>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</si>
  <si>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</si>
  <si>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</si>
  <si>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</si>
  <si>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</si>
  <si>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</si>
  <si>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</si>
  <si>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</si>
  <si>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</si>
  <si>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</si>
  <si>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</si>
  <si>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</si>
  <si>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</si>
  <si>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</si>
  <si>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</si>
  <si>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</si>
  <si>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</si>
  <si>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</si>
  <si>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</si>
  <si>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</si>
  <si>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</si>
  <si>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</si>
  <si>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</si>
  <si>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</si>
  <si>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</si>
  <si>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</si>
  <si>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</si>
  <si>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</si>
  <si>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</si>
  <si>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</si>
  <si>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</si>
  <si>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</si>
  <si>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</si>
  <si>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</si>
  <si>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</si>
  <si>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</si>
  <si>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</si>
  <si>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</si>
  <si>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</si>
  <si>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</si>
  <si>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</si>
  <si>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</si>
  <si>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</si>
  <si>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</si>
  <si>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</si>
  <si>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</si>
  <si>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</si>
  <si>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</si>
  <si>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</si>
  <si>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</si>
  <si>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</si>
  <si>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</si>
  <si>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</si>
  <si>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</si>
  <si>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</si>
  <si>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</si>
  <si>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</si>
  <si>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</si>
  <si>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</si>
  <si>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</si>
  <si>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</si>
  <si>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</si>
  <si>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</si>
  <si>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</si>
  <si>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</si>
  <si>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</si>
  <si>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</si>
  <si>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</si>
  <si>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</si>
  <si>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</si>
  <si>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</si>
  <si>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</si>
  <si>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</si>
  <si>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</si>
  <si>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</si>
  <si>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</si>
  <si>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</si>
  <si>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</si>
  <si>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</si>
  <si>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</si>
  <si>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</si>
  <si>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</si>
  <si>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</si>
  <si>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</si>
  <si>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</si>
  <si>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</si>
  <si>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</si>
  <si>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</si>
  <si>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</si>
  <si>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</si>
  <si>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</si>
  <si>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</si>
  <si>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</si>
  <si>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</si>
  <si>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</si>
  <si>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</si>
  <si>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</si>
  <si>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</si>
  <si>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</si>
  <si>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</si>
  <si>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</si>
  <si>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</si>
  <si>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</si>
  <si>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</si>
  <si>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</si>
  <si>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</si>
  <si>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</si>
  <si>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</si>
  <si>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</si>
  <si>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</si>
  <si>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</si>
  <si>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</si>
  <si>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</si>
  <si>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</si>
  <si>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</si>
  <si>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</si>
  <si>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</si>
  <si>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</si>
  <si>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</si>
  <si>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</si>
  <si>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</si>
  <si>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</si>
  <si>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</si>
  <si>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</si>
  <si>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</si>
  <si>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</si>
  <si>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</si>
  <si>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</si>
  <si>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</si>
  <si>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</si>
  <si>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</si>
  <si>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</si>
  <si>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</si>
  <si>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</si>
  <si>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</si>
  <si>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</si>
  <si>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</si>
  <si>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</si>
  <si>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</si>
  <si>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</si>
  <si>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</si>
  <si>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</si>
  <si>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</si>
  <si>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</si>
  <si>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</si>
  <si>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</si>
  <si>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</si>
  <si>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</si>
  <si>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</si>
  <si>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</si>
  <si>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</si>
  <si>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</si>
  <si>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</si>
  <si>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</si>
  <si>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</si>
  <si>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</si>
  <si>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</si>
  <si>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</si>
  <si>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</si>
  <si>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</si>
  <si>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</si>
  <si>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</si>
  <si>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</si>
  <si>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</si>
  <si>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</si>
  <si>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</si>
  <si>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</si>
  <si>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</si>
  <si>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</si>
  <si>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</si>
  <si>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</si>
  <si>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</si>
  <si>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</si>
  <si>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</si>
  <si>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</si>
  <si>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</si>
  <si>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</si>
  <si>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</si>
  <si>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</si>
  <si>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</si>
  <si>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</si>
  <si>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</si>
  <si>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</si>
  <si>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</si>
  <si>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</si>
  <si>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</si>
  <si>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</si>
  <si>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</si>
  <si>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</si>
  <si>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</si>
  <si>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</si>
  <si>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</si>
  <si>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</si>
  <si>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</si>
  <si>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</si>
  <si>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</si>
  <si>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</si>
  <si>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</si>
  <si>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</si>
  <si>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</si>
  <si>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</si>
  <si>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</si>
  <si>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</si>
  <si>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</si>
  <si>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</si>
  <si>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</si>
  <si>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</si>
  <si>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</si>
  <si>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</si>
  <si>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</si>
  <si>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</si>
  <si>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</si>
  <si>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</si>
  <si>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</si>
  <si>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</si>
  <si>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</si>
  <si>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</si>
  <si>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</si>
  <si>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</si>
  <si>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</si>
  <si>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</si>
  <si>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</si>
  <si>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</si>
  <si>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</si>
  <si>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</si>
  <si>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</si>
  <si>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</si>
  <si>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</si>
  <si>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</si>
  <si>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</si>
  <si>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</si>
  <si>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</si>
  <si>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</si>
  <si>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</si>
  <si>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</si>
  <si>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</si>
  <si>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</si>
  <si>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</si>
  <si>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</si>
  <si>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</si>
  <si>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</si>
  <si>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</si>
  <si>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</si>
  <si>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</si>
  <si>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</si>
  <si>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</si>
  <si>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</si>
  <si>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</si>
  <si>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</si>
  <si>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</si>
  <si>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</si>
  <si>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</si>
  <si>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</si>
  <si>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</si>
  <si>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</si>
  <si>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</si>
  <si>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</si>
  <si>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</si>
  <si>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</si>
  <si>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</si>
  <si>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</si>
  <si>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</si>
  <si>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</si>
  <si>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</si>
  <si>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</si>
  <si>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</si>
  <si>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</si>
  <si>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</si>
  <si>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</si>
  <si>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</si>
  <si>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</si>
  <si>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</si>
  <si>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</si>
  <si>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</si>
  <si>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</si>
  <si>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</si>
  <si>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</si>
  <si>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</si>
  <si>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</si>
  <si>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</si>
  <si>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</si>
  <si>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</si>
  <si>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</si>
  <si>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</si>
  <si>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</si>
  <si>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</si>
  <si>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</si>
  <si>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</si>
  <si>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</si>
  <si>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</si>
  <si>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</si>
  <si>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</si>
  <si>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</si>
  <si>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</si>
  <si>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</si>
  <si>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</si>
  <si>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</si>
  <si>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</si>
  <si>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</si>
  <si>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</si>
  <si>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</si>
  <si>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</si>
  <si>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</si>
  <si>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</si>
  <si>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</si>
  <si>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</si>
  <si>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</si>
  <si>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</si>
  <si>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</si>
  <si>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</si>
  <si>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</si>
  <si>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</si>
  <si>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</si>
  <si>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</si>
  <si>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</si>
  <si>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</si>
  <si>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</si>
  <si>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</si>
  <si>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</si>
  <si>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</si>
  <si>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</si>
  <si>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</si>
  <si>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</si>
  <si>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</si>
  <si>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</si>
  <si>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</si>
  <si>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</si>
  <si>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</si>
  <si>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</si>
  <si>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</si>
  <si>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</si>
  <si>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</si>
  <si>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</si>
  <si>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</si>
  <si>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</si>
  <si>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</si>
  <si>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</si>
  <si>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</si>
  <si>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</si>
  <si>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</si>
  <si>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</si>
  <si>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</si>
  <si>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</si>
  <si>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</si>
  <si>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</si>
  <si>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</si>
  <si>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</si>
  <si>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</si>
  <si>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</si>
  <si>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</si>
  <si>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</si>
  <si>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</si>
  <si>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</si>
  <si>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</si>
  <si>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</si>
  <si>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</si>
  <si>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</si>
  <si>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</si>
  <si>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</si>
  <si>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</si>
  <si>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</si>
  <si>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</si>
  <si>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</si>
  <si>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</si>
  <si>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</si>
  <si>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</si>
  <si>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</si>
  <si>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</si>
  <si>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</si>
  <si>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</si>
  <si>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</si>
  <si>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</si>
  <si>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</si>
  <si>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</si>
  <si>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</si>
  <si>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</si>
  <si>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</si>
  <si>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</si>
  <si>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</si>
  <si>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</si>
  <si>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</si>
  <si>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</si>
  <si>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</si>
  <si>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</si>
  <si>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</si>
  <si>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</si>
  <si>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</si>
  <si>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</si>
  <si>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</si>
  <si>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</si>
  <si>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</si>
  <si>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</si>
  <si>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</si>
  <si>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</si>
  <si>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</si>
  <si>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</si>
  <si>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</si>
  <si>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</si>
  <si>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</si>
  <si>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</si>
  <si>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</si>
  <si>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</si>
  <si>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</si>
  <si>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</si>
  <si>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</si>
  <si>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</si>
  <si>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</si>
  <si>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</si>
  <si>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</si>
  <si>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</si>
  <si>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</si>
  <si>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</si>
  <si>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</si>
  <si>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</si>
  <si>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</si>
  <si>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</si>
  <si>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</si>
  <si>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</si>
  <si>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</si>
  <si>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</si>
  <si>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</si>
  <si>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</si>
  <si>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</si>
  <si>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</si>
  <si>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</si>
  <si>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</si>
  <si>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</si>
  <si>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</si>
  <si>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</si>
  <si>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</si>
  <si>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</si>
  <si>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</si>
  <si>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</si>
  <si>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</si>
  <si>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</si>
  <si>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</si>
  <si>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</si>
  <si>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</si>
  <si>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</si>
  <si>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</si>
  <si>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</si>
  <si>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</si>
  <si>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</si>
  <si>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</si>
  <si>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</si>
  <si>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</si>
  <si>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</si>
  <si>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</si>
  <si>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</si>
  <si>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</si>
  <si>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</si>
  <si>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</si>
  <si>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</si>
  <si>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</si>
  <si>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</si>
  <si>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</si>
  <si>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</si>
  <si>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</si>
  <si>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</si>
  <si>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</si>
  <si>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</si>
  <si>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</si>
  <si>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</si>
  <si>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</si>
  <si>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</si>
  <si>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</si>
  <si>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</si>
  <si>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</si>
  <si>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</si>
  <si>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</si>
  <si>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</si>
  <si>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</si>
  <si>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</si>
  <si>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</si>
  <si>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</si>
  <si>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</si>
  <si>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</si>
  <si>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</si>
  <si>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</si>
  <si>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</si>
  <si>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</si>
  <si>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</si>
  <si>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</si>
  <si>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</si>
  <si>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</si>
  <si>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</si>
  <si>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</si>
  <si>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</si>
  <si>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</si>
  <si>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</si>
  <si>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</si>
  <si>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</si>
  <si>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</si>
  <si>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</si>
  <si>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</si>
  <si>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</si>
  <si>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</si>
  <si>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</si>
  <si>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</si>
  <si>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</si>
  <si>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</si>
  <si>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</si>
  <si>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</si>
  <si>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</si>
  <si>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</si>
  <si>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</si>
  <si>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</si>
  <si>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</si>
  <si>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</si>
  <si>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</si>
  <si>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</si>
  <si>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</si>
  <si>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</si>
  <si>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</si>
  <si>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</si>
  <si>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</si>
  <si>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</si>
  <si>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</si>
  <si>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</si>
  <si>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</si>
  <si>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</si>
  <si>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</si>
  <si>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</si>
  <si>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</si>
  <si>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</si>
  <si>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</si>
  <si>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</si>
  <si>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</si>
  <si>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</si>
  <si>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</si>
  <si>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</si>
  <si>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</si>
  <si>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</si>
  <si>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</si>
  <si>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</si>
  <si>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</si>
  <si>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</si>
  <si>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</si>
  <si>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</si>
  <si>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</si>
  <si>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</si>
  <si>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</si>
  <si>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</si>
  <si>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</si>
  <si>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</si>
  <si>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</si>
  <si>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</si>
  <si>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</si>
  <si>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</si>
  <si>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</si>
  <si>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</si>
  <si>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</si>
  <si>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</si>
  <si>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</si>
  <si>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</si>
  <si>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</si>
  <si>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</si>
  <si>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</si>
  <si>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</si>
  <si>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</si>
  <si>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</si>
  <si>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</si>
  <si>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</si>
  <si>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</si>
  <si>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</si>
  <si>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</si>
  <si>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</si>
  <si>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</si>
  <si>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</si>
  <si>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</si>
  <si>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</si>
  <si>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</si>
  <si>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</si>
  <si>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</si>
  <si>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</si>
  <si>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</si>
  <si>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</si>
  <si>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</si>
  <si>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</si>
  <si>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</si>
  <si>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</si>
  <si>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</si>
  <si>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</si>
  <si>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</si>
  <si>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</si>
  <si>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</si>
  <si>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</si>
  <si>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</si>
  <si>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</si>
  <si>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</si>
  <si>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</si>
  <si>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</si>
  <si>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</si>
  <si>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</si>
  <si>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</si>
  <si>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</si>
  <si>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</si>
  <si>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</si>
  <si>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</si>
  <si>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</si>
  <si>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</si>
  <si>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</si>
  <si>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</si>
  <si>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</si>
  <si>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</si>
  <si>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</si>
  <si>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</si>
  <si>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</si>
  <si>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</si>
  <si>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</si>
  <si>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</si>
  <si>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</si>
  <si>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</si>
  <si>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</si>
  <si>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</si>
  <si>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</si>
  <si>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</si>
  <si>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</si>
  <si>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</si>
  <si>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</si>
  <si>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</si>
  <si>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</si>
  <si>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</si>
  <si>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</si>
  <si>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</si>
  <si>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</si>
  <si>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</si>
  <si>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</si>
  <si>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</si>
  <si>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</si>
  <si>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</si>
  <si>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</si>
  <si>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</si>
  <si>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</si>
  <si>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</si>
  <si>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</si>
  <si>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</si>
  <si>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</si>
  <si>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</si>
  <si>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</si>
  <si>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</si>
  <si>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</si>
  <si>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</si>
  <si>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</si>
  <si>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</si>
  <si>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</si>
  <si>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</si>
  <si>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</si>
  <si>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</si>
  <si>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</si>
  <si>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</si>
  <si>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</si>
  <si>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</si>
  <si>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</si>
  <si>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</si>
  <si>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</si>
  <si>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</si>
  <si>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</si>
  <si>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</si>
  <si>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</si>
  <si>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</si>
  <si>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</si>
  <si>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</si>
  <si>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</si>
  <si>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</si>
  <si>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</si>
  <si>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</si>
  <si>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</si>
  <si>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</si>
  <si>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</si>
  <si>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</si>
  <si>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</si>
  <si>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</si>
  <si>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</si>
  <si>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</si>
  <si>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</si>
  <si>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</si>
  <si>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</si>
  <si>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</si>
  <si>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</si>
  <si>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</si>
  <si>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</si>
  <si>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</si>
  <si>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</si>
  <si>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</si>
  <si>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</si>
  <si>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</si>
  <si>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</si>
  <si>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</si>
  <si>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</si>
  <si>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</si>
  <si>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</si>
  <si>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</si>
  <si>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</si>
  <si>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</si>
  <si>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</si>
  <si>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</si>
  <si>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</si>
  <si>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</si>
  <si>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</si>
  <si>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</si>
  <si>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</si>
  <si>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</si>
  <si>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</si>
  <si>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</si>
  <si>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</si>
  <si>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</si>
  <si>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</si>
  <si>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</si>
  <si>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</si>
  <si>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</si>
  <si>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</si>
  <si>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</si>
  <si>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</si>
  <si>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</si>
  <si>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</si>
  <si>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</si>
  <si>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</si>
  <si>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</si>
  <si>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</si>
  <si>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</si>
  <si>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</si>
  <si>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</si>
  <si>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</si>
  <si>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</si>
  <si>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</si>
  <si>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</si>
  <si>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</si>
  <si>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</si>
  <si>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</si>
  <si>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</si>
  <si>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</si>
  <si>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</si>
  <si>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</si>
  <si>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</si>
  <si>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</si>
  <si>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</si>
  <si>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</si>
  <si>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</si>
  <si>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</si>
  <si>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</si>
  <si>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</si>
  <si>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</si>
  <si>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</si>
  <si>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</si>
  <si>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</si>
  <si>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</si>
  <si>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</si>
  <si>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</si>
  <si>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</si>
  <si>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</si>
  <si>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</si>
  <si>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</si>
  <si>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</si>
  <si>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</si>
  <si>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</si>
  <si>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</si>
  <si>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</si>
  <si>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</si>
  <si>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</si>
  <si>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</si>
  <si>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</si>
  <si>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</si>
  <si>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</si>
  <si>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</si>
  <si>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</si>
  <si>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</si>
  <si>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</si>
  <si>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</si>
  <si>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</si>
  <si>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</si>
  <si>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</si>
  <si>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</si>
  <si>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</si>
  <si>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</si>
  <si>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</si>
  <si>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</si>
  <si>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</si>
  <si>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</si>
  <si>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</si>
  <si>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</si>
  <si>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</si>
  <si>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</si>
  <si>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</si>
  <si>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</si>
  <si>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</si>
  <si>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</si>
  <si>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</si>
  <si>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</si>
  <si>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</si>
  <si>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</si>
  <si>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</si>
  <si>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</si>
  <si>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</si>
  <si>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</si>
  <si>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</si>
  <si>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</si>
  <si>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</si>
  <si>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</si>
  <si>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</si>
  <si>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</si>
  <si>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</si>
  <si>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</si>
  <si>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</si>
  <si>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</si>
  <si>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</si>
  <si>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</si>
  <si>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</si>
  <si>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</si>
  <si>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</si>
  <si>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</si>
  <si>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</si>
  <si>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</si>
  <si>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</si>
  <si>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</si>
  <si>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</si>
  <si>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</si>
  <si>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</si>
  <si>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</si>
  <si>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</si>
  <si>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</si>
  <si>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</si>
  <si>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</si>
  <si>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</si>
  <si>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</si>
  <si>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</si>
  <si>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</si>
  <si>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</si>
  <si>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</si>
  <si>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</si>
  <si>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</si>
  <si>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</si>
  <si>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</si>
  <si>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</si>
  <si>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</si>
  <si>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</si>
  <si>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</si>
  <si>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</si>
  <si>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</si>
  <si>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</si>
  <si>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</si>
  <si>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</si>
  <si>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</si>
  <si>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</si>
  <si>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</si>
  <si>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</si>
  <si>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</si>
  <si>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</si>
  <si>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</si>
  <si>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</si>
  <si>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</si>
  <si>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</si>
  <si>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</si>
  <si>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</si>
  <si>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</si>
  <si>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</si>
  <si>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</si>
  <si>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</si>
  <si>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</si>
  <si>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</si>
  <si>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</si>
  <si>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</si>
  <si>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</si>
  <si>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</si>
  <si>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</si>
  <si>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</si>
  <si>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</si>
  <si>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</si>
  <si>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</si>
  <si>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</si>
  <si>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</si>
  <si>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</si>
  <si>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</si>
  <si>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</si>
  <si>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</si>
  <si>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</si>
  <si>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</si>
  <si>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</si>
  <si>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</si>
  <si>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</si>
  <si>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</si>
  <si>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</si>
  <si>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</si>
  <si>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</si>
  <si>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</si>
  <si>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</si>
  <si>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</si>
  <si>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</si>
  <si>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</si>
  <si>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</si>
  <si>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</si>
  <si>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</si>
  <si>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</si>
  <si>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</si>
  <si>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</si>
  <si>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</si>
  <si>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</si>
  <si>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</si>
  <si>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</si>
  <si>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</si>
  <si>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</si>
  <si>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</si>
  <si>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</si>
  <si>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</si>
  <si>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</si>
  <si>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</si>
  <si>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</si>
  <si>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</si>
  <si>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</si>
  <si>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</si>
  <si>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</si>
  <si>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</si>
  <si>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</si>
  <si>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</si>
  <si>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</si>
  <si>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</si>
  <si>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</si>
  <si>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</si>
  <si>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</si>
  <si>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</si>
  <si>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</si>
  <si>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</si>
  <si>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</si>
  <si>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</si>
  <si>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</si>
  <si>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</si>
  <si>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</si>
  <si>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</si>
  <si>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</si>
  <si>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</si>
  <si>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</si>
  <si>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</si>
  <si>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</si>
  <si>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</si>
  <si>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</si>
  <si>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</si>
  <si>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</si>
  <si>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</si>
  <si>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</si>
  <si>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</si>
  <si>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</si>
  <si>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</si>
  <si>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</si>
  <si>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</si>
  <si>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</si>
  <si>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</si>
  <si>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</si>
  <si>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</si>
  <si>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</si>
  <si>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</si>
  <si>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</si>
  <si>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</si>
  <si>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</si>
  <si>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</si>
  <si>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</si>
  <si>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</si>
  <si>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</si>
  <si>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</si>
  <si>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</si>
  <si>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</si>
  <si>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</si>
  <si>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</si>
  <si>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</si>
  <si>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</si>
  <si>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</si>
  <si>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</si>
  <si>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</si>
  <si>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</si>
  <si>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</si>
  <si>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</si>
  <si>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</si>
  <si>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</si>
  <si>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</si>
  <si>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</si>
  <si>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</si>
  <si>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</si>
  <si>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</si>
  <si>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</si>
  <si>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</si>
  <si>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</si>
  <si>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</si>
  <si>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</si>
  <si>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</si>
  <si>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</si>
  <si>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</si>
  <si>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</si>
  <si>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</si>
  <si>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</si>
  <si>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</si>
  <si>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</si>
  <si>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</si>
  <si>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</si>
  <si>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</si>
  <si>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</si>
  <si>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</si>
  <si>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</si>
  <si>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</si>
  <si>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</si>
  <si>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</si>
  <si>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</si>
  <si>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</si>
  <si>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</si>
  <si>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</si>
  <si>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</si>
  <si>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</si>
  <si>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</si>
  <si>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</si>
  <si>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</si>
  <si>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</si>
  <si>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</si>
  <si>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</si>
  <si>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</si>
  <si>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</si>
  <si>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</si>
  <si>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</si>
  <si>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</si>
  <si>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</si>
  <si>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</si>
  <si>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</si>
  <si>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</si>
  <si>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</si>
  <si>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</si>
  <si>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</si>
  <si>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</si>
  <si>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</si>
  <si>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</si>
  <si>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</si>
  <si>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</si>
  <si>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</si>
  <si>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</si>
  <si>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</si>
  <si>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</si>
  <si>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</si>
  <si>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</si>
  <si>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</si>
  <si>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</si>
  <si>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</si>
  <si>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</si>
  <si>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</si>
  <si>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</si>
  <si>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</si>
  <si>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</si>
  <si>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</si>
  <si>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</si>
  <si>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</si>
  <si>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</si>
  <si>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</si>
  <si>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</si>
  <si>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</si>
  <si>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</si>
  <si>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</si>
  <si>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</si>
  <si>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</si>
  <si>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</si>
  <si>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</si>
  <si>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</si>
  <si>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</si>
  <si>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</si>
  <si>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</si>
  <si>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</si>
  <si>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</si>
  <si>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</si>
  <si>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</si>
  <si>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</si>
  <si>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</si>
  <si>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</si>
  <si>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</si>
  <si>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</si>
  <si>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</si>
  <si>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</si>
  <si>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</si>
  <si>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</si>
  <si>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</si>
  <si>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</si>
  <si>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</si>
  <si>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</si>
  <si>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</si>
  <si>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</si>
  <si>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</si>
  <si>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</si>
  <si>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</si>
  <si>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</si>
  <si>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</si>
  <si>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</si>
  <si>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</si>
  <si>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</si>
  <si>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</si>
  <si>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</si>
  <si>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</si>
  <si>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</si>
  <si>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</si>
  <si>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</si>
  <si>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</si>
  <si>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</si>
  <si>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</si>
  <si>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</si>
  <si>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</si>
  <si>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</si>
  <si>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</si>
  <si>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</si>
  <si>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</si>
  <si>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</si>
  <si>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</si>
  <si>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</si>
  <si>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</si>
  <si>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</si>
  <si>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</si>
  <si>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</si>
  <si>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</si>
  <si>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</si>
  <si>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</si>
  <si>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</si>
  <si>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</si>
  <si>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</si>
  <si>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</si>
  <si>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</si>
  <si>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</si>
  <si>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</si>
  <si>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</si>
  <si>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</si>
  <si>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</si>
  <si>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</si>
  <si>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</si>
  <si>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</si>
  <si>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</si>
  <si>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</si>
  <si>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</si>
  <si>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</si>
  <si>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</si>
  <si>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</si>
  <si>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</si>
  <si>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</si>
  <si>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</si>
  <si>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</si>
  <si>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</si>
  <si>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</si>
  <si>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</si>
  <si>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</si>
  <si>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</si>
  <si>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</si>
  <si>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</si>
  <si>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</si>
  <si>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</si>
  <si>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</si>
  <si>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</si>
  <si>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</si>
  <si>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</si>
  <si>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</si>
  <si>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</si>
  <si>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</si>
  <si>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</si>
  <si>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</si>
  <si>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</si>
  <si>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</si>
  <si>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</si>
  <si>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</si>
  <si>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</si>
  <si>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</si>
  <si>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</si>
  <si>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</si>
  <si>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</si>
  <si>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</si>
  <si>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</si>
  <si>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</si>
  <si>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</si>
  <si>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</si>
  <si>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</si>
  <si>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</si>
  <si>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</si>
  <si>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</si>
  <si>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</si>
  <si>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</si>
  <si>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</si>
  <si>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</si>
  <si>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</si>
  <si>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</si>
  <si>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</si>
  <si>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</si>
  <si>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</si>
  <si>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</si>
  <si>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</si>
  <si>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</si>
  <si>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</si>
  <si>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</si>
  <si>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</si>
  <si>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</si>
  <si>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</si>
  <si>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</si>
  <si>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</si>
  <si>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</si>
  <si>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</si>
  <si>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</si>
  <si>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</si>
  <si>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</si>
  <si>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</si>
  <si>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</si>
  <si>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</si>
  <si>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</si>
  <si>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</si>
  <si>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</si>
  <si>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</si>
  <si>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</si>
  <si>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</si>
  <si>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</si>
  <si>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</si>
  <si>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</si>
  <si>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</si>
  <si>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</si>
  <si>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</si>
  <si>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</si>
  <si>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</si>
  <si>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</si>
  <si>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</si>
  <si>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</si>
  <si>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</si>
  <si>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</si>
  <si>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</si>
  <si>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</si>
  <si>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</si>
  <si>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</si>
  <si>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</si>
  <si>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</si>
  <si>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</si>
  <si>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</si>
  <si>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</si>
  <si>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</si>
  <si>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</si>
  <si>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</si>
  <si>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</si>
  <si>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</si>
  <si>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</si>
  <si>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</si>
  <si>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</si>
  <si>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</si>
  <si>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</si>
  <si>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</si>
  <si>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</si>
  <si>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</si>
  <si>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</si>
  <si>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</si>
  <si>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</si>
  <si>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</si>
  <si>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</si>
  <si>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</si>
  <si>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</si>
  <si>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</si>
  <si>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</si>
  <si>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</si>
  <si>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</si>
  <si>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</si>
  <si>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</si>
  <si>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</si>
  <si>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</si>
  <si>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</si>
  <si>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</si>
  <si>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</si>
  <si>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</si>
  <si>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</si>
  <si>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</si>
  <si>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</si>
  <si>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</si>
  <si>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</si>
  <si>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</si>
  <si>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</si>
  <si>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</si>
  <si>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</si>
  <si>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</si>
  <si>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</si>
  <si>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</si>
  <si>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</si>
  <si>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</si>
  <si>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</si>
  <si>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</si>
  <si>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</si>
  <si>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</si>
  <si>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</si>
  <si>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</si>
  <si>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</si>
  <si>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</si>
  <si>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</si>
  <si>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</si>
  <si>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</si>
  <si>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</si>
  <si>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</si>
  <si>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</si>
  <si>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</si>
  <si>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</si>
  <si>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</si>
  <si>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</si>
  <si>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</si>
  <si>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</si>
  <si>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</si>
  <si>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</si>
  <si>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</si>
  <si>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</si>
  <si>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</si>
  <si>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</si>
  <si>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</si>
  <si>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</si>
  <si>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</si>
  <si>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</si>
  <si>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</si>
  <si>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</si>
  <si>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</si>
  <si>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</si>
  <si>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</si>
  <si>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</si>
  <si>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</si>
  <si>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</si>
  <si>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</si>
  <si>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</si>
  <si>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</si>
  <si>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</si>
  <si>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</si>
  <si>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</si>
  <si>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</si>
  <si>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</si>
  <si>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</si>
  <si>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</si>
  <si>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</si>
  <si>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</si>
  <si>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</si>
  <si>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</si>
  <si>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</si>
  <si>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</si>
  <si>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</si>
  <si>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</si>
  <si>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</si>
  <si>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</si>
  <si>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</si>
  <si>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</si>
  <si>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</si>
  <si>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</si>
  <si>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</si>
  <si>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</si>
  <si>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</si>
  <si>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</si>
  <si>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</si>
  <si>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</si>
  <si>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</si>
  <si>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</si>
  <si>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</si>
  <si>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</si>
  <si>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</si>
  <si>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</si>
  <si>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</si>
  <si>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</si>
  <si>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</si>
  <si>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</si>
  <si>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</si>
  <si>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</si>
  <si>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</si>
  <si>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</si>
  <si>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</si>
  <si>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</si>
  <si>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</si>
  <si>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</si>
  <si>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</si>
  <si>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</si>
  <si>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</si>
  <si>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</si>
  <si>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</si>
  <si>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</si>
  <si>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</si>
  <si>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</si>
  <si>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</si>
  <si>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</si>
  <si>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</si>
  <si>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</si>
  <si>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</si>
  <si>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</si>
  <si>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</si>
  <si>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</si>
  <si>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</si>
  <si>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</si>
  <si>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</si>
  <si>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</si>
  <si>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</si>
  <si>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</si>
  <si>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</si>
  <si>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</si>
  <si>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</si>
  <si>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</si>
  <si>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</si>
  <si>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</si>
  <si>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</si>
  <si>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</si>
  <si>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</si>
  <si>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</si>
  <si>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</si>
  <si>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</si>
  <si>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</si>
  <si>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</si>
  <si>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</si>
  <si>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</si>
  <si>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</si>
  <si>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</si>
  <si>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</si>
  <si>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</si>
  <si>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</si>
  <si>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</si>
  <si>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</si>
  <si>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</si>
  <si>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</si>
  <si>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</si>
  <si>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</si>
  <si>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</si>
  <si>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</si>
  <si>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</si>
  <si>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</si>
  <si>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</si>
  <si>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</si>
  <si>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</si>
  <si>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</si>
  <si>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</si>
  <si>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</si>
  <si>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</si>
  <si>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</si>
  <si>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</si>
  <si>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</si>
  <si>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</si>
  <si>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</si>
  <si>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</si>
  <si>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</si>
  <si>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</si>
  <si>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</si>
  <si>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</si>
  <si>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</si>
  <si>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</si>
  <si>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</si>
  <si>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</si>
  <si>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</si>
  <si>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</si>
  <si>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</si>
  <si>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</si>
  <si>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</si>
  <si>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</si>
  <si>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</si>
  <si>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</si>
  <si>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</si>
  <si>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</si>
  <si>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</si>
  <si>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</si>
  <si>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</si>
  <si>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</si>
  <si>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</si>
  <si>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</si>
  <si>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</si>
  <si>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</si>
  <si>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</si>
  <si>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</si>
  <si>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</si>
  <si>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</si>
  <si>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</si>
  <si>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</si>
  <si>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</si>
  <si>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</si>
  <si>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</si>
  <si>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</si>
  <si>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</si>
  <si>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</si>
  <si>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</si>
  <si>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</si>
  <si>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</si>
  <si>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</si>
  <si>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</si>
  <si>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</si>
  <si>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</si>
  <si>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</si>
  <si>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</si>
  <si>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</si>
  <si>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</si>
  <si>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</si>
  <si>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</si>
  <si>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</si>
  <si>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</si>
  <si>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</si>
  <si>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</si>
  <si>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</si>
  <si>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</si>
  <si>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</si>
  <si>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</si>
  <si>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</si>
  <si>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</si>
  <si>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</si>
  <si>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</si>
  <si>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</si>
  <si>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</si>
  <si>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</si>
  <si>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</si>
  <si>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</si>
  <si>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</si>
  <si>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</si>
  <si>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</si>
  <si>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</si>
  <si>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</si>
  <si>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</si>
  <si>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</si>
  <si>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</si>
  <si>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</si>
  <si>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</si>
  <si>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</si>
  <si>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</si>
  <si>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</si>
  <si>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</si>
  <si>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</si>
  <si>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</si>
  <si>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</si>
  <si>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</si>
  <si>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</si>
  <si>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</si>
  <si>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</si>
  <si>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</si>
  <si>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</si>
  <si>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</si>
  <si>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</si>
  <si>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</si>
  <si>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</si>
  <si>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</si>
  <si>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</si>
  <si>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</si>
  <si>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</si>
  <si>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</si>
  <si>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</si>
  <si>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</si>
  <si>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</si>
  <si>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</si>
  <si>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</si>
  <si>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</si>
  <si>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</si>
  <si>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</si>
  <si>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</si>
  <si>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</si>
  <si>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</si>
  <si>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</si>
  <si>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</si>
  <si>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</si>
  <si>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</si>
  <si>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</si>
  <si>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</si>
  <si>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</si>
  <si>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</si>
  <si>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</si>
  <si>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</si>
  <si>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</si>
  <si>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</si>
  <si>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</si>
  <si>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</si>
  <si>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</si>
  <si>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</si>
  <si>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</si>
  <si>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</si>
  <si>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</si>
  <si>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</si>
  <si>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</si>
  <si>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</si>
  <si>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</si>
  <si>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</si>
  <si>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</si>
  <si>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</si>
  <si>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</si>
  <si>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</si>
  <si>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</si>
  <si>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</si>
  <si>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</si>
  <si>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</si>
  <si>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</si>
  <si>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</si>
  <si>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</si>
  <si>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</si>
  <si>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</si>
  <si>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</si>
  <si>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</si>
  <si>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</si>
  <si>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</si>
  <si>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</si>
  <si>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</si>
  <si>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</si>
  <si>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</si>
  <si>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</si>
  <si>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</si>
  <si>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</si>
  <si>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</si>
  <si>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</si>
  <si>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</si>
  <si>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</si>
  <si>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</si>
  <si>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</si>
  <si>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</si>
  <si>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</si>
  <si>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</si>
  <si>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</si>
  <si>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</si>
  <si>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</si>
  <si>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</si>
  <si>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</si>
  <si>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</si>
  <si>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</si>
  <si>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</si>
  <si>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</si>
  <si>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</si>
  <si>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</si>
  <si>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</si>
  <si>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</si>
  <si>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</si>
  <si>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</si>
  <si>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</si>
  <si>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</si>
  <si>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</si>
  <si>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</si>
  <si>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</si>
  <si>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</si>
  <si>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</si>
  <si>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</si>
  <si>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</si>
  <si>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</si>
  <si>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</si>
  <si>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</si>
  <si>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</si>
  <si>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</si>
  <si>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</si>
  <si>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</si>
  <si>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</si>
  <si>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</si>
  <si>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</si>
  <si>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</si>
  <si>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</si>
  <si>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</si>
  <si>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</si>
  <si>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</si>
  <si>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</si>
  <si>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</si>
  <si>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</si>
  <si>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</si>
  <si>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</si>
  <si>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</si>
  <si>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</si>
  <si>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</si>
  <si>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</si>
  <si>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</si>
  <si>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</si>
  <si>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</si>
  <si>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</si>
  <si>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</si>
  <si>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</si>
  <si>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</si>
  <si>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</si>
  <si>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</si>
  <si>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</si>
  <si>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</si>
  <si>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</si>
  <si>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</si>
  <si>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</si>
  <si>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</si>
  <si>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</si>
  <si>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</si>
  <si>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</si>
  <si>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</si>
  <si>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</si>
  <si>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</si>
  <si>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</si>
  <si>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</si>
  <si>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</si>
  <si>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</si>
  <si>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</si>
  <si>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</si>
  <si>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</si>
  <si>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</si>
  <si>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</si>
  <si>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</si>
  <si>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</si>
  <si>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</si>
  <si>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</si>
  <si>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</si>
  <si>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</si>
  <si>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</si>
  <si>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</si>
  <si>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</si>
  <si>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</si>
  <si>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</si>
  <si>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</si>
  <si>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</si>
  <si>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</si>
  <si>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</si>
  <si>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</si>
  <si>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</si>
  <si>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</si>
  <si>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</si>
  <si>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</si>
  <si>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</si>
  <si>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</si>
  <si>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</si>
  <si>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</si>
  <si>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</si>
  <si>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</si>
  <si>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</si>
  <si>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</si>
  <si>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</si>
  <si>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</si>
  <si>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</si>
  <si>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</si>
  <si>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</si>
  <si>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</si>
  <si>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</si>
  <si>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</si>
  <si>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</si>
  <si>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</si>
  <si>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</si>
  <si>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</si>
  <si>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</si>
  <si>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</si>
  <si>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</si>
  <si>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</si>
  <si>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</si>
  <si>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</si>
  <si>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</si>
  <si>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</si>
  <si>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</si>
  <si>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</si>
  <si>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</si>
  <si>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</si>
  <si>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</si>
  <si>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</si>
  <si>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</si>
  <si>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</si>
  <si>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</si>
  <si>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</si>
  <si>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</si>
  <si>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</si>
  <si>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</si>
  <si>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</si>
  <si>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</si>
  <si>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</si>
  <si>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</si>
  <si>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</si>
  <si>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</si>
  <si>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</si>
  <si>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</si>
  <si>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</si>
  <si>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</si>
  <si>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</si>
  <si>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</si>
  <si>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</si>
  <si>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</si>
  <si>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</si>
  <si>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</si>
  <si>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</si>
  <si>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</si>
  <si>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</si>
  <si>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</si>
  <si>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</si>
  <si>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</si>
  <si>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</si>
  <si>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</si>
  <si>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</si>
  <si>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</si>
  <si>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</si>
  <si>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</si>
  <si>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</si>
  <si>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</si>
  <si>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</si>
  <si>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</si>
  <si>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</si>
  <si>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</si>
  <si>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</si>
  <si>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</si>
  <si>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</si>
  <si>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</si>
  <si>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</si>
  <si>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</si>
  <si>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</si>
  <si>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</si>
  <si>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</si>
  <si>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</si>
  <si>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</si>
  <si>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</si>
  <si>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</si>
  <si>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</si>
  <si>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</si>
  <si>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</si>
  <si>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</si>
  <si>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</si>
  <si>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</si>
  <si>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</si>
  <si>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</si>
  <si>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</si>
  <si>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</si>
  <si>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</si>
  <si>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</si>
  <si>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</si>
  <si>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</si>
  <si>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</si>
  <si>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</si>
  <si>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</si>
  <si>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</si>
  <si>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</si>
  <si>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</si>
  <si>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</si>
  <si>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</si>
  <si>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</si>
  <si>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</si>
  <si>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</si>
  <si>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</si>
  <si>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</si>
  <si>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</si>
  <si>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</si>
  <si>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</si>
  <si>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</si>
  <si>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</si>
  <si>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</si>
  <si>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</si>
  <si>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</si>
  <si>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</si>
  <si>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</si>
  <si>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</si>
  <si>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</si>
  <si>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</si>
  <si>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</si>
  <si>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</si>
  <si>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</si>
  <si>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</si>
  <si>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</si>
  <si>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</si>
  <si>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</si>
  <si>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</si>
  <si>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</si>
  <si>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</si>
  <si>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</si>
  <si>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</si>
  <si>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</si>
  <si>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</si>
  <si>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</si>
  <si>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</si>
  <si>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</si>
  <si>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</si>
  <si>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</si>
  <si>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</si>
  <si>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</si>
  <si>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</si>
  <si>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</si>
  <si>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</si>
  <si>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</si>
  <si>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</si>
  <si>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</si>
  <si>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</si>
  <si>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</si>
  <si>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</si>
  <si>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</si>
  <si>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</si>
  <si>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</si>
  <si>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</si>
  <si>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</si>
  <si>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</si>
  <si>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</si>
  <si>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</si>
  <si>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</si>
  <si>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</si>
  <si>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</si>
  <si>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</si>
  <si>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</si>
  <si>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</si>
  <si>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</si>
  <si>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</si>
  <si>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</si>
  <si>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</si>
  <si>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</si>
  <si>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</si>
  <si>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</si>
  <si>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</si>
  <si>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</si>
  <si>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</si>
  <si>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</si>
  <si>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</si>
  <si>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</si>
  <si>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</si>
  <si>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</si>
  <si>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</si>
  <si>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</si>
  <si>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</si>
  <si>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</si>
  <si>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</si>
  <si>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</si>
  <si>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</si>
  <si>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</si>
  <si>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</si>
  <si>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</si>
  <si>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</si>
  <si>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</si>
  <si>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</si>
  <si>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</si>
  <si>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</si>
  <si>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</si>
  <si>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</si>
  <si>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</si>
  <si>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</si>
  <si>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</si>
  <si>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</si>
  <si>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</si>
  <si>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</si>
  <si>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</si>
  <si>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</si>
  <si>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</si>
  <si>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</si>
  <si>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</si>
  <si>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</si>
  <si>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</si>
  <si>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</si>
  <si>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</si>
  <si>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</si>
  <si>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</si>
  <si>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</si>
  <si>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</si>
  <si>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</si>
  <si>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</si>
  <si>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</si>
  <si>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</si>
  <si>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</si>
  <si>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</si>
  <si>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</si>
  <si>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</si>
  <si>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</si>
  <si>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</si>
  <si>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</si>
  <si>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</si>
  <si>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</si>
  <si>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</si>
  <si>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</si>
  <si>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</si>
  <si>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</si>
  <si>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</si>
  <si>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</si>
  <si>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</si>
  <si>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</si>
  <si>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</si>
  <si>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</si>
  <si>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</si>
  <si>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</si>
  <si>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</si>
  <si>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</si>
  <si>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</si>
  <si>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</si>
  <si>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</si>
  <si>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</si>
  <si>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</si>
  <si>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</si>
  <si>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</si>
  <si>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</si>
  <si>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</si>
  <si>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</si>
  <si>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</si>
  <si>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</si>
  <si>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</si>
  <si>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</si>
  <si>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</si>
  <si>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</si>
  <si>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</si>
  <si>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</si>
  <si>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</si>
  <si>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</si>
  <si>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</si>
  <si>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</si>
  <si>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</si>
  <si>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</si>
  <si>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</si>
  <si>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</si>
  <si>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</si>
  <si>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</si>
  <si>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</si>
  <si>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</si>
  <si>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</si>
  <si>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</si>
  <si>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</si>
  <si>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</si>
  <si>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</si>
  <si>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</si>
  <si>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</si>
  <si>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</si>
  <si>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</si>
  <si>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</si>
  <si>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</si>
  <si>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</si>
  <si>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</si>
  <si>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</si>
  <si>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</si>
  <si>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</si>
  <si>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</si>
  <si>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</si>
  <si>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</si>
  <si>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</si>
  <si>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</si>
  <si>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</si>
  <si>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</si>
  <si>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</si>
  <si>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</si>
  <si>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</si>
  <si>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</si>
  <si>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</si>
  <si>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</si>
  <si>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</si>
  <si>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</si>
  <si>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</si>
  <si>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</si>
  <si>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</si>
  <si>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</si>
  <si>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</si>
  <si>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</si>
  <si>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</si>
  <si>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</si>
  <si>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</si>
  <si>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</si>
  <si>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</si>
  <si>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</si>
  <si>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</si>
  <si>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</si>
  <si>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</si>
  <si>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</si>
  <si>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</si>
  <si>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</si>
  <si>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</si>
  <si>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</si>
  <si>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</si>
  <si>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</si>
  <si>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</si>
  <si>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</si>
  <si>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</si>
  <si>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</si>
  <si>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</si>
  <si>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</si>
  <si>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</si>
  <si>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</si>
  <si>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</si>
  <si>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</si>
  <si>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</si>
  <si>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</si>
  <si>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</si>
  <si>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</si>
  <si>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</si>
  <si>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</si>
  <si>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</si>
  <si>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</si>
  <si>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</si>
  <si>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</si>
  <si>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</si>
  <si>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</si>
  <si>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</si>
  <si>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</si>
  <si>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</si>
  <si>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</si>
  <si>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</si>
  <si>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</si>
  <si>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</si>
  <si>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</si>
  <si>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</si>
  <si>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</si>
  <si>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</si>
  <si>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</si>
  <si>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</si>
  <si>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</si>
  <si>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</si>
  <si>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</si>
  <si>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</si>
  <si>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</si>
  <si>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</si>
  <si>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</si>
  <si>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</si>
  <si>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</si>
  <si>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</si>
  <si>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</si>
  <si>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</si>
  <si>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</si>
  <si>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</si>
  <si>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</si>
  <si>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</si>
  <si>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</si>
  <si>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</si>
  <si>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</si>
  <si>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</si>
  <si>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</si>
  <si>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</si>
  <si>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</si>
  <si>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</si>
  <si>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</si>
  <si>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</si>
  <si>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</si>
  <si>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</si>
  <si>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</si>
  <si>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</si>
  <si>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</si>
  <si>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</si>
  <si>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</si>
  <si>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</si>
  <si>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</si>
  <si>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</si>
  <si>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</si>
  <si>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</si>
  <si>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</si>
  <si>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</si>
  <si>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</si>
  <si>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</si>
  <si>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</si>
  <si>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</si>
  <si>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</si>
  <si>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</si>
  <si>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</si>
  <si>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</si>
  <si>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</si>
  <si>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</si>
  <si>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</si>
  <si>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</si>
  <si>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</si>
  <si>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</si>
  <si>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</si>
  <si>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</si>
  <si>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</si>
  <si>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</si>
  <si>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</si>
  <si>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</si>
  <si>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</si>
  <si>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</si>
  <si>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</si>
  <si>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</si>
  <si>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</si>
  <si>
    <t>d.pdf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</si>
</sst>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6">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8"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79" fillId="0" borderId="0" xfId="0" applyFont="1" applyBorder="1" applyAlignment="1"/>
    <xf numFmtId="0" fontId="80" fillId="0" borderId="0" xfId="0" applyFont="1" applyBorder="1"/>
    <xf numFmtId="0" fontId="81" fillId="0" borderId="0" xfId="0" applyFont="1" applyBorder="1"/>
    <xf numFmtId="0" fontId="82" fillId="0" borderId="0" xfId="0" applyFont="1" applyBorder="1" applyAlignment="1"/>
    <xf numFmtId="0" fontId="80" fillId="0" borderId="37" xfId="0" applyFont="1" applyBorder="1"/>
    <xf numFmtId="0" fontId="80" fillId="0" borderId="38" xfId="0" applyFont="1" applyBorder="1"/>
    <xf numFmtId="0" fontId="81" fillId="0" borderId="37" xfId="0" applyFont="1" applyBorder="1"/>
    <xf numFmtId="0" fontId="82" fillId="0" borderId="37" xfId="0" applyFont="1" applyBorder="1" applyAlignment="1"/>
    <xf numFmtId="0" fontId="83" fillId="0" borderId="39" xfId="0" applyFont="1" applyBorder="1" applyAlignment="1">
      <alignment horizontal="center"/>
    </xf>
    <xf numFmtId="0" fontId="83" fillId="0" borderId="40" xfId="0" applyFont="1" applyBorder="1"/>
    <xf numFmtId="0" fontId="83" fillId="0" borderId="40" xfId="0" applyFont="1" applyBorder="1" applyAlignment="1">
      <alignment horizontal="center"/>
    </xf>
    <xf numFmtId="0" fontId="83"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1" fontId="88" fillId="0" borderId="0" xfId="0" applyNumberFormat="1" applyFont="1" applyBorder="1" applyAlignment="1">
      <alignment vertical="top" wrapText="1"/>
    </xf>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0"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85" fillId="0" borderId="0" xfId="0" applyFont="1" applyAlignment="1">
      <alignment horizontal="center"/>
    </xf>
    <xf numFmtId="0" fontId="84" fillId="0" borderId="0" xfId="0" applyFont="1" applyAlignment="1">
      <alignment horizontal="center"/>
    </xf>
    <xf numFmtId="0" fontId="38" fillId="0" borderId="0" xfId="0" applyFont="1" applyAlignment="1">
      <alignment horizontal="justify" wrapText="1"/>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71" fillId="0" borderId="0" xfId="44" applyFont="1" applyAlignment="1" applyProtection="1">
      <alignment horizontal="left"/>
    </xf>
    <xf numFmtId="0" fontId="68" fillId="0" borderId="0" xfId="0" applyFont="1" applyAlignment="1">
      <alignment horizontal="right" vertical="center"/>
    </xf>
    <xf numFmtId="0" fontId="87" fillId="0" borderId="34" xfId="0" applyFont="1" applyBorder="1" applyAlignment="1">
      <alignment horizontal="center"/>
    </xf>
    <xf numFmtId="0" fontId="87" fillId="0" borderId="35" xfId="0" applyFont="1" applyBorder="1" applyAlignment="1">
      <alignment horizontal="center"/>
    </xf>
    <xf numFmtId="0" fontId="87" fillId="0" borderId="36" xfId="0" applyFont="1" applyBorder="1" applyAlignment="1">
      <alignment horizontal="center"/>
    </xf>
    <xf numFmtId="1" fontId="71" fillId="0" borderId="4" xfId="0" applyNumberFormat="1" applyFont="1" applyBorder="1" applyAlignment="1">
      <alignment horizontal="left"/>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70" fillId="0" borderId="15" xfId="0" applyFont="1" applyBorder="1" applyAlignment="1">
      <alignment horizontal="left"/>
    </xf>
    <xf numFmtId="0" fontId="70" fillId="0" borderId="0" xfId="0" applyFont="1" applyAlignment="1">
      <alignment horizontal="left"/>
    </xf>
    <xf numFmtId="1" fontId="88" fillId="0" borderId="0" xfId="0" applyNumberFormat="1" applyFont="1" applyBorder="1" applyAlignment="1">
      <alignment horizontal="right" vertical="top" wrapText="1"/>
    </xf>
    <xf numFmtId="1" fontId="71" fillId="0" borderId="0" xfId="0" applyNumberFormat="1" applyFont="1" applyBorder="1" applyAlignment="1">
      <alignment horizontal="right"/>
    </xf>
    <xf numFmtId="1" fontId="71" fillId="0" borderId="4" xfId="0" applyNumberFormat="1" applyFont="1" applyBorder="1" applyAlignment="1">
      <alignment horizontal="center"/>
    </xf>
    <xf numFmtId="0" fontId="69" fillId="0" borderId="0" xfId="0" applyFont="1" applyAlignment="1">
      <alignment horizontal="right"/>
    </xf>
    <xf numFmtId="0" fontId="71" fillId="0" borderId="0" xfId="0" applyFont="1" applyBorder="1" applyAlignment="1">
      <alignment horizontal="right"/>
    </xf>
    <xf numFmtId="0" fontId="53" fillId="0" borderId="0" xfId="0" applyFont="1" applyAlignment="1">
      <alignment horizontal="center"/>
    </xf>
    <xf numFmtId="0" fontId="53" fillId="0" borderId="0" xfId="0" applyFont="1" applyAlignment="1">
      <alignment horizontal="left"/>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6"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67" fillId="0" borderId="0" xfId="0" applyFont="1" applyAlignment="1">
      <alignment horizontal="center"/>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0" fontId="71" fillId="0" borderId="0" xfId="44" applyFont="1" applyBorder="1" applyAlignment="1" applyProtection="1">
      <alignment horizontal="left"/>
    </xf>
    <xf numFmtId="0" fontId="71" fillId="0" borderId="4" xfId="0" applyFont="1" applyBorder="1" applyAlignment="1">
      <alignment horizontal="center" vertical="top"/>
    </xf>
    <xf numFmtId="0" fontId="71" fillId="0" borderId="0" xfId="44" applyFont="1" applyAlignment="1" applyProtection="1">
      <alignment horizontal="right"/>
    </xf>
    <xf numFmtId="14" fontId="71" fillId="0" borderId="4" xfId="0" applyNumberFormat="1" applyFont="1" applyBorder="1" applyAlignment="1">
      <alignment horizontal="center"/>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161364</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12</xdr:col>
      <xdr:colOff>80122</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17</xdr:col>
      <xdr:colOff>8063</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272" t="str">
        <f>"REPRESENTACIÓN ESTATAL EN "&amp;UPPER(ESTADO)&amp;", CADER "&amp;UPPER(CADER)</f>
        <v>REPRESENTACIÓN ESTATAL EN NUEVO LEÓN, CADER LINARES</v>
      </c>
      <c r="I1" s="272"/>
      <c r="J1" s="272"/>
      <c r="K1" s="272"/>
      <c r="L1" s="272"/>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Linares\Documents\Programas\python\energia-main\Validacion\Archivo\d.pdf</v>
      </c>
      <c r="AW1" s="86" t="s">
        <v>10466</v>
      </c>
      <c r="AX1" s="86" t="s">
        <v>1</v>
      </c>
    </row>
    <row r="2" spans="1:53" ht="14.25" customHeight="1" x14ac:dyDescent="0.25">
      <c r="B2" s="105"/>
      <c r="C2" s="105"/>
      <c r="D2" s="107"/>
      <c r="E2" s="105"/>
      <c r="F2" s="108"/>
      <c r="G2" s="108"/>
      <c r="H2" s="284" t="str">
        <f>"DISTRITO DEL DESARROLLO RURAL NUMERO "&amp;CLAVE_DISTRITO&amp;", "&amp;DISTRITO</f>
        <v>DISTRITO DEL DESARROLLO RURAL NUMERO 102, MONTEMORELOS</v>
      </c>
      <c r="I2" s="284"/>
      <c r="J2" s="284"/>
      <c r="K2" s="284"/>
      <c r="L2" s="284"/>
      <c r="M2" s="92"/>
      <c r="N2" s="92" t="s">
        <v>157</v>
      </c>
      <c r="O2" s="92"/>
      <c r="AH2" s="86" t="str">
        <f>IFERROR(IF(VLOOKUP(VALUE(C22),T:T,1,0)=0,"si","si"),"no")</f>
        <v>no</v>
      </c>
      <c r="AM2" s="90"/>
      <c r="AN2" s="90"/>
      <c r="AV2" s="86" t="s">
        <v>10467</v>
      </c>
      <c r="AW2" s="86">
        <v>1</v>
      </c>
      <c r="AX2" s="86" t="s">
        <v>10467</v>
      </c>
      <c r="AY2" s="86" t="s">
        <v>1</v>
      </c>
      <c r="AZ2" s="86" t="s">
        <v>10485</v>
      </c>
    </row>
    <row r="3" spans="1:53" ht="31.5" x14ac:dyDescent="0.6">
      <c r="A3" s="91"/>
      <c r="B3" s="292" t="s">
        <v>10540</v>
      </c>
      <c r="C3" s="292"/>
      <c r="D3" s="292"/>
      <c r="E3" s="292"/>
      <c r="F3" s="292"/>
      <c r="G3" s="292"/>
      <c r="H3" s="292"/>
      <c r="I3" s="292"/>
      <c r="J3" s="292"/>
      <c r="K3" s="292"/>
      <c r="L3" s="292"/>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72"/>
      <c r="E4" s="272"/>
      <c r="F4" s="272"/>
      <c r="G4" s="272"/>
      <c r="H4" s="272"/>
      <c r="I4" s="272"/>
      <c r="J4" s="272"/>
      <c r="K4" s="272"/>
      <c r="L4" s="272"/>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293" t="s">
        <v>10541</v>
      </c>
      <c r="C5" s="293"/>
      <c r="D5" s="293"/>
      <c r="E5" s="293"/>
      <c r="F5" s="293"/>
      <c r="G5" s="293"/>
      <c r="H5" s="293"/>
      <c r="I5" s="293"/>
      <c r="J5" s="293"/>
      <c r="K5" s="293"/>
      <c r="L5" s="293"/>
      <c r="Q5" s="86" t="e">
        <f>IF(N19=1,INDEX(DATOS!N:N,MATCH(REPORTE!C21,DATOS!C:C,0),1),INDEX(DATOS!N:N,MATCH(VALUE(REPORTE!C22),DATOS!C:C,0),1))</f>
        <v>#VALUE!</v>
      </c>
      <c r="AM5" s="93" t="s">
        <v>10427</v>
      </c>
      <c r="AN5" s="95" t="s">
        <v>10604</v>
      </c>
      <c r="AV5" s="86" t="s">
        <v>10470</v>
      </c>
      <c r="AW5" s="86">
        <v>4</v>
      </c>
      <c r="AX5" s="96" t="s">
        <v>10470</v>
      </c>
      <c r="AY5" s="86" t="s">
        <v>10501</v>
      </c>
      <c r="AZ5" s="86">
        <v>102</v>
      </c>
      <c r="BA5" s="97">
        <f>IF(LEN(CLAVE_DISTRITO)&lt;3,TEXT(CLAVE_DISTRITO, "000"),CLAVE_DISTRITO)</f>
        <v>102</v>
      </c>
    </row>
    <row r="6" spans="1:53" ht="19.5" x14ac:dyDescent="0.4">
      <c r="B6" s="293" t="s">
        <v>10542</v>
      </c>
      <c r="C6" s="293"/>
      <c r="D6" s="293"/>
      <c r="E6" s="293"/>
      <c r="F6" s="293"/>
      <c r="G6" s="293"/>
      <c r="H6" s="293"/>
      <c r="I6" s="293"/>
      <c r="J6" s="293"/>
      <c r="K6" s="293"/>
      <c r="L6" s="293"/>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272" t="str">
        <f ca="1">CADER&amp;", "&amp;ESTADO&amp;" A "&amp;REINSCRIPCION!BJ13&amp;" DE "&amp;UPPER(REINSCRIPCION!BJ14)&amp;" DE "&amp;REINSCRIPCION!BJ15</f>
        <v>LINARES, NUEVO LEÓN A 31 DE OCTUBRE DE 2025</v>
      </c>
      <c r="G8" s="272"/>
      <c r="H8" s="272"/>
      <c r="I8" s="272"/>
      <c r="J8" s="272"/>
      <c r="K8" s="272"/>
      <c r="L8" s="272"/>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94" t="s">
        <v>10543</v>
      </c>
      <c r="C11" s="294"/>
      <c r="D11" s="294"/>
      <c r="E11" s="294"/>
      <c r="F11" s="294"/>
      <c r="G11" s="294"/>
      <c r="H11" s="294"/>
      <c r="I11" s="294"/>
      <c r="J11" s="294"/>
      <c r="K11" s="294"/>
      <c r="L11" s="294"/>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94"/>
      <c r="C12" s="294"/>
      <c r="D12" s="294"/>
      <c r="E12" s="294"/>
      <c r="F12" s="294"/>
      <c r="G12" s="294"/>
      <c r="H12" s="294"/>
      <c r="I12" s="294"/>
      <c r="J12" s="294"/>
      <c r="K12" s="294"/>
      <c r="L12" s="294"/>
      <c r="AM12" s="93" t="s">
        <v>10465</v>
      </c>
      <c r="AN12" s="86" t="str">
        <f>LEFT(PATH,LEN(PATH)-21)&amp;"Scripts\mapa.pyw"</f>
        <v>C:\Users\Cader Linares\Documents\Programas\python\energia-main\Scripts\mapa.pyw</v>
      </c>
      <c r="AV12" s="86" t="s">
        <v>10477</v>
      </c>
      <c r="AW12" s="86">
        <v>11</v>
      </c>
      <c r="AX12" s="86" t="s">
        <v>10477</v>
      </c>
    </row>
    <row r="13" spans="1:53" x14ac:dyDescent="0.25">
      <c r="B13" s="294"/>
      <c r="C13" s="294"/>
      <c r="D13" s="294"/>
      <c r="E13" s="294"/>
      <c r="F13" s="294"/>
      <c r="G13" s="294"/>
      <c r="H13" s="294"/>
      <c r="I13" s="294"/>
      <c r="J13" s="294"/>
      <c r="K13" s="294"/>
      <c r="L13" s="294"/>
      <c r="AM13" s="86" t="s">
        <v>10429</v>
      </c>
      <c r="AN13" s="86" t="str">
        <f>IFERROR(IF(FIND("Exp",INDEX,1)=1,EXPEDIENTE,EXPEDIENTE),IF(LEN(CARPETA)=1,"000"&amp;CARPETA,IF(LEN(CARPETA)=2,"00"&amp;CARPETA,IF(LEN(CARPETA)=3,"0"&amp;CARPETA,CARPETA)))&amp;INDEX)</f>
        <v>d.pdf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0"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285" t="s">
        <v>157</v>
      </c>
      <c r="D20" s="285"/>
      <c r="E20" s="285"/>
      <c r="F20" s="286"/>
      <c r="G20" s="119"/>
      <c r="H20" s="119"/>
      <c r="I20" s="167" t="s">
        <v>10567</v>
      </c>
      <c r="J20" s="287" t="str">
        <f>IFERROR(HYPERLINK("#"&amp;"DATOS!aQ"&amp;MATCH(VALUE(CARPETA),DATOS!B:B,0),IF(I20="","",IFERROR(INDEX(DATOS!S:S,MATCH(IF(O4="SI",VALUE(C21),VALUE(REPORTE!C22)),DATOS!BY:BY,0),1),""))),"")</f>
        <v/>
      </c>
      <c r="K20" s="288"/>
      <c r="L20" s="289"/>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290" t="str">
        <f>IFERROR(IF(IF(P76="","",IF(P77="",1,""))=1,INDEX(DATOS!C:C,MATCH(REPORTE!C20,DATOS!J:J,0),1),""),"")</f>
        <v/>
      </c>
      <c r="D21" s="290"/>
      <c r="E21" s="290"/>
      <c r="F21" s="291"/>
      <c r="G21" s="119"/>
      <c r="H21" s="119"/>
      <c r="I21" s="165" t="s">
        <v>10550</v>
      </c>
      <c r="J21" s="274" t="str">
        <f>IFERROR(HYPERLINK("#"&amp;"DATOS!aQ"&amp;MATCH(VALUE(CARPETA),DATOS!B:B,0),IF(I20="","",IFERROR(INDEX(DATOS!W:W,MATCH(IF(O4="SI",VALUE(C21),VALUE(REPORTE!C22)),DATOS!BY:BY,0),1),""))),"")</f>
        <v/>
      </c>
      <c r="K21" s="274"/>
      <c r="L21" s="275"/>
      <c r="M21" s="98"/>
      <c r="AV21" s="86" t="s">
        <v>10486</v>
      </c>
      <c r="AW21" s="86">
        <v>20</v>
      </c>
      <c r="AX21" s="96" t="s">
        <v>10486</v>
      </c>
    </row>
    <row r="22" spans="2:50" x14ac:dyDescent="0.25">
      <c r="B22" s="165" t="str">
        <f>IF(C20="","",IF(N19=0,"RPU:",""))</f>
        <v/>
      </c>
      <c r="C22" s="277" t="s">
        <v>157</v>
      </c>
      <c r="D22" s="277"/>
      <c r="E22" s="277"/>
      <c r="F22" s="278"/>
      <c r="G22" s="121"/>
      <c r="H22" s="119"/>
      <c r="I22" s="165" t="s">
        <v>10551</v>
      </c>
      <c r="J22" s="274" t="str">
        <f>IF(I22="","",IFERROR(CONCATENATE(INDEX(DATOS!V:V,MATCH(IF(O4="SI",VALUE(C21),VALUE(REPORTE!C22)),DATOS!BY:BY,0),1)," HA"),""))</f>
        <v/>
      </c>
      <c r="K22" s="274"/>
      <c r="L22" s="275"/>
      <c r="M22" s="98"/>
      <c r="AV22" s="86" t="s">
        <v>10487</v>
      </c>
      <c r="AW22" s="86">
        <v>21</v>
      </c>
      <c r="AX22" s="96" t="s">
        <v>10487</v>
      </c>
    </row>
    <row r="23" spans="2:50" ht="15" customHeight="1" x14ac:dyDescent="0.25">
      <c r="B23" s="165" t="s">
        <v>10539</v>
      </c>
      <c r="C23" s="297" t="str">
        <f>IF(I22="","",IFERROR(INDEX(DATOS!E:E,MATCH(IF(O4="SI",VALUE(C21),VALUE(REPORTE!C22)),DATOS!BY:BY,0),1),""))</f>
        <v/>
      </c>
      <c r="D23" s="297"/>
      <c r="E23" s="297"/>
      <c r="F23" s="298"/>
      <c r="G23" s="119"/>
      <c r="H23" s="119"/>
      <c r="I23" s="165" t="s">
        <v>10566</v>
      </c>
      <c r="J23" s="274" t="str">
        <f>IF(I22="","",IFERROR(CONCATENATE(INDEX(DATOS!Y:Y,MATCH(IF(O4="SI",VALUE(C21),VALUE(REPORTE!C22)),DATOS!BY:BY,0),1)," HP"),""))</f>
        <v/>
      </c>
      <c r="K23" s="274"/>
      <c r="L23" s="275"/>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95" t="str">
        <f>IFERROR(IF(N19=0,IF(AH2="si",DATOS!DF2,""),DATOS!DF2),"")</f>
        <v/>
      </c>
      <c r="K24" s="295"/>
      <c r="L24" s="296"/>
      <c r="M24" s="98"/>
      <c r="AV24" s="86" t="s">
        <v>10489</v>
      </c>
      <c r="AW24" s="86">
        <v>23</v>
      </c>
      <c r="AX24" s="86" t="s">
        <v>10489</v>
      </c>
    </row>
    <row r="25" spans="2:50" x14ac:dyDescent="0.25">
      <c r="B25" s="281"/>
      <c r="C25" s="281"/>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9" t="s">
        <v>1</v>
      </c>
      <c r="C28" s="299"/>
      <c r="D28" s="305" t="s">
        <v>10553</v>
      </c>
      <c r="E28" s="305"/>
      <c r="F28" s="305"/>
      <c r="G28" s="305"/>
      <c r="H28" s="305"/>
      <c r="I28" s="305"/>
      <c r="J28" s="305"/>
      <c r="K28" s="301" t="s">
        <v>10554</v>
      </c>
      <c r="L28" s="302"/>
      <c r="M28" s="98"/>
      <c r="AV28" s="86" t="s">
        <v>10493</v>
      </c>
      <c r="AW28" s="86">
        <v>27</v>
      </c>
      <c r="AX28" s="86" t="s">
        <v>10493</v>
      </c>
    </row>
    <row r="29" spans="2:50" ht="15" customHeight="1" x14ac:dyDescent="0.25">
      <c r="B29" s="300"/>
      <c r="C29" s="300"/>
      <c r="D29" s="306"/>
      <c r="E29" s="306"/>
      <c r="F29" s="306"/>
      <c r="G29" s="306"/>
      <c r="H29" s="306"/>
      <c r="I29" s="306"/>
      <c r="J29" s="306"/>
      <c r="K29" s="303"/>
      <c r="L29" s="304"/>
      <c r="M29" s="98"/>
      <c r="AV29" s="86" t="s">
        <v>10494</v>
      </c>
      <c r="AW29" s="86">
        <v>28</v>
      </c>
      <c r="AX29" s="86" t="s">
        <v>10494</v>
      </c>
    </row>
    <row r="30" spans="2:50" ht="15" customHeight="1" x14ac:dyDescent="0.25">
      <c r="B30" s="319" t="str">
        <f>IFERROR(HYPERLINK("#"&amp;"DATOS!aQ"&amp;MATCH(VALUE(CARPETA),DATOS!B:B,0),IF(B65="(  ●  )","OK",B65)),"")</f>
        <v/>
      </c>
      <c r="C30" s="320"/>
      <c r="D30" s="262" t="s">
        <v>10555</v>
      </c>
      <c r="E30" s="260"/>
      <c r="F30" s="260"/>
      <c r="G30" s="260"/>
      <c r="H30" s="260"/>
      <c r="I30" s="260"/>
      <c r="J30" s="263"/>
      <c r="K30" s="309" t="str">
        <f>IF(IF(I21="","",IFERROR(INDEX(DATOS!AS:AS,MATCH(IF(O4="SI",VALUE(C21),VALUE(REPORTE!C22)),DATOS!BY:BY,0),1),""))=0,"",IF(I21="","",IFERROR(INDEX(DATOS!AS:AS,MATCH(IF(O4="SI",VALUE(C21),VALUE(REPORTE!C22)),DATOS!BY:BY,0),1),"")))</f>
        <v/>
      </c>
      <c r="L30" s="310"/>
      <c r="M30" s="98"/>
      <c r="AM30" s="86" t="s">
        <v>10432</v>
      </c>
      <c r="AN30" s="86" t="s">
        <v>10433</v>
      </c>
      <c r="AO30" s="104">
        <f>IFERROR(IF(IFERROR(FIND("x",ERROR,1),FIND("X",ERROR,1))=1,1,1),"")</f>
        <v>1</v>
      </c>
      <c r="AV30" s="86" t="s">
        <v>10495</v>
      </c>
      <c r="AW30" s="86">
        <v>29</v>
      </c>
      <c r="AX30" s="86" t="s">
        <v>10495</v>
      </c>
    </row>
    <row r="31" spans="2:50" ht="15" customHeight="1" x14ac:dyDescent="0.25">
      <c r="B31" s="317" t="str">
        <f>IFERROR(HYPERLINK("#"&amp;"DATOS!aQ"&amp;MATCH(VALUE(CARPETA),DATOS!B:B,0),IF(G65="(  ●  )","OK",G65)),"")</f>
        <v/>
      </c>
      <c r="C31" s="318"/>
      <c r="D31" s="264" t="s">
        <v>10556</v>
      </c>
      <c r="E31" s="134"/>
      <c r="F31" s="134"/>
      <c r="G31" s="134"/>
      <c r="H31" s="134"/>
      <c r="I31" s="134"/>
      <c r="J31" s="265"/>
      <c r="K31" s="311"/>
      <c r="L31" s="312"/>
      <c r="M31" s="98"/>
      <c r="AV31" s="86" t="s">
        <v>10496</v>
      </c>
      <c r="AW31" s="86">
        <v>30</v>
      </c>
      <c r="AX31" s="86" t="s">
        <v>10496</v>
      </c>
    </row>
    <row r="32" spans="2:50" ht="15" customHeight="1" x14ac:dyDescent="0.25">
      <c r="B32" s="315" t="str">
        <f>IFERROR(HYPERLINK("#"&amp;"DATOS!I"&amp;MATCH(VALUE(CARPETA),DATOS!B:B,0),IF(J65="(  ●  )","OK",J65)),"")</f>
        <v/>
      </c>
      <c r="C32" s="316"/>
      <c r="D32" s="266" t="s">
        <v>10557</v>
      </c>
      <c r="E32" s="135"/>
      <c r="F32" s="135"/>
      <c r="G32" s="135"/>
      <c r="H32" s="135"/>
      <c r="I32" s="135"/>
      <c r="J32" s="267"/>
      <c r="K32" s="311"/>
      <c r="L32" s="312"/>
      <c r="M32" s="98"/>
      <c r="AV32" s="86" t="s">
        <v>10497</v>
      </c>
      <c r="AW32" s="86">
        <v>31</v>
      </c>
      <c r="AX32" s="96" t="s">
        <v>10497</v>
      </c>
    </row>
    <row r="33" spans="2:50" ht="15" customHeight="1" x14ac:dyDescent="0.25">
      <c r="B33" s="317" t="str">
        <f>IFERROR(HYPERLINK("#"&amp;"DATOS!L"&amp;MATCH(VALUE(CARPETA),DATOS!B:B,0),IF(B68="(  ●  )","OK",B68)),"")</f>
        <v/>
      </c>
      <c r="C33" s="318"/>
      <c r="D33" s="264" t="s">
        <v>4</v>
      </c>
      <c r="E33" s="134"/>
      <c r="F33" s="134"/>
      <c r="G33" s="134"/>
      <c r="H33" s="134"/>
      <c r="I33" s="134"/>
      <c r="J33" s="265"/>
      <c r="K33" s="311"/>
      <c r="L33" s="312"/>
      <c r="M33" s="98"/>
      <c r="AV33" s="86" t="s">
        <v>10498</v>
      </c>
      <c r="AW33" s="86">
        <v>32</v>
      </c>
      <c r="AX33" s="86" t="s">
        <v>10498</v>
      </c>
    </row>
    <row r="34" spans="2:50" ht="15" customHeight="1" x14ac:dyDescent="0.25">
      <c r="B34" s="315" t="str">
        <f>IFERROR(HYPERLINK("#"&amp;"DATOS!AQ"&amp;MATCH(VALUE(CARPETA),DATOS!B:B,0),IF(G68="(  ●  )","OK",G68)),"")</f>
        <v/>
      </c>
      <c r="C34" s="316"/>
      <c r="D34" s="266" t="s">
        <v>10558</v>
      </c>
      <c r="E34" s="135"/>
      <c r="F34" s="135"/>
      <c r="G34" s="135"/>
      <c r="H34" s="135"/>
      <c r="I34" s="135"/>
      <c r="J34" s="267"/>
      <c r="K34" s="311"/>
      <c r="L34" s="312"/>
      <c r="M34" s="98"/>
    </row>
    <row r="35" spans="2:50" ht="15" customHeight="1" x14ac:dyDescent="0.25">
      <c r="B35" s="317" t="str">
        <f>IFERROR(HYPERLINK("#"&amp;"DATOS!AQ"&amp;MATCH(VALUE(CARPETA),DATOS!B:B,0),IF(J68="(  ●  )","OK",J68)),"")</f>
        <v/>
      </c>
      <c r="C35" s="318"/>
      <c r="D35" s="264" t="s">
        <v>10559</v>
      </c>
      <c r="E35" s="134"/>
      <c r="F35" s="134"/>
      <c r="G35" s="134"/>
      <c r="H35" s="134"/>
      <c r="I35" s="134"/>
      <c r="J35" s="265"/>
      <c r="K35" s="311"/>
      <c r="L35" s="312"/>
      <c r="M35" s="98"/>
    </row>
    <row r="36" spans="2:50" ht="15" customHeight="1" x14ac:dyDescent="0.25">
      <c r="B36" s="315" t="str">
        <f>IF(B71="(  ●  )","OK",B71)</f>
        <v/>
      </c>
      <c r="C36" s="316"/>
      <c r="D36" s="266" t="s">
        <v>10560</v>
      </c>
      <c r="E36" s="135"/>
      <c r="F36" s="135"/>
      <c r="G36" s="135"/>
      <c r="H36" s="135"/>
      <c r="I36" s="135"/>
      <c r="J36" s="267"/>
      <c r="K36" s="311"/>
      <c r="L36" s="312"/>
      <c r="M36" s="98"/>
    </row>
    <row r="37" spans="2:50" ht="15" customHeight="1" x14ac:dyDescent="0.25">
      <c r="B37" s="317" t="str">
        <f>IFERROR(HYPERLINK("#"&amp;"DATOS!AQ"&amp;MATCH(VALUE(CARPETA),DATOS!B:B,0),IF(G71="(  ●  )","OK",G71)),"")</f>
        <v/>
      </c>
      <c r="C37" s="318"/>
      <c r="D37" s="264" t="s">
        <v>10561</v>
      </c>
      <c r="E37" s="134"/>
      <c r="F37" s="134"/>
      <c r="G37" s="134"/>
      <c r="H37" s="134"/>
      <c r="I37" s="134"/>
      <c r="J37" s="265"/>
      <c r="K37" s="311"/>
      <c r="L37" s="312"/>
      <c r="M37" s="98"/>
    </row>
    <row r="38" spans="2:50" ht="15" customHeight="1" x14ac:dyDescent="0.25">
      <c r="B38" s="315" t="str">
        <f>IFERROR(HYPERLINK("#"&amp;"DATOS!AQ"&amp;MATCH(VALUE(CARPETA),DATOS!B:B,0),IF(J71="(  ●  )","OK",J71)),"")</f>
        <v/>
      </c>
      <c r="C38" s="316"/>
      <c r="D38" s="266" t="s">
        <v>10562</v>
      </c>
      <c r="E38" s="135"/>
      <c r="F38" s="135"/>
      <c r="G38" s="135"/>
      <c r="H38" s="135"/>
      <c r="I38" s="135"/>
      <c r="J38" s="267"/>
      <c r="K38" s="311"/>
      <c r="L38" s="312"/>
      <c r="M38" s="98"/>
    </row>
    <row r="39" spans="2:50" ht="15" customHeight="1" x14ac:dyDescent="0.25">
      <c r="B39" s="317" t="str">
        <f>IFERROR(HYPERLINK("#"&amp;"DATOS!AQ"&amp;MATCH(VALUE(CARPETA),DATOS!B:B,0),IF(L15="MORAL",IF(G74="(  ●  )","OK",G74),"")),"")</f>
        <v/>
      </c>
      <c r="C39" s="318"/>
      <c r="D39" s="264" t="str">
        <f>IF(B39="","","ACTA CONSTITUTIVA")</f>
        <v/>
      </c>
      <c r="E39" s="134"/>
      <c r="F39" s="134"/>
      <c r="G39" s="134"/>
      <c r="H39" s="134"/>
      <c r="I39" s="134"/>
      <c r="J39" s="265"/>
      <c r="K39" s="311"/>
      <c r="L39" s="312"/>
      <c r="M39" s="98"/>
    </row>
    <row r="40" spans="2:50" ht="15" customHeight="1" x14ac:dyDescent="0.25">
      <c r="B40" s="315" t="str">
        <f>IFERROR(HYPERLINK("#"&amp;"DATOS!AQ"&amp;MATCH(VALUE(CARPETA),DATOS!B:B,0),IF(B74="(  ●  )","OK",B74)),"")</f>
        <v/>
      </c>
      <c r="C40" s="316"/>
      <c r="D40" s="266" t="str">
        <f>IF(B40="","","RFC O CEDULA DE IDENTIFICACIÓN FISCAL")</f>
        <v/>
      </c>
      <c r="E40" s="135"/>
      <c r="F40" s="135"/>
      <c r="G40" s="135"/>
      <c r="H40" s="135"/>
      <c r="I40" s="135"/>
      <c r="J40" s="267"/>
      <c r="K40" s="311"/>
      <c r="L40" s="312"/>
      <c r="M40" s="98"/>
    </row>
    <row r="41" spans="2:50" ht="15" customHeight="1" x14ac:dyDescent="0.25">
      <c r="B41" s="307" t="str">
        <f>IFERROR(HYPERLINK("#"&amp;"DATOS!P"&amp;MATCH(VALUE(CARPETA),DATOS!B:B,0),IF(J74="        *TRAE CARTA PODER","OK","")),"")</f>
        <v/>
      </c>
      <c r="C41" s="308"/>
      <c r="D41" s="268" t="str">
        <f>IF(B41="","","CARTA PODER")</f>
        <v/>
      </c>
      <c r="E41" s="261"/>
      <c r="F41" s="261"/>
      <c r="G41" s="261"/>
      <c r="H41" s="261"/>
      <c r="I41" s="261"/>
      <c r="J41" s="269"/>
      <c r="K41" s="313"/>
      <c r="L41" s="31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321" t="s">
        <v>10603</v>
      </c>
      <c r="C45" s="321"/>
      <c r="D45" s="321"/>
      <c r="E45" s="321"/>
      <c r="F45" s="321"/>
      <c r="G45" s="321"/>
      <c r="H45" s="321"/>
      <c r="I45" s="321"/>
      <c r="J45" s="321"/>
      <c r="K45" s="321"/>
      <c r="L45" s="321"/>
      <c r="M45" s="98"/>
    </row>
    <row r="46" spans="2:50" ht="15" customHeight="1" x14ac:dyDescent="0.25">
      <c r="B46" s="321"/>
      <c r="C46" s="321"/>
      <c r="D46" s="321"/>
      <c r="E46" s="321"/>
      <c r="F46" s="321"/>
      <c r="G46" s="321"/>
      <c r="H46" s="321"/>
      <c r="I46" s="321"/>
      <c r="J46" s="321"/>
      <c r="K46" s="321"/>
      <c r="L46" s="321"/>
      <c r="M46" s="98"/>
    </row>
    <row r="47" spans="2:50" ht="15" customHeight="1" x14ac:dyDescent="0.25">
      <c r="B47" s="321"/>
      <c r="C47" s="321"/>
      <c r="D47" s="321"/>
      <c r="E47" s="321"/>
      <c r="F47" s="321"/>
      <c r="G47" s="321"/>
      <c r="H47" s="321"/>
      <c r="I47" s="321"/>
      <c r="J47" s="321"/>
      <c r="K47" s="321"/>
      <c r="L47" s="321"/>
      <c r="M47" s="98"/>
    </row>
    <row r="48" spans="2:50" ht="15" customHeight="1" x14ac:dyDescent="0.25">
      <c r="B48" s="321"/>
      <c r="C48" s="321"/>
      <c r="D48" s="321"/>
      <c r="E48" s="321"/>
      <c r="F48" s="321"/>
      <c r="G48" s="321"/>
      <c r="H48" s="321"/>
      <c r="I48" s="321"/>
      <c r="J48" s="321"/>
      <c r="K48" s="321"/>
      <c r="L48" s="32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322" t="str">
        <f>IF(C20="","",C20)</f>
        <v/>
      </c>
      <c r="C61" s="322"/>
      <c r="D61" s="322"/>
      <c r="E61" s="322"/>
      <c r="F61" s="322"/>
      <c r="G61" s="119"/>
      <c r="H61" s="324" t="str">
        <f>UPPER(TRABAJADOR)</f>
        <v>ING. JUAN CARLOS FLORES VILLARREAL</v>
      </c>
      <c r="I61" s="324"/>
      <c r="J61" s="324"/>
      <c r="K61" s="324"/>
      <c r="L61" s="324"/>
      <c r="M61" s="98"/>
      <c r="O61" s="103"/>
    </row>
    <row r="62" spans="2:15" ht="15" customHeight="1" x14ac:dyDescent="0.25">
      <c r="B62" s="322" t="str">
        <f>IF(TIPODEPERSONA="MORAL","REPRESENTANTE: "&amp;SUBSTITUTE(IFERROR(INDEX(DATOS!P:P,MATCH(IF(O4="SI",VALUE(C21),VALUE(REPORTE!C22)),DATOS!BY:BY,0),1),""),";","",1),"NOMBRE Y FIRMA DEL SOLICITANTE")</f>
        <v>NOMBRE Y FIRMA DEL SOLICITANTE</v>
      </c>
      <c r="C62" s="322"/>
      <c r="D62" s="322"/>
      <c r="E62" s="322"/>
      <c r="F62" s="322"/>
      <c r="G62" s="119"/>
      <c r="H62" s="323" t="s">
        <v>10462</v>
      </c>
      <c r="I62" s="323"/>
      <c r="J62" s="323"/>
      <c r="K62" s="323"/>
      <c r="L62" s="32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82"/>
      <c r="C76" s="282"/>
      <c r="D76" s="109"/>
      <c r="E76" s="110"/>
      <c r="F76" s="110"/>
      <c r="G76" s="116"/>
      <c r="H76" s="110"/>
      <c r="I76" s="113"/>
      <c r="J76" s="276" t="str">
        <f>IFERROR(IF(CONCATENATE(N19,O8,AH2)="0nosi"," ",IF(CONCATENATE(N19,O4)="1no"," ","")),"")</f>
        <v/>
      </c>
      <c r="K76" s="276"/>
      <c r="L76" s="276"/>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83" t="str">
        <f>IF(IF(I21="","",IFERROR(INDEX(DATOS!AS:AS,MATCH(IF(O4="SI",VALUE(C21),VALUE(REPORTE!C22)),DATOS!BY:BY,0),1),""))=0,"",IF(I21="","",IFERROR(INDEX(DATOS!AS:AS,MATCH(IF(O4="SI",VALUE(C21),VALUE(REPORTE!C22)),DATOS!BY:BY,0),1),"")))</f>
        <v/>
      </c>
      <c r="C80" s="283"/>
      <c r="D80" s="283"/>
      <c r="E80" s="283"/>
      <c r="F80" s="283"/>
      <c r="G80" s="283"/>
      <c r="H80" s="283"/>
      <c r="I80" s="283"/>
      <c r="J80" s="283"/>
      <c r="K80" s="283"/>
      <c r="L80" s="283"/>
      <c r="M80" s="98"/>
      <c r="O80" s="86">
        <v>5</v>
      </c>
      <c r="P80" s="98" t="str">
        <f t="shared" si="1"/>
        <v/>
      </c>
      <c r="R80" s="86">
        <f t="shared" si="0"/>
        <v>1</v>
      </c>
      <c r="S80" s="86">
        <f>IF(T80="",0,IFERROR(IF(VLOOKUP(T80,T$73:T79,1,0)&gt;0,0,0),1))</f>
        <v>0</v>
      </c>
      <c r="T80" s="98">
        <f>IF(DATOS!J8=P$74,DATOS!C8,"")</f>
        <v>0</v>
      </c>
    </row>
    <row r="81" spans="2:22" ht="15" hidden="1" customHeight="1" x14ac:dyDescent="0.25">
      <c r="B81" s="280" t="s">
        <v>10544</v>
      </c>
      <c r="C81" s="280"/>
      <c r="D81" s="280"/>
      <c r="E81" s="280"/>
      <c r="F81" s="280"/>
      <c r="G81" s="280"/>
      <c r="H81" s="280"/>
      <c r="I81" s="280"/>
      <c r="J81" s="280"/>
      <c r="K81" s="280"/>
      <c r="L81" s="280"/>
      <c r="M81" s="98"/>
      <c r="O81" s="86">
        <v>6</v>
      </c>
      <c r="P81" s="98" t="str">
        <f t="shared" si="1"/>
        <v/>
      </c>
      <c r="R81" s="86">
        <f t="shared" si="0"/>
        <v>1</v>
      </c>
      <c r="S81" s="86">
        <f>IF(T81="",0,IFERROR(IF(VLOOKUP(T81,T$73:T80,1,0)&gt;0,0,0),1))</f>
        <v>0</v>
      </c>
      <c r="T81" s="98">
        <f>IF(DATOS!J9=P$74,DATOS!C9,"")</f>
        <v>0</v>
      </c>
    </row>
    <row r="82" spans="2:22" ht="15" hidden="1" customHeight="1" x14ac:dyDescent="0.25">
      <c r="B82" s="280"/>
      <c r="C82" s="280"/>
      <c r="D82" s="280"/>
      <c r="E82" s="280"/>
      <c r="F82" s="280"/>
      <c r="G82" s="280"/>
      <c r="H82" s="280"/>
      <c r="I82" s="280"/>
      <c r="J82" s="280"/>
      <c r="K82" s="280"/>
      <c r="L82" s="280"/>
      <c r="M82" s="98"/>
      <c r="O82" s="86">
        <v>7</v>
      </c>
      <c r="P82" s="98" t="str">
        <f t="shared" si="1"/>
        <v/>
      </c>
      <c r="R82" s="86">
        <f t="shared" si="0"/>
        <v>1</v>
      </c>
      <c r="S82" s="86">
        <f>IF(T82="",0,IFERROR(IF(VLOOKUP(T82,T$73:T81,1,0)&gt;0,0,0),1))</f>
        <v>0</v>
      </c>
      <c r="T82" s="98">
        <f>IF(DATOS!J10=P$74,DATOS!C10,"")</f>
        <v>0</v>
      </c>
    </row>
    <row r="83" spans="2:22" ht="15" hidden="1" customHeight="1" x14ac:dyDescent="0.25">
      <c r="B83" s="280"/>
      <c r="C83" s="280"/>
      <c r="D83" s="280"/>
      <c r="E83" s="280"/>
      <c r="F83" s="280"/>
      <c r="G83" s="280"/>
      <c r="H83" s="280"/>
      <c r="I83" s="280"/>
      <c r="J83" s="280"/>
      <c r="K83" s="280"/>
      <c r="L83" s="280"/>
      <c r="M83" s="98"/>
      <c r="O83" s="86">
        <v>8</v>
      </c>
      <c r="P83" s="98" t="str">
        <f t="shared" si="1"/>
        <v/>
      </c>
      <c r="R83" s="86">
        <f t="shared" si="0"/>
        <v>1</v>
      </c>
      <c r="S83" s="86">
        <f>IF(T83="",0,IFERROR(IF(VLOOKUP(T83,T$73:T82,1,0)&gt;0,0,0),1))</f>
        <v>0</v>
      </c>
      <c r="T83" s="98">
        <f>IF(DATOS!J11=P$74,DATOS!C11,"")</f>
        <v>0</v>
      </c>
    </row>
    <row r="84" spans="2:22" hidden="1" x14ac:dyDescent="0.25">
      <c r="B84" s="280"/>
      <c r="C84" s="280"/>
      <c r="D84" s="280"/>
      <c r="E84" s="280"/>
      <c r="F84" s="280"/>
      <c r="G84" s="280"/>
      <c r="H84" s="280"/>
      <c r="I84" s="280"/>
      <c r="J84" s="280"/>
      <c r="K84" s="280"/>
      <c r="L84" s="280"/>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79"/>
      <c r="G90" s="279"/>
      <c r="H90" s="279"/>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79" t="s">
        <v>10435</v>
      </c>
      <c r="C91" s="279"/>
      <c r="D91" s="279"/>
      <c r="E91" s="279"/>
      <c r="F91" s="279"/>
      <c r="G91" s="279"/>
      <c r="H91" s="279"/>
      <c r="I91" s="279"/>
      <c r="J91" s="279"/>
      <c r="K91" s="279"/>
      <c r="L91" s="279"/>
      <c r="M91" s="98"/>
      <c r="O91" s="86">
        <v>16</v>
      </c>
      <c r="P91" s="98" t="str">
        <f t="shared" si="1"/>
        <v/>
      </c>
      <c r="R91" s="86">
        <f t="shared" si="0"/>
        <v>1</v>
      </c>
      <c r="S91" s="86">
        <f>IF(T91="",0,IFERROR(IF(VLOOKUP(T91,T$73:T90,1,0)&gt;0,0,0),1))</f>
        <v>0</v>
      </c>
      <c r="T91" s="98">
        <f>IF(DATOS!J19=P$74,DATOS!C19,"")</f>
        <v>0</v>
      </c>
    </row>
    <row r="92" spans="2:22" hidden="1" x14ac:dyDescent="0.25">
      <c r="B92" s="279" t="str">
        <f>IF(G74="",C20,"REPRESENTANTE LEGAL DE "&amp;C20)</f>
        <v/>
      </c>
      <c r="C92" s="279"/>
      <c r="D92" s="279"/>
      <c r="E92" s="279"/>
      <c r="F92" s="279"/>
      <c r="G92" s="279"/>
      <c r="H92" s="279"/>
      <c r="I92" s="279"/>
      <c r="J92" s="279"/>
      <c r="K92" s="279"/>
      <c r="L92" s="279"/>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73"/>
      <c r="M98" s="27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view="pageLayout" topLeftCell="D2" zoomScale="85" zoomScaleNormal="100" zoomScalePageLayoutView="85" workbookViewId="0">
      <selection activeCell="D32" sqref="D32:T32"/>
    </sheetView>
  </sheetViews>
  <sheetFormatPr baseColWidth="10" defaultColWidth="5.5703125" defaultRowHeight="14.25" x14ac:dyDescent="0.25"/>
  <cols>
    <col min="1" max="2" width="11.42578125" style="142" hidden="1" customWidth="1"/>
    <col min="3" max="3" width="23.28515625" style="142" hidden="1" customWidth="1"/>
    <col min="4" max="5" width="2.85546875" style="142" customWidth="1"/>
    <col min="6" max="6" width="1.42578125" style="142" customWidth="1"/>
    <col min="7"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64" t="s">
        <v>10568</v>
      </c>
      <c r="E4" s="364"/>
      <c r="F4" s="364"/>
      <c r="G4" s="364"/>
      <c r="H4" s="364"/>
      <c r="I4" s="364"/>
      <c r="J4" s="364"/>
      <c r="K4" s="364"/>
      <c r="L4" s="364"/>
      <c r="M4" s="364"/>
      <c r="N4" s="364"/>
      <c r="O4" s="364"/>
      <c r="P4" s="364"/>
      <c r="Q4" s="364"/>
      <c r="R4" s="364"/>
      <c r="S4" s="364"/>
      <c r="T4" s="364"/>
      <c r="U4" s="364"/>
      <c r="V4" s="364"/>
      <c r="W4" s="364"/>
      <c r="X4" s="364"/>
      <c r="Y4" s="364"/>
      <c r="Z4" s="364"/>
      <c r="AA4" s="364"/>
      <c r="AB4" s="364"/>
      <c r="AC4" s="364"/>
      <c r="AD4" s="364"/>
      <c r="AE4" s="364"/>
      <c r="AF4" s="364"/>
      <c r="AG4" s="364"/>
      <c r="AH4" s="364"/>
      <c r="AI4" s="364"/>
      <c r="AJ4" s="364"/>
      <c r="AK4" s="364"/>
      <c r="AL4" s="364"/>
      <c r="AM4" s="364"/>
      <c r="AN4" s="364"/>
      <c r="AO4" s="364"/>
      <c r="AP4" s="364"/>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3"/>
      <c r="F5" s="243"/>
      <c r="G5" s="243"/>
      <c r="H5" s="243"/>
      <c r="I5" s="243"/>
      <c r="J5" s="243"/>
      <c r="K5" s="243"/>
      <c r="L5" s="243"/>
      <c r="M5" s="243"/>
      <c r="N5" s="243"/>
      <c r="O5" s="243"/>
      <c r="P5" s="243"/>
      <c r="Q5" s="243"/>
      <c r="R5" s="243"/>
      <c r="S5" s="243"/>
      <c r="T5" s="344" t="str">
        <f ca="1">PROPER(CADER)&amp;", Estado de "&amp;PROPER(ESTADO)&amp;" a "&amp;BJ13&amp;" de "&amp;BJ14&amp;" de "&amp;BJ15</f>
        <v>Linares, Estado de Nuevo León a 31 de octubre de 2025</v>
      </c>
      <c r="U5" s="344"/>
      <c r="V5" s="344"/>
      <c r="W5" s="344"/>
      <c r="X5" s="344"/>
      <c r="Y5" s="344"/>
      <c r="Z5" s="344"/>
      <c r="AA5" s="344"/>
      <c r="AB5" s="344"/>
      <c r="AC5" s="344"/>
      <c r="AD5" s="344"/>
      <c r="AE5" s="344"/>
      <c r="AF5" s="344"/>
      <c r="AG5" s="344"/>
      <c r="AH5" s="344"/>
      <c r="AI5" s="344"/>
      <c r="AJ5" s="344"/>
      <c r="AK5" s="344"/>
      <c r="AL5" s="344"/>
      <c r="AM5" s="344"/>
      <c r="AN5" s="344"/>
      <c r="AO5" s="344"/>
      <c r="AP5" s="344"/>
      <c r="AQ5" s="242"/>
      <c r="AR5" s="242"/>
      <c r="AS5" s="242"/>
      <c r="AT5" s="242"/>
      <c r="AU5" s="242"/>
      <c r="AV5" s="242"/>
      <c r="AW5" s="242"/>
      <c r="AX5" s="242"/>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row>
    <row r="6" spans="1:104" ht="5.25" customHeight="1" x14ac:dyDescent="0.25">
      <c r="C6" s="147"/>
      <c r="D6" s="147"/>
      <c r="E6" s="147"/>
      <c r="F6" s="147"/>
      <c r="G6" s="147"/>
      <c r="H6" s="147"/>
      <c r="I6" s="147"/>
      <c r="J6" s="147"/>
      <c r="K6" s="147"/>
      <c r="L6" s="147"/>
      <c r="M6" s="147"/>
      <c r="N6" s="147"/>
      <c r="O6" s="147"/>
      <c r="P6" s="147"/>
      <c r="Q6" s="147"/>
      <c r="R6" s="147"/>
      <c r="S6" s="147"/>
      <c r="T6" s="147"/>
      <c r="U6" s="366"/>
      <c r="V6" s="366"/>
      <c r="W6" s="366"/>
      <c r="X6" s="366"/>
      <c r="Y6" s="366"/>
      <c r="Z6" s="366"/>
      <c r="AA6" s="366"/>
      <c r="AB6" s="366"/>
      <c r="AC6" s="366"/>
      <c r="AD6" s="366"/>
      <c r="AE6" s="366"/>
      <c r="AF6" s="366"/>
      <c r="AG6" s="366"/>
      <c r="AH6" s="366"/>
      <c r="AI6" s="366"/>
      <c r="AJ6" s="366"/>
      <c r="AK6" s="366"/>
      <c r="AL6" s="366"/>
      <c r="AM6" s="366"/>
      <c r="AN6" s="366"/>
      <c r="AO6" s="366"/>
      <c r="AP6" s="366"/>
      <c r="AQ6" s="366"/>
      <c r="AR6" s="366"/>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7"/>
      <c r="B8" s="197"/>
      <c r="C8" s="230"/>
      <c r="D8" s="325" t="str">
        <f>UPPER(ENCARGADO_DE_LA_VENTANILLA)</f>
        <v>C ABIEL FERNANDO PERALES MARIN</v>
      </c>
      <c r="E8" s="325"/>
      <c r="F8" s="325"/>
      <c r="G8" s="325"/>
      <c r="H8" s="325"/>
      <c r="I8" s="325"/>
      <c r="J8" s="325"/>
      <c r="K8" s="325"/>
      <c r="L8" s="325"/>
      <c r="M8" s="325"/>
      <c r="N8" s="325"/>
      <c r="O8" s="325"/>
      <c r="P8" s="325"/>
      <c r="Q8" s="325"/>
      <c r="R8" s="325"/>
      <c r="S8" s="325"/>
      <c r="T8" s="325"/>
      <c r="U8" s="325"/>
      <c r="V8" s="325"/>
      <c r="W8" s="325"/>
      <c r="X8" s="325"/>
      <c r="Y8" s="325"/>
      <c r="Z8" s="325"/>
      <c r="AA8" s="325"/>
      <c r="AB8" s="325"/>
      <c r="AC8" s="325"/>
      <c r="AD8" s="325"/>
      <c r="AE8" s="325"/>
      <c r="AF8" s="325"/>
      <c r="AG8" s="325"/>
      <c r="AH8" s="325"/>
      <c r="AI8" s="325"/>
      <c r="AJ8" s="325"/>
      <c r="AK8" s="325"/>
      <c r="AL8" s="325"/>
      <c r="AM8" s="325"/>
      <c r="AN8" s="325"/>
      <c r="AO8" s="181"/>
      <c r="AP8" s="181" t="s">
        <v>10463</v>
      </c>
      <c r="AQ8" s="181"/>
      <c r="AR8" s="181"/>
      <c r="AS8" s="147"/>
      <c r="AT8" s="148"/>
      <c r="AU8" s="148" t="s">
        <v>157</v>
      </c>
      <c r="AV8" s="148"/>
      <c r="BO8" s="142" t="str">
        <f>IFERROR(IF(VLOOKUP(VALUE(#REF!),BA:BA,1,0)=0,"si","si"),"no")</f>
        <v>no</v>
      </c>
      <c r="CV8" s="207">
        <f>IFERROR(IF(VLOOKUP(VALUE(AU13),AW46:AW88,1,0)=1,"",""),1)</f>
        <v>1</v>
      </c>
    </row>
    <row r="9" spans="1:104" ht="15" customHeight="1" x14ac:dyDescent="0.25">
      <c r="A9" s="325" t="s">
        <v>10569</v>
      </c>
      <c r="B9" s="325"/>
      <c r="C9" s="325"/>
      <c r="D9" s="325"/>
      <c r="E9" s="325"/>
      <c r="F9" s="325"/>
      <c r="G9" s="325"/>
      <c r="H9" s="325"/>
      <c r="I9" s="325"/>
      <c r="J9" s="325"/>
      <c r="K9" s="325"/>
      <c r="L9" s="325"/>
      <c r="M9" s="325"/>
      <c r="N9" s="325"/>
      <c r="O9" s="325"/>
      <c r="P9" s="325"/>
      <c r="Q9" s="325"/>
      <c r="R9" s="325"/>
      <c r="S9" s="325"/>
      <c r="T9" s="325"/>
      <c r="U9" s="325"/>
      <c r="V9" s="231"/>
      <c r="W9" s="231"/>
      <c r="X9" s="231"/>
      <c r="Y9" s="231"/>
      <c r="Z9" s="231"/>
      <c r="AA9" s="231"/>
      <c r="AB9" s="231"/>
      <c r="AC9" s="231"/>
      <c r="AD9" s="231"/>
      <c r="AE9" s="231"/>
      <c r="AF9" s="231"/>
      <c r="AG9" s="231"/>
      <c r="AH9" s="231"/>
      <c r="AI9" s="231"/>
      <c r="AJ9" s="199"/>
      <c r="AK9" s="199"/>
      <c r="AL9" s="199"/>
      <c r="AM9" s="199"/>
      <c r="AN9" s="199"/>
      <c r="AO9" s="181"/>
      <c r="AP9" s="181"/>
      <c r="AQ9" s="181"/>
      <c r="AR9" s="181"/>
      <c r="AS9" s="149"/>
      <c r="AT9" s="147"/>
    </row>
    <row r="10" spans="1:104" ht="15" customHeight="1" x14ac:dyDescent="0.3">
      <c r="A10" s="197"/>
      <c r="B10" s="197"/>
      <c r="C10" s="230"/>
      <c r="D10" s="325" t="s">
        <v>10461</v>
      </c>
      <c r="E10" s="325"/>
      <c r="F10" s="325"/>
      <c r="G10" s="325"/>
      <c r="H10" s="325"/>
      <c r="I10" s="325"/>
      <c r="J10" s="325"/>
      <c r="K10" s="325"/>
      <c r="L10" s="325"/>
      <c r="M10" s="325"/>
      <c r="N10" s="325"/>
      <c r="O10" s="325"/>
      <c r="P10" s="325"/>
      <c r="Q10" s="325"/>
      <c r="R10" s="325"/>
      <c r="S10" s="325"/>
      <c r="T10" s="325"/>
      <c r="U10" s="325"/>
      <c r="V10" s="325"/>
      <c r="W10" s="325"/>
      <c r="X10" s="325"/>
      <c r="Y10" s="325"/>
      <c r="Z10" s="325"/>
      <c r="AA10" s="325"/>
      <c r="AB10" s="325"/>
      <c r="AC10" s="325"/>
      <c r="AD10" s="325"/>
      <c r="AE10" s="325"/>
      <c r="AF10" s="325"/>
      <c r="AG10" s="232"/>
      <c r="AH10" s="233"/>
      <c r="AI10" s="233"/>
      <c r="AJ10" s="200"/>
      <c r="AK10" s="199"/>
      <c r="AL10" s="199"/>
      <c r="AM10" s="199"/>
      <c r="AN10" s="199"/>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26" t="s">
        <v>10582</v>
      </c>
      <c r="E13" s="326"/>
      <c r="F13" s="326"/>
      <c r="G13" s="326"/>
      <c r="H13" s="326"/>
      <c r="I13" s="326"/>
      <c r="J13" s="326"/>
      <c r="K13" s="326"/>
      <c r="L13" s="326"/>
      <c r="M13" s="326"/>
      <c r="N13" s="326"/>
      <c r="O13" s="326"/>
      <c r="P13" s="326"/>
      <c r="Q13" s="326"/>
      <c r="R13" s="326"/>
      <c r="S13" s="326"/>
      <c r="T13" s="326"/>
      <c r="U13" s="326"/>
      <c r="V13" s="326"/>
      <c r="W13" s="326"/>
      <c r="X13" s="326"/>
      <c r="Y13" s="326"/>
      <c r="Z13" s="326"/>
      <c r="AA13" s="326"/>
      <c r="AB13" s="326"/>
      <c r="AC13" s="326"/>
      <c r="AD13" s="326"/>
      <c r="AE13" s="326"/>
      <c r="AF13" s="326"/>
      <c r="AG13" s="326"/>
      <c r="AH13" s="326"/>
      <c r="AI13" s="326"/>
      <c r="AJ13" s="326"/>
      <c r="AK13" s="326"/>
      <c r="AL13" s="326"/>
      <c r="AM13" s="326"/>
      <c r="AN13" s="326"/>
      <c r="AO13" s="326"/>
      <c r="AP13" s="326"/>
      <c r="AQ13" s="191"/>
      <c r="AR13" s="191"/>
      <c r="AS13" s="191"/>
      <c r="AT13" s="191"/>
      <c r="AU13" s="237" t="str">
        <f>IF(REPORTE!C21="",REPORTE!C22,REPORTE!C21)</f>
        <v/>
      </c>
      <c r="AV13" s="191"/>
      <c r="AW13" s="191"/>
      <c r="AX13" s="191"/>
      <c r="AY13" s="191"/>
      <c r="AZ13" s="191"/>
      <c r="BA13" s="191"/>
      <c r="BB13" s="191"/>
      <c r="BC13" s="191"/>
      <c r="BD13" s="191"/>
      <c r="BE13" s="191"/>
      <c r="BF13" s="191"/>
      <c r="BG13" s="191"/>
      <c r="BH13" s="191"/>
      <c r="BI13" s="191"/>
      <c r="BJ13" s="191">
        <f ca="1">DAY(TODAY())</f>
        <v>31</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26"/>
      <c r="E14" s="326"/>
      <c r="F14" s="326"/>
      <c r="G14" s="326"/>
      <c r="H14" s="326"/>
      <c r="I14" s="326"/>
      <c r="J14" s="326"/>
      <c r="K14" s="326"/>
      <c r="L14" s="326"/>
      <c r="M14" s="326"/>
      <c r="N14" s="326"/>
      <c r="O14" s="326"/>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28" t="str">
        <f>IFERROR(HYPERLINK("#"&amp;"DATOS!C"&amp;MATCH(VALUE(carp),DATOS!B:B,0),"FOLIO PEUA:"),"")</f>
        <v/>
      </c>
      <c r="E16" s="328"/>
      <c r="F16" s="328"/>
      <c r="G16" s="328"/>
      <c r="H16" s="329"/>
      <c r="I16" s="237" t="str">
        <f>MID(BJ37,1,1)</f>
        <v/>
      </c>
      <c r="J16" s="237" t="str">
        <f>MID(BJ37,2,1)</f>
        <v/>
      </c>
      <c r="K16" s="237" t="str">
        <f>MID(BJ37,3,1)</f>
        <v/>
      </c>
      <c r="L16" s="237" t="str">
        <f>MID(BJ37,4,1)</f>
        <v/>
      </c>
      <c r="M16" s="237" t="str">
        <f>MID(BJ37,5,1)</f>
        <v/>
      </c>
      <c r="N16" s="237" t="str">
        <f>MID(BJ37,6,1)</f>
        <v/>
      </c>
      <c r="O16" s="237" t="str">
        <f>MID(BJ37,7,1)</f>
        <v/>
      </c>
      <c r="P16" s="237" t="str">
        <f>MID(BJ37,8,1)</f>
        <v/>
      </c>
      <c r="Q16" s="237" t="str">
        <f>MID(BJ37,9,1)</f>
        <v/>
      </c>
      <c r="R16" s="237" t="str">
        <f>MID(BJ37,10,1)</f>
        <v/>
      </c>
      <c r="S16" s="237" t="str">
        <f>MID(BJ37,11,1)</f>
        <v/>
      </c>
      <c r="T16" s="237" t="str">
        <f>MID(BJ37,12,1)</f>
        <v/>
      </c>
      <c r="U16" s="237" t="str">
        <f>MID(BJ37,13,1)</f>
        <v/>
      </c>
      <c r="V16" s="237" t="str">
        <f>MID(BJ37,14,1)</f>
        <v/>
      </c>
      <c r="W16" s="237" t="str">
        <f>MID(BJ37,15,1)</f>
        <v/>
      </c>
      <c r="X16" s="237" t="str">
        <f>MID(BJ37,16,1)</f>
        <v/>
      </c>
      <c r="Y16" s="237" t="str">
        <f>MID(BJ37,17,1)</f>
        <v/>
      </c>
      <c r="Z16" s="237" t="str">
        <f>MID(BJ37,18,1)</f>
        <v/>
      </c>
      <c r="AA16" s="237" t="str">
        <f>MID(BJ37,19,1)</f>
        <v/>
      </c>
      <c r="AB16" s="237" t="str">
        <f>MID(BJ37,20,1)</f>
        <v/>
      </c>
      <c r="AC16" s="237" t="str">
        <f>MID(BJ37,21,1)</f>
        <v/>
      </c>
      <c r="AD16" s="237" t="str">
        <f>MID(BJ37,22,1)</f>
        <v/>
      </c>
      <c r="AE16" s="237" t="str">
        <f>MID(BJ37,23,1)</f>
        <v/>
      </c>
      <c r="AF16" s="237" t="str">
        <f>MID(BJ37,24,1)</f>
        <v/>
      </c>
      <c r="AG16" s="245"/>
      <c r="AH16" s="245"/>
      <c r="AI16" s="245"/>
      <c r="AJ16" s="245"/>
      <c r="AK16" s="245"/>
      <c r="AL16" s="245"/>
      <c r="AM16" s="192"/>
      <c r="AN16" s="192"/>
      <c r="AO16" s="192"/>
      <c r="AP16" s="192"/>
      <c r="AQ16" s="192"/>
      <c r="AR16" s="192"/>
      <c r="AS16" s="196"/>
      <c r="AT16" s="196"/>
      <c r="AU16" s="192"/>
      <c r="AV16" s="192"/>
      <c r="AW16" s="192"/>
      <c r="AX16" s="192"/>
      <c r="AY16" s="192"/>
      <c r="AZ16" s="192"/>
      <c r="BA16" s="192"/>
      <c r="BB16" s="192"/>
      <c r="BC16" s="192"/>
      <c r="BD16" s="192"/>
      <c r="BE16" s="192"/>
      <c r="BF16" s="192"/>
      <c r="BG16" s="192"/>
      <c r="BH16" s="197"/>
      <c r="BI16" s="197"/>
      <c r="BJ16" s="197"/>
      <c r="BK16" s="197"/>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8"/>
      <c r="E17" s="198"/>
      <c r="F17" s="199"/>
      <c r="G17" s="200"/>
      <c r="H17" s="199"/>
      <c r="I17" s="199"/>
      <c r="J17" s="199"/>
      <c r="K17" s="199"/>
      <c r="L17" s="199"/>
      <c r="M17" s="201"/>
      <c r="N17" s="201"/>
      <c r="O17" s="199"/>
      <c r="P17" s="199"/>
      <c r="Q17" s="199"/>
      <c r="R17" s="199"/>
      <c r="S17" s="199"/>
      <c r="T17" s="199"/>
      <c r="U17" s="202"/>
      <c r="V17" s="202"/>
      <c r="W17" s="202"/>
      <c r="X17" s="202"/>
      <c r="Y17" s="202"/>
      <c r="Z17" s="202"/>
      <c r="AA17" s="202"/>
      <c r="AB17" s="202"/>
      <c r="AC17" s="202"/>
      <c r="AD17" s="192"/>
      <c r="AE17" s="202"/>
      <c r="AF17" s="192"/>
      <c r="AG17" s="192"/>
      <c r="AH17" s="192"/>
      <c r="AI17" s="192"/>
      <c r="AJ17" s="192"/>
      <c r="AK17" s="192"/>
      <c r="AL17" s="192"/>
      <c r="AM17" s="192"/>
      <c r="AN17" s="192"/>
      <c r="AO17" s="192"/>
      <c r="AP17" s="192"/>
      <c r="AQ17" s="192"/>
      <c r="AR17" s="192"/>
      <c r="AS17" s="197"/>
      <c r="AT17" s="197"/>
      <c r="AU17" s="197"/>
      <c r="AV17" s="197"/>
      <c r="AW17" s="192"/>
      <c r="AX17" s="192"/>
      <c r="AY17" s="192"/>
      <c r="AZ17" s="192"/>
      <c r="BA17" s="192"/>
      <c r="BB17" s="192"/>
      <c r="BC17" s="192"/>
      <c r="BD17" s="192"/>
      <c r="BE17" s="192"/>
      <c r="BF17" s="192"/>
      <c r="BG17" s="192"/>
      <c r="BH17" s="197"/>
      <c r="BI17" s="197">
        <v>1</v>
      </c>
      <c r="BJ17" s="197" t="s">
        <v>182</v>
      </c>
      <c r="BK17" s="197"/>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3" t="s">
        <v>10570</v>
      </c>
      <c r="E18" s="192"/>
      <c r="F18" s="204"/>
      <c r="G18" s="237" t="str">
        <f>IF(REPORTE!C21="",MID(REPORTE!C22,1,1),MID(REPORTE!C21,1,1))</f>
        <v/>
      </c>
      <c r="H18" s="237" t="str">
        <f>IF(REPORTE!C21="",MID(REPORTE!C22,2,1),MID(REPORTE!C21,2,1))</f>
        <v/>
      </c>
      <c r="I18" s="237" t="str">
        <f>IF(REPORTE!C21="",MID(REPORTE!C22,3,1),MID(REPORTE!C21,3,1))</f>
        <v/>
      </c>
      <c r="J18" s="237" t="str">
        <f>IF(REPORTE!C21="",MID(REPORTE!C22,4,1),MID(REPORTE!C21,4,1))</f>
        <v/>
      </c>
      <c r="K18" s="237" t="str">
        <f>IF(REPORTE!C21="",MID(REPORTE!C22,5,1),MID(REPORTE!C21,5,1))</f>
        <v/>
      </c>
      <c r="L18" s="237" t="str">
        <f>IF(REPORTE!C21="",MID(REPORTE!C22,6,1),MID(REPORTE!C21,6,1))</f>
        <v/>
      </c>
      <c r="M18" s="237" t="str">
        <f>IF(REPORTE!C21="",MID(REPORTE!C22,7,1),MID(REPORTE!C21,7,1))</f>
        <v/>
      </c>
      <c r="N18" s="237" t="str">
        <f>IF(REPORTE!C21="",MID(REPORTE!C22,8,1),MID(REPORTE!C21,8,1))</f>
        <v/>
      </c>
      <c r="O18" s="237" t="str">
        <f>IF(REPORTE!C21="",MID(REPORTE!C22,9,1),MID(REPORTE!C21,9,1))</f>
        <v/>
      </c>
      <c r="P18" s="237" t="str">
        <f>IF(REPORTE!C21="",MID(REPORTE!C22,10,1),MID(REPORTE!C21,10,1))</f>
        <v/>
      </c>
      <c r="Q18" s="237" t="str">
        <f>IF(REPORTE!C21="",MID(REPORTE!C22,11,1),MID(REPORTE!C21,11,1))</f>
        <v/>
      </c>
      <c r="R18" s="237" t="str">
        <f>IF(REPORTE!C21="",MID(REPORTE!C22,12,1),MID(REPORTE!C21,12,1))</f>
        <v/>
      </c>
      <c r="S18" s="205"/>
      <c r="T18" s="205"/>
      <c r="U18" s="202"/>
      <c r="V18" s="202"/>
      <c r="W18" s="202"/>
      <c r="X18" s="202"/>
      <c r="Y18" s="202"/>
      <c r="Z18" s="202"/>
      <c r="AA18" s="202"/>
      <c r="AB18" s="202"/>
      <c r="AC18" s="203" t="s">
        <v>10572</v>
      </c>
      <c r="AD18" s="192"/>
      <c r="AE18" s="202"/>
      <c r="AG18" s="192"/>
      <c r="AH18" s="192"/>
      <c r="AI18" s="192"/>
      <c r="AJ18" s="193" t="s">
        <v>10591</v>
      </c>
      <c r="AK18" s="193"/>
      <c r="AL18" s="236" t="str">
        <f>IF(BJ53="","",BJ53)</f>
        <v/>
      </c>
      <c r="AM18" s="368" t="s">
        <v>10592</v>
      </c>
      <c r="AN18" s="367"/>
      <c r="AO18" s="369"/>
      <c r="AP18" s="240" t="str">
        <f>IF(BK53="","",BK53)</f>
        <v/>
      </c>
      <c r="AR18" s="192"/>
      <c r="AS18" s="206"/>
      <c r="AT18" s="206"/>
      <c r="AU18" s="192"/>
      <c r="AV18" s="192"/>
      <c r="AW18" s="192"/>
      <c r="AX18" s="192"/>
      <c r="AY18" s="192"/>
      <c r="AZ18" s="192"/>
      <c r="BA18" s="192"/>
      <c r="BB18" s="192"/>
      <c r="BC18" s="192"/>
      <c r="BD18" s="192"/>
      <c r="BE18" s="192"/>
      <c r="BF18" s="192"/>
      <c r="BG18" s="192"/>
      <c r="BH18" s="197"/>
      <c r="BI18" s="197">
        <v>2</v>
      </c>
      <c r="BJ18" s="197" t="s">
        <v>183</v>
      </c>
      <c r="BK18" s="197"/>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8"/>
      <c r="CW18" s="192"/>
      <c r="CY18" s="192"/>
    </row>
    <row r="19" spans="4:104" ht="5.25" customHeight="1" x14ac:dyDescent="0.3">
      <c r="D19" s="203"/>
      <c r="E19" s="192"/>
      <c r="F19" s="204"/>
      <c r="G19" s="204"/>
      <c r="H19" s="204"/>
      <c r="I19" s="204"/>
      <c r="J19" s="204"/>
      <c r="K19" s="204"/>
      <c r="L19" s="204"/>
      <c r="M19" s="204"/>
      <c r="N19" s="204"/>
      <c r="O19" s="207"/>
      <c r="P19" s="208"/>
      <c r="Q19" s="209"/>
      <c r="R19" s="208"/>
      <c r="S19" s="205"/>
      <c r="T19" s="205"/>
      <c r="U19" s="202"/>
      <c r="V19" s="202"/>
      <c r="W19" s="202"/>
      <c r="X19" s="202"/>
      <c r="Y19" s="202"/>
      <c r="Z19" s="202"/>
      <c r="AA19" s="202"/>
      <c r="AB19" s="202"/>
      <c r="AC19" s="202"/>
      <c r="AD19" s="192"/>
      <c r="AE19" s="202"/>
      <c r="AF19" s="192"/>
      <c r="AG19" s="192"/>
      <c r="AH19" s="192"/>
      <c r="AI19" s="192"/>
      <c r="AJ19" s="203"/>
      <c r="AK19" s="192"/>
      <c r="AL19" s="192"/>
      <c r="AM19" s="192"/>
      <c r="AN19" s="192"/>
      <c r="AO19" s="192"/>
      <c r="AP19" s="192"/>
      <c r="AQ19" s="192"/>
      <c r="AR19" s="192"/>
      <c r="AS19" s="206"/>
      <c r="AT19" s="206"/>
      <c r="AU19" s="192"/>
      <c r="AV19" s="192"/>
      <c r="AW19" s="192"/>
      <c r="AX19" s="192"/>
      <c r="AY19" s="192"/>
      <c r="AZ19" s="192"/>
      <c r="BA19" s="192"/>
      <c r="BB19" s="192"/>
      <c r="BC19" s="192"/>
      <c r="BD19" s="192"/>
      <c r="BE19" s="192"/>
      <c r="BF19" s="192"/>
      <c r="BG19" s="192"/>
      <c r="BH19" s="197"/>
      <c r="BI19" s="197"/>
      <c r="BJ19" s="197"/>
      <c r="BK19" s="197"/>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8"/>
      <c r="CW19" s="192"/>
      <c r="CX19" s="192"/>
      <c r="CY19" s="192"/>
      <c r="CZ19" s="205"/>
    </row>
    <row r="20" spans="4:104" ht="16.5" x14ac:dyDescent="0.3">
      <c r="D20" s="210" t="s">
        <v>10571</v>
      </c>
      <c r="G20" s="370" t="str">
        <f>BJ35</f>
        <v/>
      </c>
      <c r="H20" s="370"/>
      <c r="I20" s="370"/>
      <c r="J20" s="370"/>
      <c r="K20" s="370"/>
      <c r="L20" s="370"/>
      <c r="M20" s="370"/>
      <c r="N20" s="370"/>
      <c r="O20" s="370"/>
      <c r="P20" s="370"/>
      <c r="Q20" s="370"/>
      <c r="R20" s="370"/>
      <c r="S20" s="370"/>
      <c r="T20" s="370"/>
      <c r="U20" s="370"/>
      <c r="Y20" s="202"/>
      <c r="Z20" s="202"/>
      <c r="AA20" s="202"/>
      <c r="AB20" s="203" t="str">
        <f>"Cuenta:"</f>
        <v>Cuenta:</v>
      </c>
      <c r="AC20" s="202"/>
      <c r="AD20" s="192"/>
      <c r="AE20" s="370" t="str">
        <f>BJ39</f>
        <v/>
      </c>
      <c r="AF20" s="370"/>
      <c r="AG20" s="370"/>
      <c r="AH20" s="370"/>
      <c r="AI20" s="370"/>
      <c r="AJ20" s="370"/>
      <c r="AK20" s="370"/>
      <c r="AL20" s="370"/>
      <c r="AM20" s="370"/>
      <c r="AN20" s="370"/>
      <c r="AO20" s="370"/>
      <c r="AP20" s="370"/>
      <c r="AQ20" s="192"/>
      <c r="AR20" s="192"/>
      <c r="AS20" s="192"/>
      <c r="AT20" s="192"/>
      <c r="AU20" s="192"/>
      <c r="AV20" s="192"/>
      <c r="AW20" s="192"/>
      <c r="AX20" s="192"/>
      <c r="AY20" s="192"/>
      <c r="AZ20" s="192"/>
      <c r="BA20" s="192"/>
      <c r="BB20" s="192"/>
      <c r="BC20" s="192"/>
      <c r="BD20" s="192"/>
      <c r="BE20" s="192"/>
      <c r="BF20" s="192"/>
      <c r="BG20" s="192"/>
      <c r="BH20" s="197"/>
      <c r="BI20" s="197">
        <v>3</v>
      </c>
      <c r="BJ20" s="197" t="s">
        <v>184</v>
      </c>
      <c r="BK20" s="197"/>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4"/>
      <c r="CX20" s="214"/>
      <c r="CY20" s="214"/>
      <c r="CZ20" s="192"/>
    </row>
    <row r="21" spans="4:104" ht="5.25" customHeight="1" x14ac:dyDescent="0.3">
      <c r="D21" s="200"/>
      <c r="E21" s="200"/>
      <c r="F21" s="199"/>
      <c r="G21" s="200"/>
      <c r="H21" s="199"/>
      <c r="I21" s="199"/>
      <c r="J21" s="199"/>
      <c r="K21" s="199"/>
      <c r="L21" s="199"/>
      <c r="M21" s="199"/>
      <c r="N21" s="199"/>
      <c r="O21" s="199"/>
      <c r="P21" s="199"/>
      <c r="Q21" s="199"/>
      <c r="R21" s="199"/>
      <c r="S21" s="199"/>
      <c r="T21" s="199"/>
      <c r="U21" s="202"/>
      <c r="V21" s="202"/>
      <c r="W21" s="202"/>
      <c r="X21" s="202"/>
      <c r="Y21" s="202"/>
      <c r="Z21" s="202"/>
      <c r="AA21" s="202"/>
      <c r="AB21" s="202"/>
      <c r="AC21" s="202"/>
      <c r="AD21" s="192"/>
      <c r="AE21" s="202"/>
      <c r="AF21" s="192"/>
      <c r="AG21" s="192"/>
      <c r="AH21" s="192"/>
      <c r="AI21" s="192"/>
      <c r="AJ21" s="192"/>
      <c r="AK21" s="192"/>
      <c r="AL21" s="192"/>
      <c r="AM21" s="192"/>
      <c r="AN21" s="192"/>
      <c r="AO21" s="192"/>
      <c r="AP21" s="192"/>
      <c r="AQ21" s="192"/>
      <c r="AR21" s="192"/>
      <c r="AS21" s="196"/>
      <c r="AT21" s="196"/>
      <c r="AU21" s="192"/>
      <c r="AV21" s="192"/>
      <c r="AW21" s="192"/>
      <c r="AX21" s="192"/>
      <c r="AY21" s="192"/>
      <c r="AZ21" s="192"/>
      <c r="BA21" s="192"/>
      <c r="BB21" s="192"/>
      <c r="BC21" s="192"/>
      <c r="BD21" s="192"/>
      <c r="BE21" s="192"/>
      <c r="BF21" s="192"/>
      <c r="BG21" s="192"/>
      <c r="BH21" s="197"/>
      <c r="BI21" s="197">
        <v>4</v>
      </c>
      <c r="BJ21" s="197" t="s">
        <v>185</v>
      </c>
      <c r="BK21" s="197"/>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30" t="s">
        <v>10573</v>
      </c>
      <c r="E22" s="330"/>
      <c r="F22" s="330"/>
      <c r="G22" s="330"/>
      <c r="H22" s="330"/>
      <c r="I22" s="330"/>
      <c r="J22" s="330"/>
      <c r="K22" s="330"/>
      <c r="L22" s="335" t="str">
        <f>PROPER(D53)</f>
        <v/>
      </c>
      <c r="M22" s="335"/>
      <c r="N22" s="335"/>
      <c r="O22" s="335"/>
      <c r="P22" s="335"/>
      <c r="Q22" s="335"/>
      <c r="R22" s="335"/>
      <c r="S22" s="335"/>
      <c r="T22" s="335"/>
      <c r="U22" s="335"/>
      <c r="V22" s="335"/>
      <c r="W22" s="335"/>
      <c r="X22" s="335"/>
      <c r="Y22" s="335"/>
      <c r="Z22" s="335"/>
      <c r="AA22" s="335"/>
      <c r="AB22" s="335"/>
      <c r="AC22" s="335"/>
      <c r="AD22" s="335"/>
      <c r="AE22" s="335"/>
      <c r="AF22" s="335"/>
      <c r="AG22" s="335"/>
      <c r="AH22" s="335"/>
      <c r="AI22" s="335"/>
      <c r="AJ22" s="335"/>
      <c r="AK22" s="335"/>
      <c r="AL22" s="335"/>
      <c r="AM22" s="335"/>
      <c r="AN22" s="335"/>
      <c r="AO22" s="335"/>
      <c r="AP22" s="335"/>
      <c r="AQ22" s="192"/>
      <c r="AR22" s="192"/>
      <c r="AS22" s="196"/>
      <c r="AT22" s="196" t="str">
        <f>PROPER(BJ41)</f>
        <v/>
      </c>
      <c r="AU22" s="192"/>
      <c r="AV22" s="192"/>
      <c r="AW22" s="192"/>
      <c r="AX22" s="192"/>
      <c r="AY22" s="192"/>
      <c r="AZ22" s="192"/>
      <c r="BA22" s="192"/>
      <c r="BB22" s="192"/>
      <c r="BC22" s="192"/>
      <c r="BD22" s="192"/>
      <c r="BE22" s="192"/>
      <c r="BF22" s="192"/>
      <c r="BG22" s="192"/>
      <c r="BH22" s="197"/>
      <c r="BI22" s="197">
        <v>5</v>
      </c>
      <c r="BJ22" s="197" t="s">
        <v>186</v>
      </c>
      <c r="BK22" s="197"/>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1"/>
      <c r="E23" s="211"/>
      <c r="F23" s="211"/>
      <c r="G23" s="211"/>
      <c r="H23" s="213"/>
      <c r="I23" s="213"/>
      <c r="J23" s="213"/>
      <c r="K23" s="213"/>
      <c r="L23" s="213"/>
      <c r="M23" s="213"/>
      <c r="N23" s="213"/>
      <c r="O23" s="213"/>
      <c r="P23" s="213"/>
      <c r="Q23" s="213"/>
      <c r="R23" s="213"/>
      <c r="S23" s="213"/>
      <c r="T23" s="213"/>
      <c r="U23" s="202"/>
      <c r="V23" s="202"/>
      <c r="W23" s="202"/>
      <c r="X23" s="202"/>
      <c r="Y23" s="202"/>
      <c r="Z23" s="202"/>
      <c r="AA23" s="202"/>
      <c r="AB23" s="202"/>
      <c r="AC23" s="202"/>
      <c r="AD23" s="192"/>
      <c r="AE23" s="202"/>
      <c r="AF23" s="192"/>
      <c r="AG23" s="192"/>
      <c r="AH23" s="192"/>
      <c r="AI23" s="192"/>
      <c r="AJ23" s="192"/>
      <c r="AK23" s="192"/>
      <c r="AL23" s="192"/>
      <c r="AM23" s="192"/>
      <c r="AN23" s="192"/>
      <c r="AO23" s="192"/>
      <c r="AP23" s="192"/>
      <c r="AQ23" s="192"/>
      <c r="AR23" s="192"/>
      <c r="AS23" s="196"/>
      <c r="AT23" s="196"/>
      <c r="AU23" s="192"/>
      <c r="AV23" s="192"/>
      <c r="AW23" s="192"/>
      <c r="AX23" s="192"/>
      <c r="AY23" s="192"/>
      <c r="AZ23" s="192"/>
      <c r="BA23" s="192"/>
      <c r="BB23" s="192"/>
      <c r="BC23" s="192"/>
      <c r="BD23" s="192"/>
      <c r="BE23" s="192"/>
      <c r="BF23" s="192"/>
      <c r="BG23" s="192"/>
      <c r="BH23" s="197"/>
      <c r="BI23" s="197"/>
      <c r="BJ23" s="197"/>
      <c r="BK23" s="197"/>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1" t="s">
        <v>4</v>
      </c>
      <c r="G24" s="238" t="str">
        <f>MID(BJ54,1,1)</f>
        <v/>
      </c>
      <c r="H24" s="238" t="str">
        <f>MID(BJ54,2,1)</f>
        <v/>
      </c>
      <c r="I24" s="238" t="str">
        <f>MID(BJ54,3,1)</f>
        <v/>
      </c>
      <c r="J24" s="238" t="str">
        <f>MID(BJ54,4,1)</f>
        <v/>
      </c>
      <c r="K24" s="238" t="str">
        <f>MID(BJ54,5,1)</f>
        <v/>
      </c>
      <c r="L24" s="238" t="str">
        <f>MID(BJ54,6,1)</f>
        <v/>
      </c>
      <c r="M24" s="238" t="str">
        <f>MID(BJ54,7,1)</f>
        <v/>
      </c>
      <c r="N24" s="238" t="str">
        <f>MID(BJ54,8,1)</f>
        <v/>
      </c>
      <c r="O24" s="237" t="str">
        <f>MID(BJ54,9,1)</f>
        <v/>
      </c>
      <c r="P24" s="238" t="str">
        <f>MID(BJ54,10,1)</f>
        <v/>
      </c>
      <c r="Q24" s="238" t="str">
        <f>MID(BJ54,11,1)</f>
        <v/>
      </c>
      <c r="R24" s="238" t="str">
        <f>MID(BJ54,12,1)</f>
        <v/>
      </c>
      <c r="S24" s="238" t="str">
        <f>MID(BJ54,13,1)</f>
        <v/>
      </c>
      <c r="T24" s="238" t="str">
        <f>MID(BJ54,14,1)</f>
        <v/>
      </c>
      <c r="U24" s="239" t="str">
        <f>MID(BJ54,15,1)</f>
        <v/>
      </c>
      <c r="V24" s="239" t="str">
        <f>MID(BJ54,16,1)</f>
        <v/>
      </c>
      <c r="W24" s="239" t="str">
        <f>MID(BJ54,17,1)</f>
        <v/>
      </c>
      <c r="X24" s="239" t="str">
        <f>MID(BJ54,18,1)</f>
        <v/>
      </c>
      <c r="Y24" s="202"/>
      <c r="Z24" s="202"/>
      <c r="AA24" s="202"/>
      <c r="AB24" s="213" t="s">
        <v>5</v>
      </c>
      <c r="AD24" s="239" t="str">
        <f>MID(BJ55,1,1)</f>
        <v/>
      </c>
      <c r="AE24" s="239" t="str">
        <f>MID(BJ55,2,1)</f>
        <v/>
      </c>
      <c r="AF24" s="239" t="str">
        <f>MID(BJ55,3,1)</f>
        <v/>
      </c>
      <c r="AG24" s="239" t="str">
        <f>MID(BJ55,4,1)</f>
        <v/>
      </c>
      <c r="AH24" s="239" t="str">
        <f>MID(BJ55,5,1)</f>
        <v/>
      </c>
      <c r="AI24" s="239" t="str">
        <f>MID(BJ55,6,1)</f>
        <v/>
      </c>
      <c r="AJ24" s="239" t="str">
        <f>MID(BJ55,7,1)</f>
        <v/>
      </c>
      <c r="AK24" s="239" t="str">
        <f>MID(BJ55,8,1)</f>
        <v/>
      </c>
      <c r="AL24" s="239" t="str">
        <f>MID(BJ55,9,1)</f>
        <v/>
      </c>
      <c r="AM24" s="239" t="str">
        <f>MID(BJ55,10,1)</f>
        <v/>
      </c>
      <c r="AN24" s="239" t="str">
        <f>MID(BJ55,11,1)</f>
        <v/>
      </c>
      <c r="AO24" s="239" t="str">
        <f>MID(BJ55,12,1)</f>
        <v/>
      </c>
      <c r="AP24" s="259" t="str">
        <f>IF(AL18="X",MID(BJ55,13,1),"")</f>
        <v/>
      </c>
      <c r="AQ24" s="192"/>
      <c r="AR24" s="192"/>
      <c r="AS24" s="196"/>
      <c r="AT24" s="196"/>
      <c r="AU24" s="192"/>
      <c r="AV24" s="192"/>
      <c r="AW24" s="192"/>
      <c r="AX24" s="192"/>
      <c r="AY24" s="192"/>
      <c r="AZ24" s="192"/>
      <c r="BA24" s="192"/>
      <c r="BB24" s="192"/>
      <c r="BC24" s="192"/>
      <c r="BD24" s="192"/>
      <c r="BE24" s="192"/>
      <c r="BF24" s="192"/>
      <c r="BG24" s="192"/>
      <c r="BH24" s="197"/>
      <c r="BI24" s="197"/>
      <c r="BJ24" s="197"/>
      <c r="BK24" s="197"/>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1"/>
      <c r="E25" s="226"/>
      <c r="F25" s="226"/>
      <c r="G25" s="226"/>
      <c r="H25" s="226"/>
      <c r="I25" s="226"/>
      <c r="J25" s="226"/>
      <c r="K25" s="226"/>
      <c r="L25" s="226"/>
      <c r="M25" s="226"/>
      <c r="N25" s="226"/>
      <c r="O25" s="212"/>
      <c r="P25" s="213"/>
      <c r="Q25" s="213"/>
      <c r="R25" s="213"/>
      <c r="S25" s="213"/>
      <c r="T25" s="213"/>
      <c r="U25" s="228"/>
      <c r="V25" s="202"/>
      <c r="W25" s="202"/>
      <c r="X25" s="202"/>
      <c r="Y25" s="202"/>
      <c r="Z25" s="202"/>
      <c r="AA25" s="202"/>
      <c r="AB25" s="202"/>
      <c r="AC25" s="202"/>
      <c r="AD25" s="192"/>
      <c r="AE25" s="202"/>
      <c r="AF25" s="192"/>
      <c r="AG25" s="192"/>
      <c r="AH25" s="192"/>
      <c r="AI25" s="192"/>
      <c r="AJ25" s="192"/>
      <c r="AK25" s="192"/>
      <c r="AL25" s="192"/>
      <c r="AM25" s="192"/>
      <c r="AN25" s="192"/>
      <c r="AO25" s="192"/>
      <c r="AP25" s="192"/>
      <c r="AQ25" s="192"/>
      <c r="AR25" s="192"/>
      <c r="AS25" s="196"/>
      <c r="AT25" s="196"/>
      <c r="AU25" s="192"/>
      <c r="AV25" s="192"/>
      <c r="AW25" s="192"/>
      <c r="AX25" s="192"/>
      <c r="AY25" s="192"/>
      <c r="AZ25" s="192"/>
      <c r="BA25" s="192"/>
      <c r="BB25" s="192"/>
      <c r="BC25" s="192"/>
      <c r="BD25" s="192"/>
      <c r="BE25" s="192"/>
      <c r="BF25" s="192"/>
      <c r="BG25" s="192"/>
      <c r="BH25" s="197"/>
      <c r="BI25" s="197"/>
      <c r="BJ25" s="197"/>
      <c r="BK25" s="197"/>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71" t="s">
        <v>10574</v>
      </c>
      <c r="E26" s="371"/>
      <c r="F26" s="371"/>
      <c r="G26" s="371"/>
      <c r="H26" s="371"/>
      <c r="I26" s="371"/>
      <c r="J26" s="335" t="str">
        <f>AT26</f>
        <v/>
      </c>
      <c r="K26" s="335"/>
      <c r="L26" s="335"/>
      <c r="M26" s="335"/>
      <c r="N26" s="335"/>
      <c r="O26" s="335"/>
      <c r="P26" s="335"/>
      <c r="Q26" s="335"/>
      <c r="R26" s="335"/>
      <c r="S26" s="335"/>
      <c r="T26" s="335"/>
      <c r="U26" s="335"/>
      <c r="V26" s="335"/>
      <c r="W26" s="335"/>
      <c r="X26" s="335"/>
      <c r="Y26" s="335"/>
      <c r="Z26" s="335"/>
      <c r="AA26" s="335"/>
      <c r="AB26" s="335"/>
      <c r="AE26" s="342" t="s">
        <v>10575</v>
      </c>
      <c r="AF26" s="342"/>
      <c r="AG26" s="342"/>
      <c r="AH26" s="342"/>
      <c r="AI26" s="343" t="str">
        <f>AT32</f>
        <v/>
      </c>
      <c r="AJ26" s="343"/>
      <c r="AL26" s="204" t="s">
        <v>10593</v>
      </c>
      <c r="AM26" s="204"/>
      <c r="AN26" s="204" t="s">
        <v>10594</v>
      </c>
      <c r="AO26" s="204"/>
      <c r="AP26" s="204" t="s">
        <v>10595</v>
      </c>
      <c r="AQ26" s="192"/>
      <c r="AR26" s="192"/>
      <c r="AS26" s="196"/>
      <c r="AT26" s="196" t="str">
        <f>IF(BJ52=0,"",PROPER(BJ52))</f>
        <v/>
      </c>
      <c r="AU26" s="192"/>
      <c r="AV26" s="192"/>
      <c r="AW26" s="192"/>
      <c r="AX26" s="192"/>
      <c r="AY26" s="192"/>
      <c r="AZ26" s="192"/>
      <c r="BA26" s="192"/>
      <c r="BB26" s="192"/>
      <c r="BC26" s="192"/>
      <c r="BD26" s="192"/>
      <c r="BE26" s="192"/>
      <c r="BF26" s="192"/>
      <c r="BG26" s="192"/>
      <c r="BH26" s="197"/>
      <c r="BI26" s="197">
        <v>6</v>
      </c>
      <c r="BJ26" s="197" t="s">
        <v>187</v>
      </c>
      <c r="BK26" s="197"/>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6"/>
      <c r="E27" s="227"/>
      <c r="F27" s="227"/>
      <c r="G27" s="227"/>
      <c r="H27" s="227"/>
      <c r="I27" s="227"/>
      <c r="J27" s="227"/>
      <c r="K27" s="227"/>
      <c r="L27" s="227"/>
      <c r="M27" s="227"/>
      <c r="N27" s="227"/>
      <c r="O27" s="227"/>
      <c r="P27" s="227"/>
      <c r="Q27" s="227"/>
      <c r="R27" s="227"/>
      <c r="S27" s="227"/>
      <c r="T27" s="227"/>
      <c r="U27" s="202"/>
      <c r="V27" s="202"/>
      <c r="W27" s="202"/>
      <c r="X27" s="202"/>
      <c r="Y27" s="202"/>
      <c r="Z27" s="202"/>
      <c r="AA27" s="202"/>
      <c r="AB27" s="229"/>
      <c r="AC27" s="229"/>
      <c r="AD27" s="229"/>
      <c r="AE27" s="229"/>
      <c r="AF27" s="229"/>
      <c r="AG27" s="229"/>
      <c r="AH27" s="229"/>
      <c r="AI27" s="229"/>
      <c r="AJ27" s="229"/>
      <c r="AK27" s="229"/>
      <c r="AL27" s="192"/>
      <c r="AM27" s="219"/>
      <c r="AN27" s="192"/>
      <c r="AO27" s="219"/>
      <c r="AP27" s="192"/>
      <c r="AQ27" s="192"/>
      <c r="AR27" s="192"/>
      <c r="AS27" s="196"/>
      <c r="AT27" s="196"/>
      <c r="AU27" s="192"/>
      <c r="AV27" s="192"/>
      <c r="AW27" s="192"/>
      <c r="AX27" s="192"/>
      <c r="AY27" s="192"/>
      <c r="AZ27" s="192"/>
      <c r="BA27" s="192"/>
      <c r="BB27" s="192"/>
      <c r="BC27" s="192"/>
      <c r="BD27" s="192"/>
      <c r="BE27" s="192"/>
      <c r="BF27" s="192"/>
      <c r="BG27" s="192"/>
      <c r="BH27" s="197"/>
      <c r="BI27" s="197"/>
      <c r="BJ27" s="197"/>
      <c r="BK27" s="197"/>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210" t="s">
        <v>10452</v>
      </c>
      <c r="E28" s="210"/>
      <c r="F28" s="210"/>
      <c r="H28" s="335" t="str">
        <f>AT31</f>
        <v/>
      </c>
      <c r="I28" s="335"/>
      <c r="J28" s="335"/>
      <c r="K28" s="335"/>
      <c r="L28" s="335"/>
      <c r="M28" s="335"/>
      <c r="N28" s="335"/>
      <c r="O28" s="335"/>
      <c r="P28" s="336" t="s">
        <v>10451</v>
      </c>
      <c r="Q28" s="336"/>
      <c r="R28" s="336"/>
      <c r="S28" s="336"/>
      <c r="T28" s="335" t="str">
        <f>AT30</f>
        <v/>
      </c>
      <c r="U28" s="335"/>
      <c r="V28" s="335"/>
      <c r="W28" s="335"/>
      <c r="X28" s="335"/>
      <c r="Y28" s="335"/>
      <c r="Z28" s="335"/>
      <c r="AA28" s="335"/>
      <c r="AB28" s="341" t="s">
        <v>10576</v>
      </c>
      <c r="AC28" s="341"/>
      <c r="AD28" s="341"/>
      <c r="AE28" s="370" t="str">
        <f>BJ50</f>
        <v/>
      </c>
      <c r="AF28" s="370"/>
      <c r="AG28" s="213" t="s">
        <v>10596</v>
      </c>
      <c r="AH28" s="342" t="s">
        <v>10577</v>
      </c>
      <c r="AI28" s="342"/>
      <c r="AJ28" s="342"/>
      <c r="AK28" s="335" t="str">
        <f>PROPER(BJ56)</f>
        <v/>
      </c>
      <c r="AL28" s="335"/>
      <c r="AM28" s="335"/>
      <c r="AN28" s="335"/>
      <c r="AO28" s="335"/>
      <c r="AP28" s="335"/>
      <c r="AQ28" s="192"/>
      <c r="AR28" s="192"/>
      <c r="AS28" s="192"/>
      <c r="AT28" s="196" t="str">
        <f>PROPER(BJ42)</f>
        <v/>
      </c>
      <c r="AU28" s="192"/>
      <c r="AV28" s="192"/>
      <c r="AW28" s="192"/>
      <c r="AX28" s="192"/>
      <c r="AY28" s="192"/>
      <c r="AZ28" s="192"/>
      <c r="BA28" s="192"/>
      <c r="BB28" s="192"/>
      <c r="BC28" s="192"/>
      <c r="BD28" s="192"/>
      <c r="BE28" s="192"/>
      <c r="BF28" s="192"/>
      <c r="BG28" s="192"/>
      <c r="BH28" s="197"/>
      <c r="BI28" s="197">
        <v>7</v>
      </c>
      <c r="BJ28" s="197" t="s">
        <v>188</v>
      </c>
      <c r="BK28" s="197"/>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3"/>
      <c r="E29" s="213"/>
      <c r="F29" s="213"/>
      <c r="G29" s="213"/>
      <c r="H29" s="213"/>
      <c r="I29" s="213"/>
      <c r="J29" s="213"/>
      <c r="K29" s="213"/>
      <c r="L29" s="213"/>
      <c r="M29" s="213"/>
      <c r="N29" s="213"/>
      <c r="O29" s="213"/>
      <c r="P29" s="213"/>
      <c r="Q29" s="213"/>
      <c r="R29" s="213"/>
      <c r="S29" s="213"/>
      <c r="T29" s="213"/>
      <c r="U29" s="202"/>
      <c r="V29" s="202"/>
      <c r="W29" s="202"/>
      <c r="X29" s="202"/>
      <c r="Y29" s="202"/>
      <c r="Z29" s="202"/>
      <c r="AA29" s="202"/>
      <c r="AB29" s="341"/>
      <c r="AC29" s="341"/>
      <c r="AD29" s="341"/>
      <c r="AF29" s="271"/>
      <c r="AG29" s="192"/>
      <c r="AH29" s="192"/>
      <c r="AI29" s="192"/>
      <c r="AJ29" s="192"/>
      <c r="AK29" s="192"/>
      <c r="AL29" s="192"/>
      <c r="AM29" s="192"/>
      <c r="AN29" s="192"/>
      <c r="AO29" s="192"/>
      <c r="AP29" s="192"/>
      <c r="AQ29" s="192"/>
      <c r="AR29" s="192"/>
      <c r="AS29" s="192"/>
      <c r="AT29" s="196"/>
      <c r="AU29" s="192"/>
      <c r="AV29" s="192"/>
      <c r="AW29" s="192"/>
      <c r="AX29" s="192"/>
      <c r="AY29" s="192"/>
      <c r="AZ29" s="192"/>
      <c r="BA29" s="192"/>
      <c r="BB29" s="192"/>
      <c r="BC29" s="192"/>
      <c r="BD29" s="192"/>
      <c r="BE29" s="192"/>
      <c r="BF29" s="192"/>
      <c r="BG29" s="192"/>
      <c r="BH29" s="197"/>
      <c r="BI29" s="197"/>
      <c r="BJ29" s="197"/>
      <c r="BK29" s="197"/>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30" t="s">
        <v>10578</v>
      </c>
      <c r="E30" s="330"/>
      <c r="F30" s="330"/>
      <c r="G30" s="330"/>
      <c r="H30" s="330"/>
      <c r="I30" s="330"/>
      <c r="J30" s="330"/>
      <c r="K30" s="370" t="str">
        <f>BJ45</f>
        <v/>
      </c>
      <c r="L30" s="370"/>
      <c r="M30" s="370"/>
      <c r="N30" s="370"/>
      <c r="O30" s="370"/>
      <c r="P30" s="370"/>
      <c r="Q30" s="370"/>
      <c r="R30" s="370"/>
      <c r="S30" s="370"/>
      <c r="T30" s="370"/>
      <c r="U30" s="370"/>
      <c r="V30" s="370"/>
      <c r="W30" s="370"/>
      <c r="X30" s="370"/>
      <c r="Z30" s="345" t="s">
        <v>10579</v>
      </c>
      <c r="AA30" s="345"/>
      <c r="AB30" s="374" t="str">
        <f>IF(BJ46=0,"",BJ46)</f>
        <v/>
      </c>
      <c r="AC30" s="374"/>
      <c r="AD30" s="374"/>
      <c r="AE30" s="374"/>
      <c r="AG30" s="373" t="s">
        <v>10580</v>
      </c>
      <c r="AH30" s="373"/>
      <c r="AI30" s="372" t="str">
        <f>BJ47</f>
        <v/>
      </c>
      <c r="AJ30" s="372"/>
      <c r="AK30" s="372"/>
      <c r="AL30" s="344" t="s">
        <v>10581</v>
      </c>
      <c r="AM30" s="344"/>
      <c r="AN30" s="372" t="str">
        <f>BJ48</f>
        <v/>
      </c>
      <c r="AO30" s="372"/>
      <c r="AP30" s="372"/>
      <c r="AQ30" s="192"/>
      <c r="AR30" s="192"/>
      <c r="AS30" s="196"/>
      <c r="AT30" s="196" t="str">
        <f>PROPER(BJ44)</f>
        <v/>
      </c>
      <c r="AU30" s="192"/>
      <c r="AV30" s="192"/>
      <c r="AW30" s="192"/>
      <c r="AX30" s="192"/>
      <c r="AY30" s="192"/>
      <c r="AZ30" s="192"/>
      <c r="BA30" s="192"/>
      <c r="BB30" s="192"/>
      <c r="BC30" s="192"/>
      <c r="BD30" s="192"/>
      <c r="BE30" s="192"/>
      <c r="BF30" s="192"/>
      <c r="BG30" s="192"/>
      <c r="BH30" s="197"/>
      <c r="BI30" s="197">
        <v>8</v>
      </c>
      <c r="BJ30" s="197" t="s">
        <v>189</v>
      </c>
      <c r="BK30" s="197"/>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3"/>
      <c r="E31" s="193"/>
      <c r="F31" s="193"/>
      <c r="G31" s="193"/>
      <c r="H31" s="193"/>
      <c r="I31" s="193"/>
      <c r="J31" s="201"/>
      <c r="K31" s="201"/>
      <c r="L31" s="201"/>
      <c r="M31" s="193"/>
      <c r="N31" s="193"/>
      <c r="O31" s="193"/>
      <c r="P31" s="193"/>
      <c r="Q31" s="193"/>
      <c r="R31" s="193"/>
      <c r="S31" s="193"/>
      <c r="T31" s="193"/>
      <c r="U31" s="202"/>
      <c r="V31" s="202"/>
      <c r="W31" s="202"/>
      <c r="X31" s="202"/>
      <c r="Y31" s="202"/>
      <c r="Z31" s="202"/>
      <c r="AA31" s="202"/>
      <c r="AB31" s="202"/>
      <c r="AC31" s="202"/>
      <c r="AD31" s="192"/>
      <c r="AE31" s="202"/>
      <c r="AF31" s="192"/>
      <c r="AG31" s="192"/>
      <c r="AH31" s="192"/>
      <c r="AI31" s="192"/>
      <c r="AJ31" s="192"/>
      <c r="AK31" s="192"/>
      <c r="AL31" s="192"/>
      <c r="AM31" s="192"/>
      <c r="AN31" s="192"/>
      <c r="AO31" s="192"/>
      <c r="AP31" s="192"/>
      <c r="AQ31" s="192"/>
      <c r="AR31" s="192"/>
      <c r="AS31" s="196"/>
      <c r="AT31" s="196" t="str">
        <f>PROPER(BJ43)</f>
        <v/>
      </c>
      <c r="AU31" s="192"/>
      <c r="AV31" s="192"/>
      <c r="AW31" s="192"/>
      <c r="AX31" s="192"/>
      <c r="AY31" s="192"/>
      <c r="AZ31" s="192"/>
      <c r="BA31" s="192"/>
      <c r="BB31" s="192"/>
      <c r="BC31" s="192"/>
      <c r="BD31" s="192"/>
      <c r="BE31" s="192"/>
      <c r="BF31" s="192"/>
      <c r="BG31" s="192"/>
      <c r="BH31" s="197"/>
      <c r="BI31" s="197">
        <v>9</v>
      </c>
      <c r="BJ31" s="197" t="s">
        <v>191</v>
      </c>
      <c r="BK31" s="197"/>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50" t="s">
        <v>10583</v>
      </c>
      <c r="E32" s="350"/>
      <c r="F32" s="350"/>
      <c r="G32" s="350"/>
      <c r="H32" s="350"/>
      <c r="I32" s="350"/>
      <c r="J32" s="350"/>
      <c r="K32" s="350"/>
      <c r="L32" s="350"/>
      <c r="M32" s="350"/>
      <c r="N32" s="350"/>
      <c r="O32" s="350"/>
      <c r="P32" s="350"/>
      <c r="Q32" s="350"/>
      <c r="R32" s="350"/>
      <c r="S32" s="350"/>
      <c r="T32" s="350"/>
      <c r="U32" s="202"/>
      <c r="V32" s="202"/>
      <c r="W32" s="202"/>
      <c r="X32" s="202"/>
      <c r="Y32" s="202"/>
      <c r="AF32" s="192"/>
      <c r="AG32" s="192"/>
      <c r="AH32" s="192"/>
      <c r="AI32" s="192"/>
      <c r="AJ32" s="192"/>
      <c r="AK32" s="192"/>
      <c r="AL32" s="192"/>
      <c r="AM32" s="192"/>
      <c r="AN32" s="192"/>
      <c r="AO32" s="192"/>
      <c r="AP32" s="192"/>
      <c r="AQ32" s="192"/>
      <c r="AR32" s="192"/>
      <c r="AS32" s="192"/>
      <c r="AT32" s="196" t="str">
        <f>IF(BJ51=0,"",BJ51)</f>
        <v/>
      </c>
      <c r="AU32" s="192"/>
      <c r="AV32" s="192"/>
      <c r="AW32" s="192"/>
      <c r="AX32" s="192"/>
      <c r="AY32" s="192"/>
      <c r="AZ32" s="192"/>
      <c r="BA32" s="192"/>
      <c r="BB32" s="192"/>
      <c r="BC32" s="192"/>
      <c r="BD32" s="192"/>
      <c r="BE32" s="192"/>
      <c r="BF32" s="192"/>
      <c r="BG32" s="192"/>
      <c r="BH32" s="197"/>
      <c r="BI32" s="197">
        <v>10</v>
      </c>
      <c r="BJ32" s="197" t="s">
        <v>190</v>
      </c>
      <c r="BK32" s="197"/>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61" t="str">
        <f>BI40</f>
        <v/>
      </c>
      <c r="E33" s="361"/>
      <c r="F33" s="361"/>
      <c r="G33" s="361"/>
      <c r="H33" s="361"/>
      <c r="I33" s="361"/>
      <c r="J33" s="361"/>
      <c r="K33" s="361"/>
      <c r="L33" s="361"/>
      <c r="M33" s="361"/>
      <c r="N33" s="361"/>
      <c r="O33" s="361"/>
      <c r="P33" s="361"/>
      <c r="Q33" s="361"/>
      <c r="R33" s="361"/>
      <c r="S33" s="361"/>
      <c r="T33" s="361"/>
      <c r="U33" s="361"/>
      <c r="V33" s="361"/>
      <c r="W33" s="361"/>
      <c r="X33" s="361"/>
      <c r="Y33" s="361"/>
      <c r="Z33" s="361"/>
      <c r="AA33" s="361"/>
      <c r="AB33" s="361"/>
      <c r="AC33" s="361"/>
      <c r="AD33" s="361"/>
      <c r="AE33" s="361"/>
      <c r="AF33" s="361"/>
      <c r="AG33" s="361"/>
      <c r="AH33" s="361"/>
      <c r="AI33" s="361"/>
      <c r="AJ33" s="361"/>
      <c r="AK33" s="361"/>
      <c r="AL33" s="361"/>
      <c r="AM33" s="361"/>
      <c r="AN33" s="361"/>
      <c r="AO33" s="361"/>
      <c r="AP33" s="361"/>
      <c r="AQ33" s="192"/>
      <c r="AR33" s="192"/>
      <c r="AS33" s="196"/>
      <c r="AT33" s="196" t="str">
        <f>IF(BJ38=0,"",BJ38)</f>
        <v/>
      </c>
      <c r="AU33" s="192"/>
      <c r="AV33" s="192"/>
      <c r="AW33" s="192"/>
      <c r="AX33" s="192"/>
      <c r="AY33" s="192"/>
      <c r="AZ33" s="192"/>
      <c r="BA33" s="192"/>
      <c r="BB33" s="192"/>
      <c r="BC33" s="192"/>
      <c r="BD33" s="192"/>
      <c r="BE33" s="192"/>
      <c r="BF33" s="192"/>
      <c r="BG33" s="192"/>
      <c r="BH33" s="197"/>
      <c r="BI33" s="197">
        <v>11</v>
      </c>
      <c r="BJ33" s="197" t="s">
        <v>192</v>
      </c>
      <c r="BK33" s="197"/>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61"/>
      <c r="E34" s="361"/>
      <c r="F34" s="361"/>
      <c r="G34" s="361"/>
      <c r="H34" s="361"/>
      <c r="I34" s="361"/>
      <c r="J34" s="361"/>
      <c r="K34" s="361"/>
      <c r="L34" s="361"/>
      <c r="M34" s="361"/>
      <c r="N34" s="361"/>
      <c r="O34" s="361"/>
      <c r="P34" s="361"/>
      <c r="Q34" s="361"/>
      <c r="R34" s="361"/>
      <c r="S34" s="361"/>
      <c r="T34" s="361"/>
      <c r="U34" s="361"/>
      <c r="V34" s="361"/>
      <c r="W34" s="361"/>
      <c r="X34" s="361"/>
      <c r="Y34" s="361"/>
      <c r="Z34" s="361"/>
      <c r="AA34" s="361"/>
      <c r="AB34" s="361"/>
      <c r="AC34" s="361"/>
      <c r="AD34" s="361"/>
      <c r="AE34" s="361"/>
      <c r="AF34" s="361"/>
      <c r="AG34" s="361"/>
      <c r="AH34" s="361"/>
      <c r="AI34" s="361"/>
      <c r="AJ34" s="361"/>
      <c r="AK34" s="361"/>
      <c r="AL34" s="361"/>
      <c r="AM34" s="361"/>
      <c r="AN34" s="361"/>
      <c r="AO34" s="361"/>
      <c r="AP34" s="361"/>
      <c r="AQ34" s="192"/>
      <c r="AR34" s="192"/>
      <c r="AS34" s="192"/>
      <c r="AT34" s="196"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7"/>
      <c r="BI34" s="197">
        <v>12</v>
      </c>
      <c r="BJ34" s="197" t="s">
        <v>193</v>
      </c>
      <c r="BK34" s="197"/>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61"/>
      <c r="E35" s="361"/>
      <c r="F35" s="361"/>
      <c r="G35" s="361"/>
      <c r="H35" s="361"/>
      <c r="I35" s="361"/>
      <c r="J35" s="361"/>
      <c r="K35" s="361"/>
      <c r="L35" s="361"/>
      <c r="M35" s="361"/>
      <c r="N35" s="361"/>
      <c r="O35" s="361"/>
      <c r="P35" s="361"/>
      <c r="Q35" s="361"/>
      <c r="R35" s="361"/>
      <c r="S35" s="361"/>
      <c r="T35" s="361"/>
      <c r="U35" s="361"/>
      <c r="V35" s="361"/>
      <c r="W35" s="361"/>
      <c r="X35" s="361"/>
      <c r="Y35" s="361"/>
      <c r="Z35" s="361"/>
      <c r="AA35" s="361"/>
      <c r="AB35" s="361"/>
      <c r="AC35" s="361"/>
      <c r="AD35" s="361"/>
      <c r="AE35" s="361"/>
      <c r="AF35" s="361"/>
      <c r="AG35" s="361"/>
      <c r="AH35" s="361"/>
      <c r="AI35" s="361"/>
      <c r="AJ35" s="361"/>
      <c r="AK35" s="361"/>
      <c r="AL35" s="361"/>
      <c r="AM35" s="361"/>
      <c r="AN35" s="361"/>
      <c r="AO35" s="361"/>
      <c r="AP35" s="361"/>
      <c r="AQ35" s="192"/>
      <c r="AR35" s="192"/>
      <c r="AS35" s="196"/>
      <c r="AT35" s="196"/>
      <c r="AU35" s="192"/>
      <c r="AV35" s="192"/>
      <c r="AW35" s="192"/>
      <c r="AX35" s="192"/>
      <c r="AY35" s="192"/>
      <c r="AZ35" s="192"/>
      <c r="BA35" s="192"/>
      <c r="BB35" s="192"/>
      <c r="BC35" s="192"/>
      <c r="BD35" s="192"/>
      <c r="BE35" s="192"/>
      <c r="BF35" s="192"/>
      <c r="BG35" s="192"/>
      <c r="BH35" s="197"/>
      <c r="BI35" s="197"/>
      <c r="BJ35" s="197" t="str">
        <f>IFERROR(IF(INDEX(DATOS!E:E,MATCH(VALUE(REINSCRIPCION!AU13),DATOS!C:C,0),1)=0,"",INDEX(DATOS!E:E,MATCH(VALUE(REINSCRIPCION!AU13),DATOS!C:C,0),1)),"")</f>
        <v/>
      </c>
      <c r="BK35" s="197"/>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61"/>
      <c r="E36" s="361"/>
      <c r="F36" s="361"/>
      <c r="G36" s="361"/>
      <c r="H36" s="361"/>
      <c r="I36" s="361"/>
      <c r="J36" s="361"/>
      <c r="K36" s="361"/>
      <c r="L36" s="361"/>
      <c r="M36" s="361"/>
      <c r="N36" s="361"/>
      <c r="O36" s="361"/>
      <c r="P36" s="361"/>
      <c r="Q36" s="361"/>
      <c r="R36" s="361"/>
      <c r="S36" s="361"/>
      <c r="T36" s="361"/>
      <c r="U36" s="361"/>
      <c r="V36" s="361"/>
      <c r="W36" s="361"/>
      <c r="X36" s="361"/>
      <c r="Y36" s="361"/>
      <c r="Z36" s="361"/>
      <c r="AA36" s="361"/>
      <c r="AB36" s="361"/>
      <c r="AC36" s="361"/>
      <c r="AD36" s="361"/>
      <c r="AE36" s="361"/>
      <c r="AF36" s="361"/>
      <c r="AG36" s="361"/>
      <c r="AH36" s="361"/>
      <c r="AI36" s="361"/>
      <c r="AJ36" s="361"/>
      <c r="AK36" s="361"/>
      <c r="AL36" s="361"/>
      <c r="AM36" s="361"/>
      <c r="AN36" s="361"/>
      <c r="AO36" s="361"/>
      <c r="AP36" s="361"/>
      <c r="AQ36" s="192"/>
      <c r="AR36" s="192"/>
      <c r="AS36" s="196"/>
      <c r="AT36" s="196"/>
      <c r="AU36" s="192"/>
      <c r="AV36" s="192"/>
      <c r="AW36" s="192"/>
      <c r="AX36" s="192"/>
      <c r="AY36" s="192"/>
      <c r="AZ36" s="192"/>
      <c r="BA36" s="192"/>
      <c r="BB36" s="192"/>
      <c r="BC36" s="192"/>
      <c r="BD36" s="192"/>
      <c r="BE36" s="192"/>
      <c r="BF36" s="192"/>
      <c r="BG36" s="192"/>
      <c r="BH36" s="197"/>
      <c r="BI36" s="197"/>
      <c r="BJ36" s="197" t="str">
        <f>IFERROR(IF(INDEX(DATOS!D:D,MATCH(VALUE(REINSCRIPCION!AU13),DATOS!C:C,0),1)=0,"",INDEX(DATOS!D:D,MATCH(VALUE(REINSCRIPCION!AU13),DATOS!C:C,0),1)),"")</f>
        <v/>
      </c>
      <c r="BK36" s="197"/>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3"/>
      <c r="E37" s="193"/>
      <c r="F37" s="193"/>
      <c r="G37" s="193"/>
      <c r="H37" s="193"/>
      <c r="I37" s="193"/>
      <c r="J37" s="193"/>
      <c r="K37" s="193"/>
      <c r="L37" s="193"/>
      <c r="M37" s="193"/>
      <c r="N37" s="193"/>
      <c r="O37" s="193"/>
      <c r="P37" s="193"/>
      <c r="Q37" s="193"/>
      <c r="R37" s="193"/>
      <c r="S37" s="193"/>
      <c r="T37" s="193"/>
      <c r="U37" s="202"/>
      <c r="V37" s="202"/>
      <c r="W37" s="202"/>
      <c r="X37" s="202"/>
      <c r="Y37" s="202"/>
      <c r="Z37" s="202"/>
      <c r="AA37" s="202"/>
      <c r="AB37" s="202"/>
      <c r="AC37" s="202"/>
      <c r="AD37" s="192"/>
      <c r="AE37" s="202"/>
      <c r="AF37" s="192"/>
      <c r="AG37" s="192"/>
      <c r="AH37" s="192"/>
      <c r="AI37" s="192"/>
      <c r="AJ37" s="192"/>
      <c r="AK37" s="192"/>
      <c r="AL37" s="192"/>
      <c r="AM37" s="192"/>
      <c r="AN37" s="192"/>
      <c r="AO37" s="192"/>
      <c r="AP37" s="192"/>
      <c r="AQ37" s="192"/>
      <c r="AR37" s="192"/>
      <c r="AS37" s="196"/>
      <c r="AT37" s="196"/>
      <c r="AU37" s="192"/>
      <c r="AV37" s="192"/>
      <c r="AW37" s="192"/>
      <c r="AX37" s="192"/>
      <c r="AY37" s="192"/>
      <c r="AZ37" s="192"/>
      <c r="BA37" s="192"/>
      <c r="BB37" s="192"/>
      <c r="BC37" s="192"/>
      <c r="BD37" s="192"/>
      <c r="BE37" s="192"/>
      <c r="BF37" s="192"/>
      <c r="BG37" s="192"/>
      <c r="BH37" s="197"/>
      <c r="BI37" s="197"/>
      <c r="BJ37" s="197" t="str">
        <f>IFERROR(IF(INDEX(DATOS!H:H,MATCH(VALUE(REINSCRIPCION!AU13),DATOS!C:C,0),1)=0,"",INDEX(DATOS!H:H,MATCH(VALUE(REINSCRIPCION!AU13),DATOS!C:C,0),1)),"")</f>
        <v/>
      </c>
      <c r="BK37" s="197"/>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62" t="s">
        <v>10529</v>
      </c>
      <c r="B38" s="362"/>
      <c r="C38" s="362"/>
      <c r="D38" s="362"/>
      <c r="E38" s="362"/>
      <c r="F38" s="362"/>
      <c r="G38" s="362"/>
      <c r="H38" s="362"/>
      <c r="I38" s="362"/>
      <c r="J38" s="327" t="str">
        <f>AT33</f>
        <v/>
      </c>
      <c r="K38" s="327"/>
      <c r="L38" s="327"/>
      <c r="M38" s="327"/>
      <c r="N38" s="234" t="s">
        <v>10597</v>
      </c>
      <c r="O38" s="193"/>
      <c r="P38" s="193"/>
      <c r="Q38" s="193"/>
      <c r="S38" s="193"/>
      <c r="T38" s="244" t="s">
        <v>10602</v>
      </c>
      <c r="V38" s="202"/>
      <c r="W38" s="202"/>
      <c r="X38" s="202"/>
      <c r="AC38" s="363" t="str">
        <f>IF(J38="","",BK38)</f>
        <v/>
      </c>
      <c r="AD38" s="363"/>
      <c r="AE38" s="363"/>
      <c r="AF38" s="363"/>
      <c r="AG38" s="363"/>
      <c r="AH38" s="244" t="s">
        <v>10601</v>
      </c>
      <c r="AI38" s="192"/>
      <c r="AO38" s="192"/>
      <c r="AP38" s="192"/>
      <c r="AQ38" s="192"/>
      <c r="AR38" s="192"/>
      <c r="AS38" s="215"/>
      <c r="AT38" s="215"/>
      <c r="AU38" s="215"/>
      <c r="AV38" s="215"/>
      <c r="AW38" s="192"/>
      <c r="AX38" s="192"/>
      <c r="AY38" s="192"/>
      <c r="AZ38" s="192"/>
      <c r="BA38" s="192"/>
      <c r="BB38" s="192"/>
      <c r="BC38" s="192"/>
      <c r="BD38" s="192"/>
      <c r="BE38" s="192"/>
      <c r="BF38" s="192"/>
      <c r="BG38" s="192"/>
      <c r="BH38" s="197"/>
      <c r="BI38" s="197"/>
      <c r="BJ38" s="197" t="str">
        <f>IFERROR(INDEX(DATOS!Y:Y,MATCH(VALUE(REINSCRIPCION!AU13),DATOS!C:C,0),1),"")</f>
        <v/>
      </c>
      <c r="BK38" s="216"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7"/>
      <c r="F39" s="217"/>
      <c r="G39" s="217"/>
      <c r="H39" s="217"/>
      <c r="I39" s="217"/>
      <c r="J39" s="218"/>
      <c r="K39" s="218"/>
      <c r="L39" s="218"/>
      <c r="M39" s="218"/>
      <c r="N39" s="193"/>
      <c r="O39" s="193"/>
      <c r="P39" s="193"/>
      <c r="Q39" s="193"/>
      <c r="R39" s="193"/>
      <c r="S39" s="193"/>
      <c r="T39" s="193"/>
      <c r="U39" s="202"/>
      <c r="V39" s="202"/>
      <c r="W39" s="202"/>
      <c r="X39" s="202"/>
      <c r="Y39" s="202"/>
      <c r="Z39" s="202"/>
      <c r="AA39" s="202"/>
      <c r="AB39" s="202"/>
      <c r="AC39" s="202"/>
      <c r="AD39" s="192"/>
      <c r="AE39" s="202"/>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7"/>
      <c r="BI39" s="197"/>
      <c r="BJ39" s="197" t="str">
        <f>IFERROR(IF(INDEX(DATOS!D:D,MATCH(VALUE(REINSCRIPCION!AU13),DATOS!C:C,0),1)=0,"",INDEX(DATOS!D:D,MATCH(VALUE(REINSCRIPCION!AU13),DATOS!C:C,0),1)),"")</f>
        <v/>
      </c>
      <c r="BK39" s="197"/>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199"/>
      <c r="E40" s="193"/>
      <c r="F40" s="193"/>
      <c r="G40" s="193"/>
      <c r="H40" s="193"/>
      <c r="I40" s="193"/>
      <c r="J40" s="193"/>
      <c r="K40" s="193"/>
      <c r="L40" s="193"/>
      <c r="M40" s="193"/>
      <c r="N40" s="193"/>
      <c r="O40" s="193"/>
      <c r="P40" s="193"/>
      <c r="Q40" s="193"/>
      <c r="R40" s="193"/>
      <c r="S40" s="193"/>
      <c r="T40" s="193"/>
      <c r="U40" s="202"/>
      <c r="V40" s="202"/>
      <c r="W40" s="202"/>
      <c r="X40" s="202"/>
      <c r="Y40" s="202"/>
      <c r="Z40" s="202"/>
      <c r="AA40" s="202"/>
      <c r="AB40" s="202"/>
      <c r="AC40" s="202"/>
      <c r="AD40" s="192"/>
      <c r="AE40" s="202"/>
      <c r="AF40" s="192"/>
      <c r="AG40" s="192"/>
      <c r="AH40" s="192"/>
      <c r="AI40" s="192"/>
      <c r="AJ40" s="192"/>
      <c r="AK40" s="192"/>
      <c r="AL40" s="192"/>
      <c r="AM40" s="192"/>
      <c r="AN40" s="192"/>
      <c r="AO40" s="192"/>
      <c r="AP40" s="192"/>
      <c r="AQ40" s="192"/>
      <c r="AR40" s="192"/>
      <c r="AS40" s="196"/>
      <c r="AT40" s="196"/>
      <c r="AU40" s="192"/>
      <c r="AV40" s="192"/>
      <c r="AW40" s="192"/>
      <c r="AX40" s="192"/>
      <c r="AY40" s="192"/>
      <c r="AZ40" s="192"/>
      <c r="BA40" s="192"/>
      <c r="BB40" s="192"/>
      <c r="BC40" s="192"/>
      <c r="BD40" s="192"/>
      <c r="BE40" s="192"/>
      <c r="BF40" s="192"/>
      <c r="BG40" s="192"/>
      <c r="BH40" s="196"/>
      <c r="BI40" s="192" t="str">
        <f>IFERROR(IF(INDEX(DATOS!AU:AU,MATCH(VALUE(REINSCRIPCION!AU13),DATOS!C:C,0),1)="","",INDEX(DATOS!AU:AU,MATCH(VALUE(REINSCRIPCION!AU13),DATOS!C:C,0),1)),"")</f>
        <v/>
      </c>
      <c r="BJ40" s="197"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3" t="s">
        <v>10584</v>
      </c>
      <c r="E41" s="193"/>
      <c r="F41" s="193"/>
      <c r="G41" s="193"/>
      <c r="H41" s="193"/>
      <c r="I41" s="193"/>
      <c r="J41" s="193"/>
      <c r="K41" s="193"/>
      <c r="L41" s="193"/>
      <c r="M41" s="193"/>
      <c r="N41" s="193"/>
      <c r="O41" s="193"/>
      <c r="P41" s="193"/>
      <c r="Q41" s="193"/>
      <c r="R41" s="193"/>
      <c r="S41" s="193"/>
      <c r="T41" s="193"/>
      <c r="U41" s="202"/>
      <c r="V41" s="202"/>
      <c r="W41" s="202"/>
      <c r="X41" s="202"/>
      <c r="Y41" s="202"/>
      <c r="Z41" s="202"/>
      <c r="AA41" s="202"/>
      <c r="AB41" s="202"/>
      <c r="AC41" s="202"/>
      <c r="AD41" s="192"/>
      <c r="AE41" s="202"/>
      <c r="AF41" s="192"/>
      <c r="AG41" s="192"/>
      <c r="AH41" s="192"/>
      <c r="AI41" s="192"/>
      <c r="AJ41" s="192"/>
      <c r="AK41" s="192"/>
      <c r="AL41" s="192"/>
      <c r="AM41" s="192"/>
      <c r="AN41" s="192"/>
      <c r="AO41" s="192"/>
      <c r="AP41" s="192"/>
      <c r="AQ41" s="192"/>
      <c r="AR41" s="192"/>
      <c r="AS41" s="196"/>
      <c r="AT41" s="196"/>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54" t="s">
        <v>10585</v>
      </c>
      <c r="E42" s="355"/>
      <c r="F42" s="355"/>
      <c r="G42" s="355"/>
      <c r="H42" s="355"/>
      <c r="I42" s="355"/>
      <c r="J42" s="355"/>
      <c r="K42" s="355"/>
      <c r="L42" s="355"/>
      <c r="M42" s="355"/>
      <c r="N42" s="355"/>
      <c r="O42" s="355"/>
      <c r="P42" s="355"/>
      <c r="Q42" s="355"/>
      <c r="R42" s="355"/>
      <c r="S42" s="355"/>
      <c r="T42" s="355"/>
      <c r="U42" s="355"/>
      <c r="V42" s="355"/>
      <c r="W42" s="356"/>
      <c r="X42" s="354" t="s">
        <v>10586</v>
      </c>
      <c r="Y42" s="355"/>
      <c r="Z42" s="355"/>
      <c r="AA42" s="355"/>
      <c r="AB42" s="355"/>
      <c r="AC42" s="355"/>
      <c r="AD42" s="355"/>
      <c r="AE42" s="355"/>
      <c r="AF42" s="355"/>
      <c r="AG42" s="355"/>
      <c r="AH42" s="355"/>
      <c r="AI42" s="355"/>
      <c r="AJ42" s="355"/>
      <c r="AK42" s="355"/>
      <c r="AL42" s="355"/>
      <c r="AM42" s="355"/>
      <c r="AN42" s="355"/>
      <c r="AO42" s="355"/>
      <c r="AP42" s="356"/>
      <c r="AQ42" s="192"/>
      <c r="AR42" s="192"/>
      <c r="AS42" s="196"/>
      <c r="AT42" s="196"/>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51" t="str">
        <f>PROPER(BI42)</f>
        <v/>
      </c>
      <c r="E43" s="352"/>
      <c r="F43" s="352"/>
      <c r="G43" s="352"/>
      <c r="H43" s="352"/>
      <c r="I43" s="352"/>
      <c r="J43" s="352"/>
      <c r="K43" s="352"/>
      <c r="L43" s="352"/>
      <c r="M43" s="352"/>
      <c r="N43" s="352"/>
      <c r="O43" s="352"/>
      <c r="P43" s="352"/>
      <c r="Q43" s="352"/>
      <c r="R43" s="352"/>
      <c r="S43" s="352"/>
      <c r="T43" s="352"/>
      <c r="U43" s="352"/>
      <c r="V43" s="352"/>
      <c r="W43" s="353"/>
      <c r="X43" s="351" t="str">
        <f>PROPER(BI43)</f>
        <v/>
      </c>
      <c r="Y43" s="352"/>
      <c r="Z43" s="352"/>
      <c r="AA43" s="352"/>
      <c r="AB43" s="352"/>
      <c r="AC43" s="352"/>
      <c r="AD43" s="352"/>
      <c r="AE43" s="352"/>
      <c r="AF43" s="352"/>
      <c r="AG43" s="352"/>
      <c r="AH43" s="352"/>
      <c r="AI43" s="352"/>
      <c r="AJ43" s="352"/>
      <c r="AK43" s="352"/>
      <c r="AL43" s="352"/>
      <c r="AM43" s="352"/>
      <c r="AN43" s="352"/>
      <c r="AO43" s="352"/>
      <c r="AP43" s="353"/>
      <c r="AQ43" s="192"/>
      <c r="AR43" s="192"/>
      <c r="AS43" s="196"/>
      <c r="AT43" s="196"/>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3"/>
      <c r="H44" s="192"/>
      <c r="I44" s="192"/>
      <c r="J44" s="192"/>
      <c r="K44" s="192"/>
      <c r="L44" s="192"/>
      <c r="M44" s="192"/>
      <c r="N44" s="192"/>
      <c r="O44" s="192"/>
      <c r="P44" s="192"/>
      <c r="Q44" s="192"/>
      <c r="R44" s="192"/>
      <c r="S44" s="192"/>
      <c r="T44" s="192"/>
      <c r="U44" s="220"/>
      <c r="V44" s="220"/>
      <c r="W44" s="220"/>
      <c r="X44" s="220"/>
      <c r="Y44" s="220"/>
      <c r="AF44" s="220"/>
      <c r="AG44" s="220"/>
      <c r="AH44" s="220"/>
      <c r="AI44" s="220"/>
      <c r="AJ44" s="220"/>
      <c r="AK44" s="220"/>
      <c r="AL44" s="220"/>
      <c r="AM44" s="220"/>
      <c r="AN44" s="221"/>
      <c r="AO44" s="221"/>
      <c r="AP44" s="221"/>
      <c r="AQ44" s="221"/>
      <c r="AR44" s="221"/>
      <c r="AS44" s="196"/>
      <c r="AT44" s="196"/>
      <c r="AU44" s="192"/>
      <c r="AV44" s="192"/>
      <c r="AW44" s="192"/>
      <c r="AX44" s="192"/>
      <c r="AY44" s="192">
        <f t="shared" ref="AY44:AY107" si="0">AY43+AZ44</f>
        <v>1</v>
      </c>
      <c r="AZ44" s="192">
        <f>IF(BA44="",0,1)</f>
        <v>1</v>
      </c>
      <c r="BA44" s="196">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3" t="s">
        <v>10598</v>
      </c>
      <c r="E45" s="236"/>
      <c r="F45" s="358" t="s">
        <v>10535</v>
      </c>
      <c r="G45" s="358"/>
      <c r="H45" s="236"/>
      <c r="I45" s="192"/>
      <c r="J45" s="359" t="s">
        <v>10599</v>
      </c>
      <c r="K45" s="359"/>
      <c r="L45" s="359"/>
      <c r="M45" s="359"/>
      <c r="N45" s="359"/>
      <c r="O45" s="359"/>
      <c r="P45" s="359"/>
      <c r="Q45" s="359"/>
      <c r="R45" s="359"/>
      <c r="S45" s="359"/>
      <c r="T45" s="359"/>
      <c r="U45" s="359"/>
      <c r="V45" s="359"/>
      <c r="W45" s="359"/>
      <c r="X45" s="359"/>
      <c r="Y45" s="359"/>
      <c r="Z45" s="359"/>
      <c r="AA45" s="359"/>
      <c r="AB45" s="359"/>
      <c r="AC45" s="359"/>
      <c r="AD45" s="359"/>
      <c r="AE45" s="359"/>
      <c r="AF45" s="359"/>
      <c r="AG45" s="359"/>
      <c r="AH45" s="359"/>
      <c r="AI45" s="359"/>
      <c r="AJ45" s="359"/>
      <c r="AK45" s="359"/>
      <c r="AL45" s="359"/>
      <c r="AM45" s="359"/>
      <c r="AN45" s="359"/>
      <c r="AO45" s="359"/>
      <c r="AP45" s="359"/>
      <c r="AQ45" s="192"/>
      <c r="AR45" s="192"/>
      <c r="AS45" s="196"/>
      <c r="AT45" s="196"/>
      <c r="AU45" s="192"/>
      <c r="AV45" s="192"/>
      <c r="AW45" s="192" t="str">
        <f>D53</f>
        <v/>
      </c>
      <c r="AX45" s="192"/>
      <c r="AY45" s="192">
        <f t="shared" si="0"/>
        <v>1</v>
      </c>
      <c r="AZ45" s="192">
        <f>IF(BA45="",0,IFERROR(IF(VLOOKUP(BA45,BA$44:BA44,1,0)&gt;0,0,0),1))</f>
        <v>0</v>
      </c>
      <c r="BA45" s="196">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37" t="str">
        <f>IF(BJ58=0,"",BJ58)</f>
        <v/>
      </c>
      <c r="E46" s="337"/>
      <c r="F46" s="337"/>
      <c r="G46" s="337"/>
      <c r="H46" s="337"/>
      <c r="I46" s="337"/>
      <c r="J46" s="337"/>
      <c r="K46" s="337"/>
      <c r="L46" s="337"/>
      <c r="M46" s="337"/>
      <c r="N46" s="337"/>
      <c r="O46" s="337"/>
      <c r="P46" s="337"/>
      <c r="Q46" s="337"/>
      <c r="R46" s="337"/>
      <c r="S46" s="337"/>
      <c r="T46" s="337"/>
      <c r="U46" s="337"/>
      <c r="V46" s="337"/>
      <c r="W46" s="360" t="s">
        <v>10600</v>
      </c>
      <c r="X46" s="360"/>
      <c r="Y46" s="360"/>
      <c r="Z46" s="360"/>
      <c r="AA46" s="338" t="str">
        <f>IF(BJ57=0,"",BJ57)</f>
        <v/>
      </c>
      <c r="AB46" s="338"/>
      <c r="AC46" s="338"/>
      <c r="AD46" s="338"/>
      <c r="AE46" s="338"/>
      <c r="AF46" s="338"/>
      <c r="AG46" s="338"/>
      <c r="AH46" s="220"/>
      <c r="AI46" s="220"/>
      <c r="AJ46" s="220"/>
      <c r="AK46" s="220"/>
      <c r="AL46" s="220"/>
      <c r="AM46" s="220"/>
      <c r="AN46" s="221"/>
      <c r="AO46" s="221"/>
      <c r="AP46" s="221"/>
      <c r="AQ46" s="192"/>
      <c r="AR46" s="192"/>
      <c r="AS46" s="196"/>
      <c r="AT46" s="196"/>
      <c r="AU46" s="192"/>
      <c r="AV46" s="192">
        <v>1</v>
      </c>
      <c r="AW46" s="196">
        <f t="shared" ref="AW46:AW53" si="1">IFERROR(VLOOKUP(AV46,AY$44:BA$3376,3,0),"")</f>
        <v>0</v>
      </c>
      <c r="AX46" s="192"/>
      <c r="AY46" s="192">
        <f>AY45+AZ46</f>
        <v>1</v>
      </c>
      <c r="AZ46" s="192">
        <f>IF(BA46="",0,IFERROR(IF(VLOOKUP(BA46,BA$44:BA45,1,0)&gt;0,0,0),1))</f>
        <v>0</v>
      </c>
      <c r="BA46" s="196">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0"/>
      <c r="V47" s="220"/>
      <c r="W47" s="220"/>
      <c r="X47" s="220"/>
      <c r="Y47" s="220"/>
      <c r="AF47" s="220"/>
      <c r="AG47" s="220"/>
      <c r="AH47" s="220"/>
      <c r="AI47" s="220"/>
      <c r="AJ47" s="220"/>
      <c r="AK47" s="220"/>
      <c r="AL47" s="220"/>
      <c r="AM47" s="220"/>
      <c r="AN47" s="221"/>
      <c r="AO47" s="221"/>
      <c r="AP47" s="221"/>
      <c r="AQ47" s="192"/>
      <c r="AR47" s="192"/>
      <c r="AS47" s="196"/>
      <c r="AT47" s="196"/>
      <c r="AU47" s="192"/>
      <c r="AV47" s="192">
        <v>2</v>
      </c>
      <c r="AW47" s="196" t="str">
        <f t="shared" si="1"/>
        <v/>
      </c>
      <c r="AX47" s="192"/>
      <c r="AY47" s="192">
        <f t="shared" si="0"/>
        <v>1</v>
      </c>
      <c r="AZ47" s="192">
        <f>IF(BA47="",0,IFERROR(IF(VLOOKUP(BA47,BA$44:BA46,1,0)&gt;0,0,0),1))</f>
        <v>0</v>
      </c>
      <c r="BA47" s="196">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2" t="s">
        <v>10438</v>
      </c>
      <c r="E48" s="222"/>
      <c r="F48" s="194"/>
      <c r="G48" s="194"/>
      <c r="H48" s="194"/>
      <c r="I48" s="194"/>
      <c r="J48" s="193"/>
      <c r="K48" s="193"/>
      <c r="L48" s="193"/>
      <c r="M48" s="193"/>
      <c r="N48" s="193"/>
      <c r="O48" s="193"/>
      <c r="P48" s="193"/>
      <c r="Q48" s="194"/>
      <c r="R48" s="193"/>
      <c r="S48" s="194"/>
      <c r="T48" s="193"/>
      <c r="U48" s="202"/>
      <c r="V48" s="202"/>
      <c r="W48" s="202"/>
      <c r="X48" s="202"/>
      <c r="Y48" s="202"/>
      <c r="Z48" s="202"/>
      <c r="AA48" s="202"/>
      <c r="AB48" s="202"/>
      <c r="AC48" s="202"/>
      <c r="AD48" s="192"/>
      <c r="AE48" s="202"/>
      <c r="AF48" s="192"/>
      <c r="AG48" s="192"/>
      <c r="AH48" s="192"/>
      <c r="AI48" s="192"/>
      <c r="AJ48" s="192"/>
      <c r="AK48" s="192"/>
      <c r="AL48" s="192"/>
      <c r="AM48" s="192"/>
      <c r="AN48" s="192"/>
      <c r="AO48" s="192"/>
      <c r="AP48" s="192"/>
      <c r="AQ48" s="192"/>
      <c r="AR48" s="192"/>
      <c r="AS48" s="196"/>
      <c r="AT48" s="196"/>
      <c r="AU48" s="192"/>
      <c r="AV48" s="192">
        <v>3</v>
      </c>
      <c r="AW48" s="196" t="str">
        <f t="shared" si="1"/>
        <v/>
      </c>
      <c r="AX48" s="192"/>
      <c r="AY48" s="192">
        <f t="shared" si="0"/>
        <v>1</v>
      </c>
      <c r="AZ48" s="192">
        <f>IF(BA48="",0,IFERROR(IF(VLOOKUP(BA48,BA$44:BA47,1,0)&gt;0,0,0),1))</f>
        <v>0</v>
      </c>
      <c r="BA48" s="196">
        <f>IF(DATOS!J6=AW$45,DATOS!C6,"")</f>
        <v>0</v>
      </c>
      <c r="BB48" s="192"/>
      <c r="BC48" s="192"/>
      <c r="BD48" s="192"/>
      <c r="BE48" s="192"/>
      <c r="BF48" s="196"/>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49" t="s">
        <v>10587</v>
      </c>
      <c r="E49" s="349"/>
      <c r="F49" s="349"/>
      <c r="G49" s="349"/>
      <c r="H49" s="349"/>
      <c r="I49" s="349"/>
      <c r="J49" s="349"/>
      <c r="K49" s="193"/>
      <c r="L49" s="193"/>
      <c r="M49" s="193"/>
      <c r="N49" s="193"/>
      <c r="O49" s="193"/>
      <c r="U49" s="202"/>
      <c r="V49" s="202"/>
      <c r="W49" s="202"/>
      <c r="X49" s="202"/>
      <c r="Y49" s="202"/>
      <c r="Z49" s="202"/>
      <c r="AA49" s="246"/>
      <c r="AB49" s="247"/>
      <c r="AC49" s="332" t="s">
        <v>10590</v>
      </c>
      <c r="AD49" s="333"/>
      <c r="AE49" s="333"/>
      <c r="AF49" s="333"/>
      <c r="AG49" s="333"/>
      <c r="AH49" s="333"/>
      <c r="AI49" s="333"/>
      <c r="AJ49" s="333"/>
      <c r="AK49" s="333"/>
      <c r="AL49" s="333"/>
      <c r="AM49" s="333"/>
      <c r="AN49" s="333"/>
      <c r="AO49" s="333"/>
      <c r="AP49" s="334"/>
      <c r="AQ49" s="192"/>
      <c r="AR49" s="192"/>
      <c r="AS49" s="196"/>
      <c r="AT49" s="196"/>
      <c r="AU49" s="192"/>
      <c r="AV49" s="192">
        <v>4</v>
      </c>
      <c r="AW49" s="196" t="str">
        <f t="shared" si="1"/>
        <v/>
      </c>
      <c r="AX49" s="192"/>
      <c r="AY49" s="192">
        <f t="shared" si="0"/>
        <v>1</v>
      </c>
      <c r="AZ49" s="192">
        <f>IF(BA49="",0,IFERROR(IF(VLOOKUP(BA49,BA$44:BA48,1,0)&gt;0,0,0),1))</f>
        <v>0</v>
      </c>
      <c r="BA49" s="196">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2"/>
      <c r="E50" s="202"/>
      <c r="F50" s="192"/>
      <c r="G50" s="202"/>
      <c r="H50" s="192"/>
      <c r="I50" s="192"/>
      <c r="J50" s="192"/>
      <c r="K50" s="222"/>
      <c r="L50" s="222"/>
      <c r="M50" s="193"/>
      <c r="N50" s="193"/>
      <c r="O50" s="193"/>
      <c r="U50" s="202"/>
      <c r="V50" s="202"/>
      <c r="W50" s="202"/>
      <c r="X50" s="202"/>
      <c r="Y50" s="202"/>
      <c r="Z50" s="202"/>
      <c r="AA50" s="208"/>
      <c r="AB50" s="208"/>
      <c r="AC50" s="251"/>
      <c r="AD50" s="248"/>
      <c r="AE50" s="248"/>
      <c r="AF50" s="248"/>
      <c r="AG50" s="248"/>
      <c r="AH50" s="248"/>
      <c r="AI50" s="248"/>
      <c r="AJ50" s="248"/>
      <c r="AK50" s="248"/>
      <c r="AL50" s="248"/>
      <c r="AM50" s="248"/>
      <c r="AN50" s="248"/>
      <c r="AO50" s="248"/>
      <c r="AP50" s="252"/>
      <c r="AQ50" s="192"/>
      <c r="AR50" s="192"/>
      <c r="AS50" s="196"/>
      <c r="AT50" s="196"/>
      <c r="AU50" s="192"/>
      <c r="AV50" s="192">
        <v>5</v>
      </c>
      <c r="AW50" s="196" t="str">
        <f t="shared" si="1"/>
        <v/>
      </c>
      <c r="AX50" s="192"/>
      <c r="AY50" s="192">
        <f t="shared" si="0"/>
        <v>1</v>
      </c>
      <c r="AZ50" s="192">
        <f>IF(BA50="",0,IFERROR(IF(VLOOKUP(BA50,BA$44:BA49,1,0)&gt;0,0,0),1))</f>
        <v>0</v>
      </c>
      <c r="BA50" s="196">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4"/>
      <c r="E51" s="194"/>
      <c r="F51" s="193"/>
      <c r="G51" s="194"/>
      <c r="H51" s="367"/>
      <c r="I51" s="367"/>
      <c r="J51" s="367"/>
      <c r="K51" s="367"/>
      <c r="L51" s="367"/>
      <c r="M51" s="367"/>
      <c r="N51" s="193"/>
      <c r="O51" s="193"/>
      <c r="U51" s="202"/>
      <c r="V51" s="202"/>
      <c r="W51" s="202"/>
      <c r="X51" s="202"/>
      <c r="Y51" s="202"/>
      <c r="Z51" s="202"/>
      <c r="AA51" s="223"/>
      <c r="AB51" s="223"/>
      <c r="AC51" s="253"/>
      <c r="AD51" s="249"/>
      <c r="AE51" s="249"/>
      <c r="AF51" s="248"/>
      <c r="AG51" s="248"/>
      <c r="AH51" s="248"/>
      <c r="AI51" s="248"/>
      <c r="AJ51" s="248"/>
      <c r="AK51" s="248"/>
      <c r="AL51" s="248"/>
      <c r="AM51" s="248"/>
      <c r="AN51" s="248"/>
      <c r="AO51" s="248"/>
      <c r="AP51" s="252"/>
      <c r="AQ51" s="192"/>
      <c r="AR51" s="192"/>
      <c r="AS51" s="196"/>
      <c r="AT51" s="196"/>
      <c r="AU51" s="192"/>
      <c r="AV51" s="192">
        <v>6</v>
      </c>
      <c r="AW51" s="196" t="str">
        <f t="shared" si="1"/>
        <v/>
      </c>
      <c r="AX51" s="192"/>
      <c r="AY51" s="192">
        <f t="shared" si="0"/>
        <v>1</v>
      </c>
      <c r="AZ51" s="192">
        <f>IF(BA51="",0,IFERROR(IF(VLOOKUP(BA51,BA$44:BA50,1,0)&gt;0,0,0),1))</f>
        <v>0</v>
      </c>
      <c r="BA51" s="196">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4"/>
      <c r="E52" s="224"/>
      <c r="F52" s="225"/>
      <c r="G52" s="224"/>
      <c r="H52" s="225"/>
      <c r="I52" s="225"/>
      <c r="J52" s="225"/>
      <c r="K52" s="225"/>
      <c r="L52" s="225"/>
      <c r="M52" s="225"/>
      <c r="N52" s="225"/>
      <c r="O52" s="225"/>
      <c r="P52" s="195"/>
      <c r="Q52" s="195"/>
      <c r="R52" s="195"/>
      <c r="S52" s="195"/>
      <c r="T52" s="195"/>
      <c r="U52" s="241"/>
      <c r="V52" s="202"/>
      <c r="W52" s="202"/>
      <c r="X52" s="202"/>
      <c r="Y52" s="202"/>
      <c r="Z52" s="202"/>
      <c r="AA52" s="223"/>
      <c r="AB52" s="223"/>
      <c r="AC52" s="253"/>
      <c r="AD52" s="249"/>
      <c r="AE52" s="249"/>
      <c r="AF52" s="248"/>
      <c r="AG52" s="248"/>
      <c r="AH52" s="248"/>
      <c r="AI52" s="248"/>
      <c r="AJ52" s="248"/>
      <c r="AK52" s="248"/>
      <c r="AL52" s="248"/>
      <c r="AM52" s="248"/>
      <c r="AN52" s="248"/>
      <c r="AO52" s="248"/>
      <c r="AP52" s="252"/>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39" t="str">
        <f>REPORTE!C20</f>
        <v/>
      </c>
      <c r="E53" s="339"/>
      <c r="F53" s="339"/>
      <c r="G53" s="339"/>
      <c r="H53" s="339"/>
      <c r="I53" s="339"/>
      <c r="J53" s="339"/>
      <c r="K53" s="339"/>
      <c r="L53" s="339"/>
      <c r="M53" s="339"/>
      <c r="N53" s="339"/>
      <c r="O53" s="339"/>
      <c r="P53" s="339"/>
      <c r="Q53" s="339"/>
      <c r="R53" s="339"/>
      <c r="S53" s="339"/>
      <c r="T53" s="339"/>
      <c r="U53" s="339"/>
      <c r="V53" s="202"/>
      <c r="W53" s="202"/>
      <c r="X53" s="202"/>
      <c r="Y53" s="202"/>
      <c r="Z53" s="202"/>
      <c r="AA53" s="235"/>
      <c r="AB53" s="235"/>
      <c r="AC53" s="254"/>
      <c r="AD53" s="250"/>
      <c r="AE53" s="250"/>
      <c r="AF53" s="248"/>
      <c r="AG53" s="248"/>
      <c r="AH53" s="248"/>
      <c r="AI53" s="248"/>
      <c r="AJ53" s="248"/>
      <c r="AK53" s="248"/>
      <c r="AL53" s="248"/>
      <c r="AM53" s="248"/>
      <c r="AN53" s="248"/>
      <c r="AO53" s="248"/>
      <c r="AP53" s="252"/>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40" t="str">
        <f>IF(TIPODEPERSONA="MORAL","REPRESENTANTE: "&amp;SUBSTITUTE(IFERROR(INDEX(DATOS!P:P,MATCH(IF(AM4="SI",VALUE(C21),VALUE(REPORTE!C22)),DATOS!BY:BY,0),1),""),";","",1),"")</f>
        <v/>
      </c>
      <c r="E54" s="340"/>
      <c r="F54" s="340"/>
      <c r="G54" s="340"/>
      <c r="H54" s="340"/>
      <c r="I54" s="340"/>
      <c r="J54" s="340"/>
      <c r="K54" s="340"/>
      <c r="L54" s="340"/>
      <c r="M54" s="340"/>
      <c r="N54" s="340"/>
      <c r="O54" s="340"/>
      <c r="P54" s="340"/>
      <c r="Q54" s="340"/>
      <c r="R54" s="340"/>
      <c r="S54" s="340"/>
      <c r="T54" s="340"/>
      <c r="U54" s="340"/>
      <c r="V54" s="340"/>
      <c r="W54" s="340"/>
      <c r="X54" s="340"/>
      <c r="Y54" s="340"/>
      <c r="Z54" s="340"/>
      <c r="AA54" s="208"/>
      <c r="AB54" s="208"/>
      <c r="AC54" s="251"/>
      <c r="AD54" s="248"/>
      <c r="AE54" s="248"/>
      <c r="AF54" s="248"/>
      <c r="AG54" s="248"/>
      <c r="AH54" s="248"/>
      <c r="AI54" s="248"/>
      <c r="AJ54" s="248"/>
      <c r="AK54" s="248"/>
      <c r="AL54" s="248"/>
      <c r="AM54" s="248"/>
      <c r="AN54" s="248"/>
      <c r="AO54" s="248"/>
      <c r="AP54" s="252"/>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8"/>
      <c r="BM54" s="348"/>
      <c r="BN54" s="348"/>
      <c r="BQ54" s="156" t="str">
        <f>IFERROR(IF(INDEX(DATOS!AF:AF,MATCH(#REF!,DATOS!J:J,0),1)=0,"",INDEX(DATOS!AF:AF,MATCH(#REF!,DATOS!J:J,0),1)),"")</f>
        <v/>
      </c>
    </row>
    <row r="55" spans="1:104" ht="15" x14ac:dyDescent="0.3">
      <c r="A55" s="152"/>
      <c r="B55" s="152"/>
      <c r="C55" s="152"/>
      <c r="D55" s="357" t="s">
        <v>10589</v>
      </c>
      <c r="E55" s="357"/>
      <c r="F55" s="357"/>
      <c r="G55" s="357"/>
      <c r="H55" s="357"/>
      <c r="I55" s="357"/>
      <c r="J55" s="357"/>
      <c r="K55" s="357"/>
      <c r="L55" s="357"/>
      <c r="M55" s="357"/>
      <c r="N55" s="357"/>
      <c r="O55" s="357"/>
      <c r="P55" s="357"/>
      <c r="Q55" s="357"/>
      <c r="R55" s="357"/>
      <c r="S55" s="357"/>
      <c r="T55" s="357"/>
      <c r="U55" s="357"/>
      <c r="V55" s="357"/>
      <c r="AA55" s="246"/>
      <c r="AB55" s="246"/>
      <c r="AC55" s="255"/>
      <c r="AD55" s="256"/>
      <c r="AE55" s="257"/>
      <c r="AF55" s="256"/>
      <c r="AG55" s="256"/>
      <c r="AH55" s="256"/>
      <c r="AI55" s="256"/>
      <c r="AJ55" s="256"/>
      <c r="AK55" s="256"/>
      <c r="AL55" s="256"/>
      <c r="AM55" s="256"/>
      <c r="AN55" s="256"/>
      <c r="AO55" s="256"/>
      <c r="AP55" s="258"/>
      <c r="AQ55" s="152"/>
      <c r="AR55" s="152"/>
      <c r="AS55" s="365"/>
      <c r="AT55" s="365"/>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8"/>
      <c r="BM55" s="348"/>
      <c r="BN55" s="348"/>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8"/>
      <c r="BL56" s="348"/>
      <c r="BM56" s="348"/>
      <c r="BN56" s="348"/>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31" t="s">
        <v>10588</v>
      </c>
      <c r="N58" s="331"/>
      <c r="O58" s="331"/>
      <c r="P58" s="331"/>
      <c r="Q58" s="331"/>
      <c r="R58" s="331"/>
      <c r="S58" s="331"/>
      <c r="T58" s="331"/>
      <c r="U58" s="331"/>
      <c r="V58" s="331"/>
      <c r="W58" s="331"/>
      <c r="X58" s="331"/>
      <c r="Y58" s="331"/>
      <c r="Z58" s="331"/>
      <c r="AA58" s="331"/>
      <c r="AB58" s="331"/>
      <c r="AC58" s="331"/>
      <c r="AD58" s="331"/>
      <c r="AE58" s="331"/>
      <c r="AF58" s="331"/>
      <c r="AG58" s="331"/>
      <c r="AH58" s="331"/>
      <c r="AI58" s="331"/>
      <c r="AJ58" s="331"/>
      <c r="AK58" s="331"/>
      <c r="AL58" s="331"/>
      <c r="AM58" s="331"/>
      <c r="AN58" s="331"/>
      <c r="AO58" s="331"/>
      <c r="AP58" s="331"/>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46"/>
      <c r="W63" s="346"/>
      <c r="X63" s="346"/>
      <c r="Y63" s="346"/>
      <c r="Z63" s="346"/>
      <c r="AA63" s="346"/>
      <c r="AB63" s="346"/>
      <c r="AC63" s="346"/>
      <c r="AD63" s="346"/>
      <c r="AE63" s="346"/>
      <c r="AF63" s="154"/>
      <c r="AG63" s="154"/>
      <c r="AH63" s="152"/>
      <c r="AI63" s="346"/>
      <c r="AJ63" s="346"/>
      <c r="AK63" s="346"/>
      <c r="AL63" s="346"/>
      <c r="AM63" s="161"/>
      <c r="AN63" s="347"/>
      <c r="AO63" s="347"/>
      <c r="AP63" s="347"/>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46"/>
      <c r="W64" s="346"/>
      <c r="X64" s="346"/>
      <c r="Y64" s="346"/>
      <c r="Z64" s="346"/>
      <c r="AA64" s="346"/>
      <c r="AB64" s="346"/>
      <c r="AC64" s="346"/>
      <c r="AD64" s="346"/>
      <c r="AE64" s="346"/>
      <c r="AF64" s="154"/>
      <c r="AG64" s="154"/>
      <c r="AH64" s="152"/>
      <c r="AI64" s="346"/>
      <c r="AJ64" s="346"/>
      <c r="AK64" s="346"/>
      <c r="AL64" s="346"/>
      <c r="AM64" s="161"/>
      <c r="AN64" s="347"/>
      <c r="AO64" s="347"/>
      <c r="AP64" s="347"/>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46"/>
      <c r="W65" s="346"/>
      <c r="X65" s="346"/>
      <c r="Y65" s="346"/>
      <c r="Z65" s="346"/>
      <c r="AA65" s="346"/>
      <c r="AB65" s="346"/>
      <c r="AC65" s="346"/>
      <c r="AD65" s="346"/>
      <c r="AE65" s="346"/>
      <c r="AF65" s="154"/>
      <c r="AG65" s="154"/>
      <c r="AH65" s="152"/>
      <c r="AI65" s="346"/>
      <c r="AJ65" s="346"/>
      <c r="AK65" s="346"/>
      <c r="AL65" s="346"/>
      <c r="AM65" s="161"/>
      <c r="AN65" s="347"/>
      <c r="AO65" s="347"/>
      <c r="AP65" s="347"/>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46"/>
      <c r="W66" s="346"/>
      <c r="X66" s="346"/>
      <c r="Y66" s="346"/>
      <c r="Z66" s="346"/>
      <c r="AA66" s="346"/>
      <c r="AB66" s="346"/>
      <c r="AC66" s="346"/>
      <c r="AD66" s="346"/>
      <c r="AE66" s="346"/>
      <c r="AF66" s="154"/>
      <c r="AG66" s="154"/>
      <c r="AH66" s="152"/>
      <c r="AI66" s="346"/>
      <c r="AJ66" s="346"/>
      <c r="AK66" s="346"/>
      <c r="AL66" s="346"/>
      <c r="AM66" s="161"/>
      <c r="AN66" s="347"/>
      <c r="AO66" s="347"/>
      <c r="AP66" s="347"/>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46"/>
      <c r="W67" s="346"/>
      <c r="X67" s="346"/>
      <c r="Y67" s="346"/>
      <c r="Z67" s="346"/>
      <c r="AA67" s="346"/>
      <c r="AB67" s="346"/>
      <c r="AC67" s="346"/>
      <c r="AD67" s="346"/>
      <c r="AE67" s="346"/>
      <c r="AF67" s="154"/>
      <c r="AG67" s="154"/>
      <c r="AH67" s="152"/>
      <c r="AI67" s="346"/>
      <c r="AJ67" s="346"/>
      <c r="AK67" s="346"/>
      <c r="AL67" s="346"/>
      <c r="AM67" s="161"/>
      <c r="AN67" s="347"/>
      <c r="AO67" s="347"/>
      <c r="AP67" s="347"/>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46"/>
      <c r="W68" s="346"/>
      <c r="X68" s="346"/>
      <c r="Y68" s="346"/>
      <c r="Z68" s="346"/>
      <c r="AA68" s="346"/>
      <c r="AB68" s="346"/>
      <c r="AC68" s="346"/>
      <c r="AD68" s="346"/>
      <c r="AE68" s="346"/>
      <c r="AF68" s="154"/>
      <c r="AG68" s="154"/>
      <c r="AH68" s="152"/>
      <c r="AI68" s="346"/>
      <c r="AJ68" s="346"/>
      <c r="AK68" s="346"/>
      <c r="AL68" s="346"/>
      <c r="AM68" s="161"/>
      <c r="AN68" s="347"/>
      <c r="AO68" s="347"/>
      <c r="AP68" s="347"/>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46"/>
      <c r="W69" s="346"/>
      <c r="X69" s="346"/>
      <c r="Y69" s="346"/>
      <c r="Z69" s="346"/>
      <c r="AA69" s="346"/>
      <c r="AB69" s="346"/>
      <c r="AC69" s="346"/>
      <c r="AD69" s="346"/>
      <c r="AE69" s="346"/>
      <c r="AF69" s="154"/>
      <c r="AG69" s="154"/>
      <c r="AH69" s="152"/>
      <c r="AI69" s="346"/>
      <c r="AJ69" s="346"/>
      <c r="AK69" s="346"/>
      <c r="AL69" s="346"/>
      <c r="AM69" s="161"/>
      <c r="AN69" s="347"/>
      <c r="AO69" s="347"/>
      <c r="AP69" s="347"/>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46"/>
      <c r="W70" s="346"/>
      <c r="X70" s="346"/>
      <c r="Y70" s="346"/>
      <c r="Z70" s="346"/>
      <c r="AA70" s="346"/>
      <c r="AB70" s="346"/>
      <c r="AC70" s="346"/>
      <c r="AD70" s="346"/>
      <c r="AE70" s="346"/>
      <c r="AF70" s="154"/>
      <c r="AG70" s="154"/>
      <c r="AH70" s="152"/>
      <c r="AI70" s="346"/>
      <c r="AJ70" s="346"/>
      <c r="AK70" s="346"/>
      <c r="AL70" s="346"/>
      <c r="AM70" s="161"/>
      <c r="AN70" s="347"/>
      <c r="AO70" s="347"/>
      <c r="AP70" s="347"/>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46"/>
      <c r="W71" s="346"/>
      <c r="X71" s="346"/>
      <c r="Y71" s="346"/>
      <c r="Z71" s="346"/>
      <c r="AA71" s="346"/>
      <c r="AB71" s="346"/>
      <c r="AC71" s="346"/>
      <c r="AD71" s="346"/>
      <c r="AE71" s="346"/>
      <c r="AF71" s="154"/>
      <c r="AG71" s="154"/>
      <c r="AH71" s="152"/>
      <c r="AI71" s="346"/>
      <c r="AJ71" s="346"/>
      <c r="AK71" s="346"/>
      <c r="AL71" s="346"/>
      <c r="AM71" s="161"/>
      <c r="AN71" s="347"/>
      <c r="AO71" s="347"/>
      <c r="AP71" s="347"/>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46"/>
      <c r="W72" s="346"/>
      <c r="X72" s="346"/>
      <c r="Y72" s="346"/>
      <c r="Z72" s="346"/>
      <c r="AA72" s="346"/>
      <c r="AB72" s="346"/>
      <c r="AC72" s="346"/>
      <c r="AD72" s="346"/>
      <c r="AE72" s="346"/>
      <c r="AF72" s="154"/>
      <c r="AG72" s="154"/>
      <c r="AH72" s="152"/>
      <c r="AI72" s="346"/>
      <c r="AJ72" s="346"/>
      <c r="AK72" s="346"/>
      <c r="AL72" s="346"/>
      <c r="AM72" s="161"/>
      <c r="AN72" s="347"/>
      <c r="AO72" s="347"/>
      <c r="AP72" s="347"/>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46"/>
      <c r="W73" s="346"/>
      <c r="X73" s="346"/>
      <c r="Y73" s="346"/>
      <c r="Z73" s="346"/>
      <c r="AA73" s="346"/>
      <c r="AB73" s="346"/>
      <c r="AC73" s="346"/>
      <c r="AD73" s="346"/>
      <c r="AE73" s="346"/>
      <c r="AF73" s="154"/>
      <c r="AG73" s="154"/>
      <c r="AH73" s="152"/>
      <c r="AI73" s="346"/>
      <c r="AJ73" s="346"/>
      <c r="AK73" s="346"/>
      <c r="AL73" s="346"/>
      <c r="AM73" s="161"/>
      <c r="AN73" s="347"/>
      <c r="AO73" s="347"/>
      <c r="AP73" s="347"/>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46"/>
      <c r="W74" s="346"/>
      <c r="X74" s="346"/>
      <c r="Y74" s="346"/>
      <c r="Z74" s="346"/>
      <c r="AA74" s="346"/>
      <c r="AB74" s="346"/>
      <c r="AC74" s="346"/>
      <c r="AD74" s="346"/>
      <c r="AE74" s="346"/>
      <c r="AF74" s="154"/>
      <c r="AG74" s="154"/>
      <c r="AH74" s="152"/>
      <c r="AI74" s="346"/>
      <c r="AJ74" s="346"/>
      <c r="AK74" s="346"/>
      <c r="AL74" s="346"/>
      <c r="AM74" s="161"/>
      <c r="AN74" s="347"/>
      <c r="AO74" s="347"/>
      <c r="AP74" s="347"/>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46"/>
      <c r="W75" s="346"/>
      <c r="X75" s="346"/>
      <c r="Y75" s="346"/>
      <c r="Z75" s="346"/>
      <c r="AA75" s="346"/>
      <c r="AB75" s="346"/>
      <c r="AC75" s="346"/>
      <c r="AD75" s="346"/>
      <c r="AE75" s="346"/>
      <c r="AF75" s="154"/>
      <c r="AG75" s="154"/>
      <c r="AH75" s="152"/>
      <c r="AI75" s="346"/>
      <c r="AJ75" s="346"/>
      <c r="AK75" s="346"/>
      <c r="AL75" s="346"/>
      <c r="AM75" s="161"/>
      <c r="AN75" s="347"/>
      <c r="AO75" s="347"/>
      <c r="AP75" s="347"/>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46"/>
      <c r="W76" s="346"/>
      <c r="X76" s="346"/>
      <c r="Y76" s="346"/>
      <c r="Z76" s="346"/>
      <c r="AA76" s="346"/>
      <c r="AB76" s="346"/>
      <c r="AC76" s="346"/>
      <c r="AD76" s="346"/>
      <c r="AE76" s="346"/>
      <c r="AF76" s="154"/>
      <c r="AG76" s="154"/>
      <c r="AH76" s="152"/>
      <c r="AI76" s="346"/>
      <c r="AJ76" s="346"/>
      <c r="AK76" s="346"/>
      <c r="AL76" s="346"/>
      <c r="AM76" s="161"/>
      <c r="AN76" s="347"/>
      <c r="AO76" s="347"/>
      <c r="AP76" s="347"/>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46"/>
      <c r="W77" s="346"/>
      <c r="X77" s="346"/>
      <c r="Y77" s="346"/>
      <c r="Z77" s="346"/>
      <c r="AA77" s="346"/>
      <c r="AB77" s="346"/>
      <c r="AC77" s="346"/>
      <c r="AD77" s="346"/>
      <c r="AE77" s="346"/>
      <c r="AF77" s="154"/>
      <c r="AG77" s="154"/>
      <c r="AH77" s="152"/>
      <c r="AI77" s="346"/>
      <c r="AJ77" s="346"/>
      <c r="AK77" s="346"/>
      <c r="AL77" s="346"/>
      <c r="AM77" s="161"/>
      <c r="AN77" s="347"/>
      <c r="AO77" s="347"/>
      <c r="AP77" s="347"/>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46"/>
      <c r="W78" s="346"/>
      <c r="X78" s="346"/>
      <c r="Y78" s="346"/>
      <c r="Z78" s="346"/>
      <c r="AA78" s="346"/>
      <c r="AB78" s="346"/>
      <c r="AC78" s="346"/>
      <c r="AD78" s="346"/>
      <c r="AE78" s="346"/>
      <c r="AF78" s="154"/>
      <c r="AG78" s="154"/>
      <c r="AH78" s="152"/>
      <c r="AI78" s="346"/>
      <c r="AJ78" s="346"/>
      <c r="AK78" s="346"/>
      <c r="AL78" s="346"/>
      <c r="AM78" s="161"/>
      <c r="AN78" s="347"/>
      <c r="AO78" s="347"/>
      <c r="AP78" s="347"/>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46"/>
      <c r="W79" s="346"/>
      <c r="X79" s="346"/>
      <c r="Y79" s="346"/>
      <c r="Z79" s="346"/>
      <c r="AA79" s="346"/>
      <c r="AB79" s="346"/>
      <c r="AC79" s="346"/>
      <c r="AD79" s="346"/>
      <c r="AE79" s="346"/>
      <c r="AF79" s="154"/>
      <c r="AG79" s="154"/>
      <c r="AH79" s="152"/>
      <c r="AI79" s="346"/>
      <c r="AJ79" s="346"/>
      <c r="AK79" s="346"/>
      <c r="AL79" s="346"/>
      <c r="AM79" s="161"/>
      <c r="AN79" s="347"/>
      <c r="AO79" s="347"/>
      <c r="AP79" s="347"/>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46"/>
      <c r="W80" s="346"/>
      <c r="X80" s="346"/>
      <c r="Y80" s="346"/>
      <c r="Z80" s="346"/>
      <c r="AA80" s="346"/>
      <c r="AB80" s="346"/>
      <c r="AC80" s="346"/>
      <c r="AD80" s="346"/>
      <c r="AE80" s="346"/>
      <c r="AF80" s="154"/>
      <c r="AG80" s="154"/>
      <c r="AH80" s="152"/>
      <c r="AI80" s="346"/>
      <c r="AJ80" s="346"/>
      <c r="AK80" s="346"/>
      <c r="AL80" s="346"/>
      <c r="AM80" s="161"/>
      <c r="AN80" s="347"/>
      <c r="AO80" s="347"/>
      <c r="AP80" s="347"/>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46"/>
      <c r="W81" s="346"/>
      <c r="X81" s="346"/>
      <c r="Y81" s="346"/>
      <c r="Z81" s="346"/>
      <c r="AA81" s="346"/>
      <c r="AB81" s="346"/>
      <c r="AC81" s="346"/>
      <c r="AD81" s="346"/>
      <c r="AE81" s="346"/>
      <c r="AF81" s="154"/>
      <c r="AG81" s="154"/>
      <c r="AH81" s="152"/>
      <c r="AI81" s="346"/>
      <c r="AJ81" s="346"/>
      <c r="AK81" s="346"/>
      <c r="AL81" s="346"/>
      <c r="AM81" s="161"/>
      <c r="AN81" s="347"/>
      <c r="AO81" s="347"/>
      <c r="AP81" s="347"/>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46"/>
      <c r="W82" s="346"/>
      <c r="X82" s="346"/>
      <c r="Y82" s="346"/>
      <c r="Z82" s="346"/>
      <c r="AA82" s="346"/>
      <c r="AB82" s="346"/>
      <c r="AC82" s="346"/>
      <c r="AD82" s="346"/>
      <c r="AE82" s="346"/>
      <c r="AF82" s="154"/>
      <c r="AG82" s="154"/>
      <c r="AH82" s="152"/>
      <c r="AI82" s="346"/>
      <c r="AJ82" s="346"/>
      <c r="AK82" s="346"/>
      <c r="AL82" s="346"/>
      <c r="AM82" s="161"/>
      <c r="AN82" s="347"/>
      <c r="AO82" s="347"/>
      <c r="AP82" s="347"/>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46"/>
      <c r="W83" s="346"/>
      <c r="X83" s="346"/>
      <c r="Y83" s="346"/>
      <c r="Z83" s="346"/>
      <c r="AA83" s="346"/>
      <c r="AB83" s="346"/>
      <c r="AC83" s="346"/>
      <c r="AD83" s="346"/>
      <c r="AE83" s="346"/>
      <c r="AF83" s="154"/>
      <c r="AG83" s="154"/>
      <c r="AH83" s="152"/>
      <c r="AI83" s="346"/>
      <c r="AJ83" s="346"/>
      <c r="AK83" s="346"/>
      <c r="AL83" s="346"/>
      <c r="AM83" s="161"/>
      <c r="AN83" s="347"/>
      <c r="AO83" s="347"/>
      <c r="AP83" s="347"/>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46"/>
      <c r="W84" s="346"/>
      <c r="X84" s="346"/>
      <c r="Y84" s="346"/>
      <c r="Z84" s="346"/>
      <c r="AA84" s="346"/>
      <c r="AB84" s="346"/>
      <c r="AC84" s="346"/>
      <c r="AD84" s="346"/>
      <c r="AE84" s="346"/>
      <c r="AF84" s="154"/>
      <c r="AG84" s="154"/>
      <c r="AH84" s="152"/>
      <c r="AI84" s="346"/>
      <c r="AJ84" s="346"/>
      <c r="AK84" s="346"/>
      <c r="AL84" s="346"/>
      <c r="AM84" s="161"/>
      <c r="AN84" s="347"/>
      <c r="AO84" s="347"/>
      <c r="AP84" s="347"/>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46"/>
      <c r="W85" s="346"/>
      <c r="X85" s="346"/>
      <c r="Y85" s="346"/>
      <c r="Z85" s="346"/>
      <c r="AA85" s="346"/>
      <c r="AB85" s="346"/>
      <c r="AC85" s="346"/>
      <c r="AD85" s="346"/>
      <c r="AE85" s="346"/>
      <c r="AF85" s="154"/>
      <c r="AG85" s="154"/>
      <c r="AH85" s="152"/>
      <c r="AI85" s="346"/>
      <c r="AJ85" s="346"/>
      <c r="AK85" s="346"/>
      <c r="AL85" s="346"/>
      <c r="AM85" s="161"/>
      <c r="AN85" s="347"/>
      <c r="AO85" s="347"/>
      <c r="AP85" s="347"/>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46"/>
      <c r="W86" s="346"/>
      <c r="X86" s="346"/>
      <c r="Y86" s="346"/>
      <c r="Z86" s="346"/>
      <c r="AA86" s="346"/>
      <c r="AB86" s="346"/>
      <c r="AC86" s="346"/>
      <c r="AD86" s="346"/>
      <c r="AE86" s="346"/>
      <c r="AF86" s="154"/>
      <c r="AG86" s="154"/>
      <c r="AH86" s="152"/>
      <c r="AI86" s="346"/>
      <c r="AJ86" s="346"/>
      <c r="AK86" s="346"/>
      <c r="AL86" s="346"/>
      <c r="AM86" s="161"/>
      <c r="AN86" s="347"/>
      <c r="AO86" s="347"/>
      <c r="AP86" s="347"/>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46"/>
      <c r="W87" s="346"/>
      <c r="X87" s="346"/>
      <c r="Y87" s="346"/>
      <c r="Z87" s="346"/>
      <c r="AA87" s="346"/>
      <c r="AB87" s="346"/>
      <c r="AC87" s="346"/>
      <c r="AD87" s="346"/>
      <c r="AE87" s="346"/>
      <c r="AF87" s="154"/>
      <c r="AG87" s="154"/>
      <c r="AH87" s="152"/>
      <c r="AI87" s="346"/>
      <c r="AJ87" s="346"/>
      <c r="AK87" s="346"/>
      <c r="AL87" s="346"/>
      <c r="AM87" s="161"/>
      <c r="AN87" s="347"/>
      <c r="AO87" s="347"/>
      <c r="AP87" s="347"/>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46"/>
      <c r="W88" s="346"/>
      <c r="X88" s="346"/>
      <c r="Y88" s="346"/>
      <c r="Z88" s="346"/>
      <c r="AA88" s="346"/>
      <c r="AB88" s="346"/>
      <c r="AC88" s="346"/>
      <c r="AD88" s="346"/>
      <c r="AE88" s="346"/>
      <c r="AF88" s="154"/>
      <c r="AG88" s="154"/>
      <c r="AH88" s="152"/>
      <c r="AI88" s="346"/>
      <c r="AJ88" s="346"/>
      <c r="AK88" s="346"/>
      <c r="AL88" s="346"/>
      <c r="AM88" s="161"/>
      <c r="AN88" s="347"/>
      <c r="AO88" s="347"/>
      <c r="AP88" s="347"/>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46"/>
      <c r="W89" s="346"/>
      <c r="X89" s="346"/>
      <c r="Y89" s="346"/>
      <c r="Z89" s="346"/>
      <c r="AA89" s="346"/>
      <c r="AB89" s="346"/>
      <c r="AC89" s="346"/>
      <c r="AD89" s="346"/>
      <c r="AE89" s="346"/>
      <c r="AF89" s="154"/>
      <c r="AG89" s="154"/>
      <c r="AH89" s="152"/>
      <c r="AI89" s="346"/>
      <c r="AJ89" s="346"/>
      <c r="AK89" s="346"/>
      <c r="AL89" s="346"/>
      <c r="AM89" s="161"/>
      <c r="AN89" s="347"/>
      <c r="AO89" s="347"/>
      <c r="AP89" s="347"/>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46"/>
      <c r="W90" s="346"/>
      <c r="X90" s="346"/>
      <c r="Y90" s="346"/>
      <c r="Z90" s="346"/>
      <c r="AA90" s="346"/>
      <c r="AB90" s="346"/>
      <c r="AC90" s="346"/>
      <c r="AD90" s="346"/>
      <c r="AE90" s="346"/>
      <c r="AF90" s="154"/>
      <c r="AG90" s="154"/>
      <c r="AH90" s="152"/>
      <c r="AI90" s="346"/>
      <c r="AJ90" s="346"/>
      <c r="AK90" s="346"/>
      <c r="AL90" s="346"/>
      <c r="AM90" s="161"/>
      <c r="AN90" s="347"/>
      <c r="AO90" s="347"/>
      <c r="AP90" s="347"/>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46"/>
      <c r="W91" s="346"/>
      <c r="X91" s="346"/>
      <c r="Y91" s="346"/>
      <c r="Z91" s="346"/>
      <c r="AA91" s="346"/>
      <c r="AB91" s="346"/>
      <c r="AC91" s="346"/>
      <c r="AD91" s="346"/>
      <c r="AE91" s="346"/>
      <c r="AF91" s="154"/>
      <c r="AG91" s="154"/>
      <c r="AH91" s="152"/>
      <c r="AI91" s="346"/>
      <c r="AJ91" s="346"/>
      <c r="AK91" s="346"/>
      <c r="AL91" s="346"/>
      <c r="AM91" s="161"/>
      <c r="AN91" s="347"/>
      <c r="AO91" s="347"/>
      <c r="AP91" s="347"/>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46"/>
      <c r="W92" s="346"/>
      <c r="X92" s="346"/>
      <c r="Y92" s="346"/>
      <c r="Z92" s="346"/>
      <c r="AA92" s="346"/>
      <c r="AB92" s="346"/>
      <c r="AC92" s="346"/>
      <c r="AD92" s="346"/>
      <c r="AE92" s="346"/>
      <c r="AF92" s="154"/>
      <c r="AG92" s="154"/>
      <c r="AH92" s="152"/>
      <c r="AI92" s="346"/>
      <c r="AJ92" s="346"/>
      <c r="AK92" s="346"/>
      <c r="AL92" s="346"/>
      <c r="AM92" s="161"/>
      <c r="AN92" s="347"/>
      <c r="AO92" s="347"/>
      <c r="AP92" s="347"/>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46"/>
      <c r="W93" s="346"/>
      <c r="X93" s="346"/>
      <c r="Y93" s="346"/>
      <c r="Z93" s="346"/>
      <c r="AA93" s="346"/>
      <c r="AB93" s="346"/>
      <c r="AC93" s="346"/>
      <c r="AD93" s="346"/>
      <c r="AE93" s="346"/>
      <c r="AF93" s="154"/>
      <c r="AG93" s="154"/>
      <c r="AH93" s="152"/>
      <c r="AI93" s="346"/>
      <c r="AJ93" s="346"/>
      <c r="AK93" s="346"/>
      <c r="AL93" s="346"/>
      <c r="AM93" s="161"/>
      <c r="AN93" s="347"/>
      <c r="AO93" s="347"/>
      <c r="AP93" s="347"/>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D26:I26"/>
    <mergeCell ref="J26:AB26"/>
    <mergeCell ref="AN30:AP30"/>
    <mergeCell ref="AI30:AK30"/>
    <mergeCell ref="AG30:AH30"/>
    <mergeCell ref="AB30:AE30"/>
    <mergeCell ref="K30:X30"/>
    <mergeCell ref="T5:AP5"/>
    <mergeCell ref="D8:AN8"/>
    <mergeCell ref="A9:U9"/>
    <mergeCell ref="H28:O28"/>
    <mergeCell ref="T28:AA28"/>
    <mergeCell ref="AB28:AD29"/>
    <mergeCell ref="AI65:AL65"/>
    <mergeCell ref="AI66:AL66"/>
    <mergeCell ref="AI67:AL67"/>
    <mergeCell ref="BL54:BN54"/>
    <mergeCell ref="BL55:BN55"/>
    <mergeCell ref="BK56:BN56"/>
    <mergeCell ref="D49:J49"/>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0:AF10"/>
    <mergeCell ref="D13:AP14"/>
    <mergeCell ref="J38:M38"/>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161925</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5" t="s">
        <v>10564</v>
      </c>
      <c r="B4" s="375"/>
      <c r="C4" s="375"/>
      <c r="D4" s="375"/>
      <c r="E4" s="375"/>
      <c r="F4" s="375"/>
      <c r="G4" s="375"/>
      <c r="H4" s="375"/>
      <c r="I4" s="375"/>
      <c r="J4" s="375"/>
      <c r="K4" s="375"/>
      <c r="L4" s="375"/>
      <c r="M4" s="375"/>
      <c r="N4" s="375"/>
      <c r="O4" s="375"/>
      <c r="P4" s="375"/>
    </row>
    <row r="5" spans="1:16" ht="15.75" customHeight="1" x14ac:dyDescent="0.3">
      <c r="A5" s="169"/>
      <c r="B5" s="169"/>
      <c r="C5" s="169"/>
      <c r="D5" s="169"/>
      <c r="E5" s="169"/>
      <c r="F5" s="376" t="str">
        <f>"DISTRITO DEL DESARROLLO RURAL NUMERO "&amp;CLAVE_DISTRITO&amp;", "&amp;DISTRITO</f>
        <v>DISTRITO DEL DESARROLLO RURAL NUMERO 102, MONTEMORELOS</v>
      </c>
      <c r="G5" s="376"/>
      <c r="H5" s="376"/>
      <c r="I5" s="376"/>
      <c r="J5" s="376"/>
      <c r="K5" s="376"/>
      <c r="L5" s="376"/>
      <c r="M5" s="376"/>
      <c r="N5" s="376"/>
      <c r="O5" s="376"/>
      <c r="P5" s="376"/>
    </row>
    <row r="6" spans="1:16" x14ac:dyDescent="0.3">
      <c r="A6" s="376" t="str">
        <f ca="1">"Estado de "&amp;PROPER(ESTADO)&amp;", a "&amp;REINSCRIPCION!BJ13&amp;" de "&amp;REINSCRIPCION!BJ14&amp;" de "&amp;REINSCRIPCION!BJ15</f>
        <v>Estado de Nuevo León, a 31 de octubre de 2025</v>
      </c>
      <c r="B6" s="376"/>
      <c r="C6" s="376"/>
      <c r="D6" s="376"/>
      <c r="E6" s="376"/>
      <c r="F6" s="376"/>
      <c r="G6" s="376"/>
      <c r="H6" s="376"/>
      <c r="I6" s="376"/>
      <c r="J6" s="376"/>
      <c r="K6" s="376"/>
      <c r="L6" s="376"/>
      <c r="M6" s="376"/>
      <c r="N6" s="376"/>
      <c r="O6" s="376"/>
      <c r="P6" s="376"/>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81" t="str">
        <f>TITULO&amp;" NO. "&amp;CLAVE_DISTRITO&amp;", "&amp;DISTRITO</f>
        <v>ENCARGADO DEL DESPACHO DEL DISTRITO DE DESARROLLO RURAL NO. 102, MONTEMORELOS</v>
      </c>
      <c r="B9" s="381"/>
      <c r="C9" s="381"/>
      <c r="D9" s="381"/>
      <c r="E9" s="381"/>
      <c r="F9" s="381"/>
      <c r="G9" s="381"/>
      <c r="H9" s="381"/>
      <c r="I9" s="381"/>
      <c r="J9" s="170"/>
      <c r="K9" s="170"/>
      <c r="L9" s="170"/>
      <c r="M9" s="170"/>
      <c r="N9" s="170"/>
      <c r="O9" s="170"/>
      <c r="P9" s="170"/>
    </row>
    <row r="10" spans="1:16" x14ac:dyDescent="0.3">
      <c r="A10" s="381"/>
      <c r="B10" s="381"/>
      <c r="C10" s="381"/>
      <c r="D10" s="381"/>
      <c r="E10" s="381"/>
      <c r="F10" s="381"/>
      <c r="G10" s="381"/>
      <c r="H10" s="381"/>
      <c r="I10" s="381"/>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8" t="s">
        <v>10565</v>
      </c>
      <c r="B12" s="378"/>
      <c r="C12" s="378"/>
      <c r="D12" s="378"/>
      <c r="E12" s="378"/>
      <c r="F12" s="378"/>
      <c r="G12" s="378"/>
      <c r="H12" s="378"/>
      <c r="I12" s="378"/>
      <c r="J12" s="378"/>
      <c r="K12" s="378"/>
      <c r="L12" s="378"/>
      <c r="M12" s="378"/>
      <c r="N12" s="378"/>
      <c r="O12" s="378"/>
      <c r="P12" s="378"/>
    </row>
    <row r="13" spans="1:16" ht="33.75" customHeight="1" x14ac:dyDescent="0.3">
      <c r="A13" s="378"/>
      <c r="B13" s="378"/>
      <c r="C13" s="378"/>
      <c r="D13" s="378"/>
      <c r="E13" s="378"/>
      <c r="F13" s="378"/>
      <c r="G13" s="378"/>
      <c r="H13" s="378"/>
      <c r="I13" s="378"/>
      <c r="J13" s="378"/>
      <c r="K13" s="378"/>
      <c r="L13" s="378"/>
      <c r="M13" s="378"/>
      <c r="N13" s="378"/>
      <c r="O13" s="378"/>
      <c r="P13" s="378"/>
    </row>
    <row r="14" spans="1:16" ht="15" customHeight="1" x14ac:dyDescent="0.3">
      <c r="A14" s="378"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8"/>
      <c r="C14" s="378"/>
      <c r="D14" s="378"/>
      <c r="E14" s="378"/>
      <c r="F14" s="378"/>
      <c r="G14" s="378"/>
      <c r="H14" s="378"/>
      <c r="I14" s="378"/>
      <c r="J14" s="378"/>
      <c r="K14" s="378"/>
      <c r="L14" s="378"/>
      <c r="M14" s="378"/>
      <c r="N14" s="378"/>
      <c r="O14" s="378"/>
      <c r="P14" s="378"/>
    </row>
    <row r="15" spans="1:16" x14ac:dyDescent="0.3">
      <c r="A15" s="378"/>
      <c r="B15" s="378"/>
      <c r="C15" s="378"/>
      <c r="D15" s="378"/>
      <c r="E15" s="378"/>
      <c r="F15" s="378"/>
      <c r="G15" s="378"/>
      <c r="H15" s="378"/>
      <c r="I15" s="378"/>
      <c r="J15" s="378"/>
      <c r="K15" s="378"/>
      <c r="L15" s="378"/>
      <c r="M15" s="378"/>
      <c r="N15" s="378"/>
      <c r="O15" s="378"/>
      <c r="P15" s="378"/>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8" t="str">
        <f>"Clave de registro (folio PEUA): "&amp;REINSCRIPCION!I16</f>
        <v xml:space="preserve">Clave de registro (folio PEUA): </v>
      </c>
      <c r="B17" s="378"/>
      <c r="C17" s="378"/>
      <c r="D17" s="378"/>
      <c r="E17" s="378"/>
      <c r="F17" s="378"/>
      <c r="G17" s="378"/>
      <c r="H17" s="378"/>
      <c r="I17" s="378"/>
      <c r="J17" s="378"/>
      <c r="K17" s="378"/>
      <c r="L17" s="378"/>
      <c r="M17" s="378"/>
      <c r="N17" s="378"/>
      <c r="O17" s="378"/>
      <c r="P17" s="378"/>
    </row>
    <row r="18" spans="1:17" x14ac:dyDescent="0.3">
      <c r="A18" s="378" t="str">
        <f>"Registro Permanente de Usuarios (RPU): "&amp;REINSCRIPCION!AU13</f>
        <v xml:space="preserve">Registro Permanente de Usuarios (RPU): </v>
      </c>
      <c r="B18" s="378"/>
      <c r="C18" s="378"/>
      <c r="D18" s="378"/>
      <c r="E18" s="378"/>
      <c r="F18" s="378"/>
      <c r="G18" s="378"/>
      <c r="H18" s="378"/>
      <c r="I18" s="378"/>
      <c r="J18" s="378"/>
      <c r="K18" s="378"/>
      <c r="L18" s="378"/>
      <c r="M18" s="378"/>
      <c r="N18" s="378"/>
      <c r="O18" s="378"/>
      <c r="P18" s="378"/>
    </row>
    <row r="19" spans="1:17" x14ac:dyDescent="0.3">
      <c r="A19" s="378" t="str">
        <f>"Título de concesión de agua vigente:  "&amp;REINSCRIPCION!K30</f>
        <v xml:space="preserve">Título de concesión de agua vigente:  </v>
      </c>
      <c r="B19" s="378"/>
      <c r="C19" s="378"/>
      <c r="D19" s="378"/>
      <c r="E19" s="378"/>
      <c r="F19" s="378"/>
      <c r="G19" s="378"/>
      <c r="H19" s="378"/>
      <c r="I19" s="378"/>
      <c r="J19" s="378"/>
      <c r="K19" s="378"/>
      <c r="L19" s="378"/>
      <c r="M19" s="378"/>
      <c r="N19" s="378"/>
      <c r="O19" s="378"/>
      <c r="P19" s="378"/>
      <c r="Q19" s="84"/>
    </row>
    <row r="20" spans="1:17" ht="15" customHeight="1" x14ac:dyDescent="0.3">
      <c r="A20" s="378" t="e">
        <f>"Nombre y localización del predio: "&amp;PROPER(INDEX(DATOS!S:S,MATCH(VALUE(REINSCRIPCION!AU13),DATOS!C:C,0),1))&amp;", "&amp;PROPER(INDEX(DATOS!R:R,MATCH(VALUE(REINSCRIPCION!AU13),DATOS!C:C,0),1))&amp;", N.L."</f>
        <v>#VALUE!</v>
      </c>
      <c r="B20" s="378"/>
      <c r="C20" s="378"/>
      <c r="D20" s="378"/>
      <c r="E20" s="378"/>
      <c r="F20" s="378"/>
      <c r="G20" s="378"/>
      <c r="H20" s="378"/>
      <c r="I20" s="378"/>
      <c r="J20" s="378"/>
      <c r="K20" s="378"/>
      <c r="L20" s="378"/>
      <c r="M20" s="378"/>
      <c r="N20" s="378"/>
      <c r="O20" s="378"/>
      <c r="P20" s="378"/>
    </row>
    <row r="21" spans="1:17" ht="15" customHeight="1" x14ac:dyDescent="0.3">
      <c r="A21" s="378" t="e">
        <f>"Cultivo: "&amp;PROPER(INDEX(DATOS!W:W,MATCH(VALUE(REINSCRIPCION!AU13),DATOS!C:C,0),1))</f>
        <v>#VALUE!</v>
      </c>
      <c r="B21" s="378"/>
      <c r="C21" s="378"/>
      <c r="D21" s="378"/>
      <c r="E21" s="378"/>
      <c r="F21" s="378"/>
      <c r="G21" s="378"/>
      <c r="H21" s="378"/>
      <c r="I21" s="378"/>
      <c r="J21" s="378"/>
      <c r="K21" s="378"/>
      <c r="L21" s="378"/>
      <c r="M21" s="378"/>
      <c r="N21" s="378"/>
      <c r="O21" s="378"/>
      <c r="P21" s="378"/>
    </row>
    <row r="22" spans="1:17" ht="15" customHeight="1" x14ac:dyDescent="0.3">
      <c r="A22" s="379" t="str">
        <f>"Descripción del equipo de bombeo: "&amp;REINSCRIPCION!D33</f>
        <v xml:space="preserve">Descripción del equipo de bombeo: </v>
      </c>
      <c r="B22" s="379"/>
      <c r="C22" s="379"/>
      <c r="D22" s="379"/>
      <c r="E22" s="379"/>
      <c r="F22" s="379"/>
      <c r="G22" s="379"/>
      <c r="H22" s="379"/>
      <c r="I22" s="379"/>
      <c r="J22" s="379"/>
      <c r="K22" s="379"/>
      <c r="L22" s="379"/>
      <c r="M22" s="379"/>
      <c r="N22" s="379"/>
      <c r="O22" s="379"/>
      <c r="P22" s="379"/>
    </row>
    <row r="23" spans="1:17" x14ac:dyDescent="0.3">
      <c r="A23" s="379"/>
      <c r="B23" s="379"/>
      <c r="C23" s="379"/>
      <c r="D23" s="379"/>
      <c r="E23" s="379"/>
      <c r="F23" s="379"/>
      <c r="G23" s="379"/>
      <c r="H23" s="379"/>
      <c r="I23" s="379"/>
      <c r="J23" s="379"/>
      <c r="K23" s="379"/>
      <c r="L23" s="379"/>
      <c r="M23" s="379"/>
      <c r="N23" s="379"/>
      <c r="O23" s="379"/>
      <c r="P23" s="379"/>
    </row>
    <row r="24" spans="1:17" x14ac:dyDescent="0.3">
      <c r="A24" s="379"/>
      <c r="B24" s="379"/>
      <c r="C24" s="379"/>
      <c r="D24" s="379"/>
      <c r="E24" s="379"/>
      <c r="F24" s="379"/>
      <c r="G24" s="379"/>
      <c r="H24" s="379"/>
      <c r="I24" s="379"/>
      <c r="J24" s="379"/>
      <c r="K24" s="379"/>
      <c r="L24" s="379"/>
      <c r="M24" s="379"/>
      <c r="N24" s="379"/>
      <c r="O24" s="379"/>
      <c r="P24" s="379"/>
    </row>
    <row r="25" spans="1:17" x14ac:dyDescent="0.3">
      <c r="A25" s="379"/>
      <c r="B25" s="379"/>
      <c r="C25" s="379"/>
      <c r="D25" s="379"/>
      <c r="E25" s="379"/>
      <c r="F25" s="379"/>
      <c r="G25" s="379"/>
      <c r="H25" s="379"/>
      <c r="I25" s="379"/>
      <c r="J25" s="379"/>
      <c r="K25" s="379"/>
      <c r="L25" s="379"/>
      <c r="M25" s="379"/>
      <c r="N25" s="379"/>
      <c r="O25" s="379"/>
      <c r="P25" s="379"/>
    </row>
    <row r="26" spans="1:17" x14ac:dyDescent="0.3">
      <c r="A26" s="379"/>
      <c r="B26" s="379"/>
      <c r="C26" s="379"/>
      <c r="D26" s="379"/>
      <c r="E26" s="379"/>
      <c r="F26" s="379"/>
      <c r="G26" s="379"/>
      <c r="H26" s="379"/>
      <c r="I26" s="379"/>
      <c r="J26" s="379"/>
      <c r="K26" s="379"/>
      <c r="L26" s="379"/>
      <c r="M26" s="379"/>
      <c r="N26" s="379"/>
      <c r="O26" s="379"/>
      <c r="P26" s="379"/>
    </row>
    <row r="27" spans="1:17" x14ac:dyDescent="0.3">
      <c r="A27" s="379"/>
      <c r="B27" s="379"/>
      <c r="C27" s="379"/>
      <c r="D27" s="379"/>
      <c r="E27" s="379"/>
      <c r="F27" s="379"/>
      <c r="G27" s="379"/>
      <c r="H27" s="379"/>
      <c r="I27" s="379"/>
      <c r="J27" s="379"/>
      <c r="K27" s="379"/>
      <c r="L27" s="379"/>
      <c r="M27" s="379"/>
      <c r="N27" s="379"/>
      <c r="O27" s="379"/>
      <c r="P27" s="379"/>
    </row>
    <row r="28" spans="1:17" x14ac:dyDescent="0.3">
      <c r="A28" s="379"/>
      <c r="B28" s="379"/>
      <c r="C28" s="379"/>
      <c r="D28" s="379"/>
      <c r="E28" s="379"/>
      <c r="F28" s="379"/>
      <c r="G28" s="379"/>
      <c r="H28" s="379"/>
      <c r="I28" s="379"/>
      <c r="J28" s="379"/>
      <c r="K28" s="379"/>
      <c r="L28" s="379"/>
      <c r="M28" s="379"/>
      <c r="N28" s="379"/>
      <c r="O28" s="379"/>
      <c r="P28" s="379"/>
    </row>
    <row r="29" spans="1:17" x14ac:dyDescent="0.3">
      <c r="A29" s="379"/>
      <c r="B29" s="379"/>
      <c r="C29" s="379"/>
      <c r="D29" s="379"/>
      <c r="E29" s="379"/>
      <c r="F29" s="379"/>
      <c r="G29" s="379"/>
      <c r="H29" s="379"/>
      <c r="I29" s="379"/>
      <c r="J29" s="379"/>
      <c r="K29" s="379"/>
      <c r="L29" s="379"/>
      <c r="M29" s="379"/>
      <c r="N29" s="379"/>
      <c r="O29" s="379"/>
      <c r="P29" s="379"/>
    </row>
    <row r="30" spans="1:17" x14ac:dyDescent="0.3">
      <c r="A30" s="379"/>
      <c r="B30" s="379"/>
      <c r="C30" s="379"/>
      <c r="D30" s="379"/>
      <c r="E30" s="379"/>
      <c r="F30" s="379"/>
      <c r="G30" s="379"/>
      <c r="H30" s="379"/>
      <c r="I30" s="379"/>
      <c r="J30" s="379"/>
      <c r="K30" s="379"/>
      <c r="L30" s="379"/>
      <c r="M30" s="379"/>
      <c r="N30" s="379"/>
      <c r="O30" s="379"/>
      <c r="P30" s="379"/>
    </row>
    <row r="31" spans="1:17" x14ac:dyDescent="0.3">
      <c r="A31" s="379"/>
      <c r="B31" s="379"/>
      <c r="C31" s="379"/>
      <c r="D31" s="379"/>
      <c r="E31" s="379"/>
      <c r="F31" s="379"/>
      <c r="G31" s="379"/>
      <c r="H31" s="379"/>
      <c r="I31" s="379"/>
      <c r="J31" s="379"/>
      <c r="K31" s="379"/>
      <c r="L31" s="379"/>
      <c r="M31" s="379"/>
      <c r="N31" s="379"/>
      <c r="O31" s="379"/>
      <c r="P31" s="379"/>
    </row>
    <row r="32" spans="1:17" ht="5.25" customHeight="1" x14ac:dyDescent="0.3">
      <c r="A32" s="379"/>
      <c r="B32" s="379"/>
      <c r="C32" s="379"/>
      <c r="D32" s="379"/>
      <c r="E32" s="379"/>
      <c r="F32" s="379"/>
      <c r="G32" s="379"/>
      <c r="H32" s="379"/>
      <c r="I32" s="379"/>
      <c r="J32" s="379"/>
      <c r="K32" s="379"/>
      <c r="L32" s="379"/>
      <c r="M32" s="379"/>
      <c r="N32" s="379"/>
      <c r="O32" s="379"/>
      <c r="P32" s="379"/>
    </row>
    <row r="33" spans="1:16" ht="15" customHeight="1" x14ac:dyDescent="0.3">
      <c r="A33" s="380" t="s">
        <v>10459</v>
      </c>
      <c r="B33" s="380"/>
      <c r="C33" s="380"/>
      <c r="D33" s="380"/>
      <c r="E33" s="380"/>
      <c r="F33" s="380"/>
      <c r="G33" s="380"/>
      <c r="H33" s="380"/>
      <c r="I33" s="380"/>
      <c r="J33" s="380"/>
      <c r="K33" s="380"/>
      <c r="L33" s="380"/>
      <c r="M33" s="380"/>
      <c r="N33" s="380"/>
      <c r="O33" s="380"/>
      <c r="P33" s="380"/>
    </row>
    <row r="34" spans="1:16" x14ac:dyDescent="0.3">
      <c r="A34" s="377" t="s">
        <v>10460</v>
      </c>
      <c r="B34" s="377"/>
      <c r="C34" s="377"/>
      <c r="D34" s="377"/>
      <c r="E34" s="377"/>
      <c r="F34" s="377"/>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77" t="str">
        <f>IF(TIPODEPERSONA="MORAL","REPRESENTANTE: "&amp;SUBSTITUTE(IFERROR(INDEX(DATOS!P:P,MATCH(IF(O4="SI",VALUE(C21),VALUE(REPORTE!C22)),DATOS!BY:BY,0),1),""),";","",1),"NOMBRE Y FIRMA DEL SOLICITANTE")</f>
        <v>NOMBRE Y FIRMA DEL SOLICITANTE</v>
      </c>
      <c r="B40" s="377"/>
      <c r="C40" s="377"/>
      <c r="D40" s="377"/>
      <c r="E40" s="377"/>
      <c r="F40" s="377"/>
      <c r="G40" s="377"/>
      <c r="H40" s="377"/>
      <c r="I40" s="377"/>
      <c r="J40" s="377"/>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77" t="s">
        <v>10462</v>
      </c>
      <c r="B46" s="377"/>
      <c r="C46" s="377"/>
      <c r="D46" s="377"/>
      <c r="E46" s="377"/>
      <c r="F46" s="377"/>
      <c r="G46" s="377"/>
      <c r="H46" s="377"/>
      <c r="I46" s="377"/>
      <c r="J46" s="377"/>
      <c r="K46" s="377"/>
      <c r="L46" s="377"/>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84" t="s">
        <v>105</v>
      </c>
      <c r="C1" s="384"/>
      <c r="D1" s="384"/>
      <c r="E1" s="384"/>
      <c r="F1" s="384"/>
      <c r="G1" s="384"/>
      <c r="H1" s="384"/>
      <c r="I1" s="384"/>
      <c r="J1" s="384"/>
      <c r="K1" s="384"/>
      <c r="L1" s="384"/>
      <c r="M1" s="384"/>
      <c r="N1" s="384"/>
      <c r="O1" s="384"/>
      <c r="P1" s="384"/>
      <c r="Q1" s="384"/>
      <c r="R1">
        <f>IF(B12="PERSONA MORAL",1,"")</f>
        <v>1</v>
      </c>
      <c r="AA1" s="12" t="s">
        <v>91</v>
      </c>
      <c r="AB1" t="s">
        <v>19</v>
      </c>
    </row>
    <row r="2" spans="1:28" ht="18.75" x14ac:dyDescent="0.3">
      <c r="B2" s="384" t="str">
        <f>"DELEGACION ESTATAL EN "&amp;UPPER(ESTADO)</f>
        <v>DELEGACION ESTATAL EN NUEVO LEÓN</v>
      </c>
      <c r="C2" s="384"/>
      <c r="D2" s="384"/>
      <c r="E2" s="384"/>
      <c r="F2" s="384"/>
      <c r="G2" s="384"/>
      <c r="H2" s="384"/>
      <c r="I2" s="384"/>
      <c r="J2" s="384"/>
      <c r="K2" s="384"/>
      <c r="L2" s="384"/>
      <c r="M2" s="384"/>
      <c r="N2" s="384"/>
      <c r="O2" s="384"/>
      <c r="P2" s="384"/>
      <c r="Q2" s="384"/>
      <c r="AA2" s="12" t="s">
        <v>92</v>
      </c>
      <c r="AB2" t="s">
        <v>15</v>
      </c>
    </row>
    <row r="3" spans="1:28" ht="18.75" x14ac:dyDescent="0.3">
      <c r="B3" s="168"/>
      <c r="C3" s="385" t="s">
        <v>101</v>
      </c>
      <c r="D3" s="385"/>
      <c r="E3" s="385"/>
      <c r="F3" s="385"/>
      <c r="G3" s="385"/>
      <c r="H3" s="385"/>
      <c r="I3" s="385"/>
      <c r="J3" s="385"/>
      <c r="K3" s="385"/>
      <c r="L3" s="385"/>
      <c r="M3" s="385"/>
      <c r="N3" s="385"/>
      <c r="O3" s="385"/>
      <c r="P3" s="385"/>
      <c r="Q3" s="385"/>
      <c r="AA3" s="12"/>
    </row>
    <row r="4" spans="1:28" ht="15.75" x14ac:dyDescent="0.25">
      <c r="B4" s="382" t="s">
        <v>172</v>
      </c>
      <c r="C4" s="382"/>
      <c r="D4" s="382"/>
      <c r="E4" s="382"/>
      <c r="F4" s="382"/>
      <c r="G4" s="382"/>
      <c r="H4" s="382"/>
      <c r="I4" s="382"/>
      <c r="J4" s="382"/>
      <c r="K4" s="382"/>
      <c r="L4" s="382"/>
      <c r="M4" s="382"/>
      <c r="N4" s="382"/>
      <c r="O4" s="382"/>
      <c r="P4" s="382"/>
      <c r="Q4" s="382"/>
      <c r="Z4" s="12"/>
    </row>
    <row r="5" spans="1:28" ht="15.75" x14ac:dyDescent="0.25">
      <c r="B5" s="382" t="s">
        <v>10528</v>
      </c>
      <c r="C5" s="382"/>
      <c r="D5" s="382"/>
      <c r="E5" s="382"/>
      <c r="F5" s="382"/>
      <c r="G5" s="382"/>
      <c r="H5" s="382"/>
      <c r="I5" s="382"/>
      <c r="J5" s="382"/>
      <c r="K5" s="382"/>
      <c r="L5" s="382"/>
      <c r="M5" s="382"/>
      <c r="N5" s="382"/>
      <c r="O5" s="382"/>
      <c r="P5" s="382"/>
      <c r="Q5" s="382"/>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83"/>
      <c r="C11" s="383"/>
      <c r="D11" s="27"/>
      <c r="E11" s="2"/>
      <c r="F11" s="2"/>
    </row>
    <row r="12" spans="1:28" hidden="1" x14ac:dyDescent="0.25">
      <c r="B12" s="383" t="s">
        <v>92</v>
      </c>
      <c r="C12" s="383"/>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2025-10-30T20:41:10Z</cp:lastPrinted>
  <dcterms:created xsi:type="dcterms:W3CDTF">2019-10-18T13:17:58Z</dcterms:created>
  <dcterms:modified xsi:type="dcterms:W3CDTF">2025-10-31T16:05:54Z</dcterms:modified>
</cp:coreProperties>
</file>