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2.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2.xml" ContentType="application/vnd.ms-excel.controlproperties+xml"/>
  <Override PartName="/xl/drawings/drawing15.xml" ContentType="application/vnd.openxmlformats-officedocument.drawing+xml"/>
  <Override PartName="/xl/ctrlProps/ctrlProp13.xml" ContentType="application/vnd.ms-excel.controlproperties+xml"/>
  <Override PartName="/xl/drawings/drawing16.xml" ContentType="application/vnd.openxmlformats-officedocument.drawing+xml"/>
  <Override PartName="/xl/ctrlProps/ctrlProp14.xml" ContentType="application/vnd.ms-excel.controlproperties+xml"/>
  <Override PartName="/xl/drawings/drawing17.xml" ContentType="application/vnd.openxmlformats-officedocument.drawing+xml"/>
  <Override PartName="/xl/ctrlProps/ctrlProp15.xml" ContentType="application/vnd.ms-excel.controlproperties+xml"/>
  <Override PartName="/xl/drawings/drawing18.xml" ContentType="application/vnd.openxmlformats-officedocument.drawing+xml"/>
  <Override PartName="/xl/ctrlProps/ctrlProp16.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charts/chart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omments3.xml" ContentType="application/vnd.openxmlformats-officedocument.spreadsheetml.comments+xml"/>
  <Override PartName="/xl/drawings/drawing30.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miller\Documents\Trusted Location Artcraft\Bent Cap Spreadsheets Check\Module I\"/>
    </mc:Choice>
  </mc:AlternateContent>
  <xr:revisionPtr revIDLastSave="0" documentId="13_ncr:1_{508959F9-FAC9-4896-8A12-F934316F8122}" xr6:coauthVersionLast="47" xr6:coauthVersionMax="47" xr10:uidLastSave="{00000000-0000-0000-0000-000000000000}"/>
  <bookViews>
    <workbookView xWindow="28680" yWindow="-120" windowWidth="29040" windowHeight="15840" tabRatio="947" xr2:uid="{00000000-000D-0000-FFFF-FFFF00000000}"/>
  </bookViews>
  <sheets>
    <sheet name="Prog.Doc." sheetId="15" r:id="rId1"/>
    <sheet name="Complex Geometry" sheetId="34" state="veryHidden" r:id="rId2"/>
    <sheet name="Cover Sheet" sheetId="4" r:id="rId3"/>
    <sheet name="Geometry" sheetId="1" state="veryHidden" r:id="rId4"/>
    <sheet name="Conc DL" sheetId="5" state="veryHidden" r:id="rId5"/>
    <sheet name="Dead Load Moment" sheetId="23" state="veryHidden" r:id="rId6"/>
    <sheet name="Live Load" sheetId="8" state="veryHidden" r:id="rId7"/>
    <sheet name="CAP18 Input" sheetId="7" state="veryHidden" r:id="rId8"/>
    <sheet name="CAP18 Out(1)" sheetId="9" state="veryHidden" r:id="rId9"/>
    <sheet name="CAP18 Out(2)" sheetId="16" state="veryHidden" r:id="rId10"/>
    <sheet name="Moment Diagram" sheetId="22" state="veryHidden" r:id="rId11"/>
    <sheet name="Live Load on Cap" sheetId="25" state="veryHidden" r:id="rId12"/>
    <sheet name="Cap Analysis" sheetId="24" state="veryHidden" r:id="rId13"/>
    <sheet name="Bars A" sheetId="11" state="veryHidden" r:id="rId14"/>
    <sheet name="Bars B" sheetId="10" state="veryHidden" r:id="rId15"/>
    <sheet name="Inv Tee-SC" sheetId="40" state="hidden" r:id="rId16"/>
    <sheet name="Inv Tee" sheetId="37" state="veryHidden" r:id="rId17"/>
    <sheet name="Shear(M)" sheetId="14" state="veryHidden" r:id="rId18"/>
    <sheet name="Shear(S) " sheetId="27" state="veryHidden" r:id="rId19"/>
    <sheet name="Shear Diagram" sheetId="19" state="veryHidden" r:id="rId20"/>
    <sheet name="Design Summary" sheetId="42" state="veryHidden" r:id="rId21"/>
    <sheet name="Live Load on Column" sheetId="33" state="veryHidden" r:id="rId22"/>
    <sheet name="CE &amp; BR" sheetId="29" state="veryHidden" r:id="rId23"/>
    <sheet name="Wind Loads" sheetId="30" state="veryHidden" r:id="rId24"/>
    <sheet name="Col Analysis-I" sheetId="31" state="veryHidden" r:id="rId25"/>
    <sheet name="Col Analysis-II" sheetId="32" state="veryHidden" r:id="rId26"/>
    <sheet name="D.S. Loads" sheetId="36" state="veryHidden" r:id="rId27"/>
    <sheet name="Reference" sheetId="3" state="veryHidden" r:id="rId28"/>
    <sheet name="PW" sheetId="38" state="veryHidden" r:id="rId29"/>
  </sheets>
  <definedNames>
    <definedName name="_IBM1">'CAP18 Input'!$E$40</definedName>
    <definedName name="_IBM10">'CAP18 Input'!$N$40</definedName>
    <definedName name="_IBM11">'CAP18 Input'!$E$41</definedName>
    <definedName name="_IBM12">'CAP18 Input'!$F$41</definedName>
    <definedName name="_IBM13">'CAP18 Input'!$G$41</definedName>
    <definedName name="_IBM14">'CAP18 Input'!$H$41</definedName>
    <definedName name="_IBM15">'CAP18 Input'!$I$41</definedName>
    <definedName name="_IBM16">'CAP18 Input'!$J$41</definedName>
    <definedName name="_IBM17">'CAP18 Input'!$K$41</definedName>
    <definedName name="_IBM18">'CAP18 Input'!$L$41</definedName>
    <definedName name="_IBM19">'CAP18 Input'!$M$41</definedName>
    <definedName name="_IBM2">'CAP18 Input'!$F$40</definedName>
    <definedName name="_IBM20">'CAP18 Input'!$N$41</definedName>
    <definedName name="_IBM3">'CAP18 Input'!$G$40</definedName>
    <definedName name="_IBM4">'CAP18 Input'!$H$40</definedName>
    <definedName name="_IBM5">'CAP18 Input'!$I$40</definedName>
    <definedName name="_IBM6">'CAP18 Input'!$J$40</definedName>
    <definedName name="_IBM7">'CAP18 Input'!$K$40</definedName>
    <definedName name="_IBM8">'CAP18 Input'!$L$40</definedName>
    <definedName name="_IBM9">'CAP18 Input'!$M$40</definedName>
    <definedName name="_IMC1">'CAP18 Input'!$E$45</definedName>
    <definedName name="_IMC10">'CAP18 Input'!$N$45</definedName>
    <definedName name="_IMC11">'CAP18 Input'!$E$46</definedName>
    <definedName name="_IMC12">'CAP18 Input'!$F$46</definedName>
    <definedName name="_IMC13">'CAP18 Input'!$G$46</definedName>
    <definedName name="_IMC14">'CAP18 Input'!$H$46</definedName>
    <definedName name="_IMC15">'CAP18 Input'!$I$46</definedName>
    <definedName name="_IMC16">'CAP18 Input'!$J$46</definedName>
    <definedName name="_IMC17">'CAP18 Input'!$K$46</definedName>
    <definedName name="_IMC18">'CAP18 Input'!$L$46</definedName>
    <definedName name="_IMC19">'CAP18 Input'!$M$46</definedName>
    <definedName name="_IMC2">'CAP18 Input'!$F$45</definedName>
    <definedName name="_IMC20">'CAP18 Input'!$N$46</definedName>
    <definedName name="_IMC21">'CAP18 Input'!$E$47</definedName>
    <definedName name="_IMC22">'CAP18 Input'!$F$47</definedName>
    <definedName name="_IMC23">'CAP18 Input'!$G$47</definedName>
    <definedName name="_IMC24">'CAP18 Input'!$H$47</definedName>
    <definedName name="_IMC25">'CAP18 Input'!$I$47</definedName>
    <definedName name="_IMC26">'CAP18 Input'!$J$47</definedName>
    <definedName name="_IMC27">'CAP18 Input'!$K$47</definedName>
    <definedName name="_IMC28">'CAP18 Input'!$L$47</definedName>
    <definedName name="_IMC29">'CAP18 Input'!$M$47</definedName>
    <definedName name="_IMC3">'CAP18 Input'!$G$45</definedName>
    <definedName name="_IMC30">'CAP18 Input'!$N$47</definedName>
    <definedName name="_IMC4">'CAP18 Input'!$H$45</definedName>
    <definedName name="_IMC5">'CAP18 Input'!$I$45</definedName>
    <definedName name="_IMC6">'CAP18 Input'!$J$45</definedName>
    <definedName name="_IMC7">'CAP18 Input'!$K$45</definedName>
    <definedName name="_IMC8">'CAP18 Input'!$L$45</definedName>
    <definedName name="_IMC9">'CAP18 Input'!$M$45</definedName>
    <definedName name="_ISP1">'CAP18 Input'!$E$43</definedName>
    <definedName name="_ISP10">'CAP18 Input'!$N$43</definedName>
    <definedName name="_ISP2">'CAP18 Input'!$F$43</definedName>
    <definedName name="_ISP3">'CAP18 Input'!$G$43</definedName>
    <definedName name="_ISP4">'CAP18 Input'!$H$43</definedName>
    <definedName name="_ISP5">'CAP18 Input'!$I$43</definedName>
    <definedName name="_ISP6">'CAP18 Input'!$J$43</definedName>
    <definedName name="_ISP7">'CAP18 Input'!$K$43</definedName>
    <definedName name="_ISP8">'CAP18 Input'!$L$43</definedName>
    <definedName name="_ISP9">'CAP18 Input'!$M$43</definedName>
    <definedName name="_IVC1">'CAP18 Input'!$E$49</definedName>
    <definedName name="_IVC10">'CAP18 Input'!$N$49</definedName>
    <definedName name="_IVC11">'CAP18 Input'!$E$50</definedName>
    <definedName name="_IVC12">'CAP18 Input'!$F$50</definedName>
    <definedName name="_IVC13">'CAP18 Input'!$G$50</definedName>
    <definedName name="_IVC14">'CAP18 Input'!$H$50</definedName>
    <definedName name="_IVC15">'CAP18 Input'!$I$50</definedName>
    <definedName name="_IVC16">'CAP18 Input'!$J$50</definedName>
    <definedName name="_IVC17">'CAP18 Input'!$K$50</definedName>
    <definedName name="_IVC18">'CAP18 Input'!$L$50</definedName>
    <definedName name="_IVC19">'CAP18 Input'!$M$50</definedName>
    <definedName name="_IVC2">'CAP18 Input'!$F$49</definedName>
    <definedName name="_IVC20">'CAP18 Input'!$N$50</definedName>
    <definedName name="_IVC21">'CAP18 Input'!$E$51</definedName>
    <definedName name="_IVC22">'CAP18 Input'!$F$51</definedName>
    <definedName name="_IVC23">'CAP18 Input'!$G$51</definedName>
    <definedName name="_IVC24">'CAP18 Input'!$H$51</definedName>
    <definedName name="_IVC25">'CAP18 Input'!$I$51</definedName>
    <definedName name="_IVC26">'CAP18 Input'!$J$51</definedName>
    <definedName name="_IVC27">'CAP18 Input'!$K$51</definedName>
    <definedName name="_IVC28">'CAP18 Input'!$L$51</definedName>
    <definedName name="_IVC29">'CAP18 Input'!$M$51</definedName>
    <definedName name="_IVC3">'CAP18 Input'!$G$49</definedName>
    <definedName name="_IVC30">'CAP18 Input'!$N$51</definedName>
    <definedName name="_IVC4">'CAP18 Input'!$H$49</definedName>
    <definedName name="_IVC5">'CAP18 Input'!$I$49</definedName>
    <definedName name="_IVC6">'CAP18 Input'!$J$49</definedName>
    <definedName name="_IVC7">'CAP18 Input'!$K$49</definedName>
    <definedName name="_IVC8">'CAP18 Input'!$L$49</definedName>
    <definedName name="_IVC9">'CAP18 Input'!$M$49</definedName>
    <definedName name="addl_DC_M">'Dead Load Moment'!$G$67</definedName>
    <definedName name="addl_DC_Mx">'Dead Load Moment'!$G$68</definedName>
    <definedName name="addl_DC_My">'Dead Load Moment'!$G$67</definedName>
    <definedName name="addl_DC_P">'Dead Load Moment'!$G$65</definedName>
    <definedName name="addl_LL_Mx">'Live Load on Column'!$G$69</definedName>
    <definedName name="addl_Ll_My">'Live Load on Column'!$G$68</definedName>
    <definedName name="addl_LL_P">'Live Load on Column'!$G$66</definedName>
    <definedName name="AesthColArea">Reference!$T$44:$T$55</definedName>
    <definedName name="AesthColDB">Reference!$M$44:$V$55</definedName>
    <definedName name="AesthColLongIg">Reference!$V$44:$V$55</definedName>
    <definedName name="AesthColLongWidth">Reference!$O$44:$O$55</definedName>
    <definedName name="AesthColSizes">Reference!$M$44:$M$55</definedName>
    <definedName name="AesthColSnTLong">Reference!$X$44:$X$55</definedName>
    <definedName name="AesthColSnTTrans">Reference!$W$44:$W$55</definedName>
    <definedName name="AesthColTransIg">Reference!$U$44:$U$55</definedName>
    <definedName name="AesthColTransWidth">Reference!$N$44:$N$55</definedName>
    <definedName name="AestheticCol">Geometry!$J$95</definedName>
    <definedName name="Arow1">Geometry!$G$84</definedName>
    <definedName name="Arow2">Geometry!$G$85</definedName>
    <definedName name="Arow3">Geometry!$G$86</definedName>
    <definedName name="ASKcheck">Geometry!$R$78</definedName>
    <definedName name="Atest1">Geometry!$O$69</definedName>
    <definedName name="Atest2">Geometry!$O$70</definedName>
    <definedName name="Atest3">Geometry!$O$71</definedName>
    <definedName name="Atest4">Geometry!$O$72</definedName>
    <definedName name="Atest5">Geometry!$O$73</definedName>
    <definedName name="Atest6">Geometry!$O$74</definedName>
    <definedName name="Atest7">Geometry!$O$76</definedName>
    <definedName name="Atest8">Geometry!$O$77</definedName>
    <definedName name="Atest9">Geometry!$O$78</definedName>
    <definedName name="Av" localSheetId="18">'Shear(S) '!$E$28</definedName>
    <definedName name="Av">'Shear(M)'!$E$28</definedName>
    <definedName name="BackBentSkew">Geometry!$J$65</definedName>
    <definedName name="BarM">Geometry!$G$92</definedName>
    <definedName name="BarN">Geometry!$G$93</definedName>
    <definedName name="BarS">Geometry!$G$90</definedName>
    <definedName name="BarsA">Geometry!$G$82</definedName>
    <definedName name="BarsA_As">'Bars A'!$I$13</definedName>
    <definedName name="BarsA_d">'Bars A'!$F$13</definedName>
    <definedName name="BarsAdist">Geometry!$G$83</definedName>
    <definedName name="BarSArrange">Geometry!$G$89</definedName>
    <definedName name="BarsB">Geometry!$K$82</definedName>
    <definedName name="BarsB_As">'Bars B'!$I$13</definedName>
    <definedName name="BarsB_d">'Bars B'!$F$13</definedName>
    <definedName name="BarsBdist">Geometry!$K$83</definedName>
    <definedName name="BarsH">Geometry!$K$89</definedName>
    <definedName name="BarsSminspa">'Shear(M)'!$F$51</definedName>
    <definedName name="BarTable">Reference!$M$6:$P$13</definedName>
    <definedName name="BBSPA1">Geometry!$E$128</definedName>
    <definedName name="BBSPA10">Geometry!$E$137</definedName>
    <definedName name="BBSPA11">Geometry!$E$138</definedName>
    <definedName name="BBSPA12">Geometry!$E$139</definedName>
    <definedName name="BBSPA13">Geometry!$E$140</definedName>
    <definedName name="BBSPA14">Geometry!$E$141</definedName>
    <definedName name="BBSPA15">Geometry!$E$142</definedName>
    <definedName name="BBSPA16">Geometry!$E$143</definedName>
    <definedName name="BBSPA17">Geometry!$E$144</definedName>
    <definedName name="BBSPA18">Geometry!$E$145</definedName>
    <definedName name="BBSPA19">Geometry!$E$146</definedName>
    <definedName name="BBSPA2">Geometry!$E$129</definedName>
    <definedName name="BBSPA20">Geometry!$E$147</definedName>
    <definedName name="BBSPA3">Geometry!$E$130</definedName>
    <definedName name="BBSPA4">Geometry!$E$131</definedName>
    <definedName name="BBSPA5">Geometry!$E$132</definedName>
    <definedName name="BBSPA6">Geometry!$E$133</definedName>
    <definedName name="BBSPA7">Geometry!$E$134</definedName>
    <definedName name="BBSPA8">Geometry!$E$135</definedName>
    <definedName name="BBSPA9">Geometry!$E$136</definedName>
    <definedName name="bckspanspa">'Complex Geometry'!$G$20:$G$38</definedName>
    <definedName name="be">'Inv Tee'!$E$288</definedName>
    <definedName name="BeamType">Reference!$B$6:$B$45</definedName>
    <definedName name="BearingDist">Geometry!$K$69</definedName>
    <definedName name="BentSkew">Geometry!$G$65</definedName>
    <definedName name="beSC">'Inv Tee-SC'!$E$317</definedName>
    <definedName name="Betta_table">Reference!$S$22:$AB$33</definedName>
    <definedName name="BkBearing">Geometry!$K$69</definedName>
    <definedName name="BkBm1toCapEnd">Geometry!$G$68</definedName>
    <definedName name="bkbmdepth">Geometry!$G$21</definedName>
    <definedName name="BkBms">Geometry!$G$31</definedName>
    <definedName name="bkbrgpad">Geometry!$G$22</definedName>
    <definedName name="BkSpa">Geometry!$G$32</definedName>
    <definedName name="BkSpanDC">'Conc DL'!$G$52</definedName>
    <definedName name="BkSpanDW">'Conc DL'!$G$51</definedName>
    <definedName name="bkspangirder">Geometry!$G$19</definedName>
    <definedName name="bkspanhaunch">Geometry!$G$20</definedName>
    <definedName name="BkSpanLeftLen">Geometry!$G$43</definedName>
    <definedName name="BkSpanLong">'Live Load'!$L$14</definedName>
    <definedName name="bkspanpgl">Geometry!$G$35</definedName>
    <definedName name="BkSpanRightLen">Geometry!$G$45</definedName>
    <definedName name="bkspantype">Geometry!$G$18</definedName>
    <definedName name="Bm1toCapEnd">Geometry!$G$69</definedName>
    <definedName name="BmEndDist">Geometry!$H$149</definedName>
    <definedName name="BmLastToCapEnd">Geometry!$G$70</definedName>
    <definedName name="BmNumbers">Reference!$M$19:$M$37</definedName>
    <definedName name="BR_Neglect">'CE &amp; BR'!$C$31</definedName>
    <definedName name="BR_Neglect25?">'CE &amp; BR'!$N$31</definedName>
    <definedName name="BreakBackDistance">'Complex Geometry'!$K$65</definedName>
    <definedName name="Breakbacks">'Complex Geometry'!$G$65</definedName>
    <definedName name="Brow1">Geometry!$K$84</definedName>
    <definedName name="Brow2">Geometry!$K$85</definedName>
    <definedName name="Brow3">Geometry!$K$86</definedName>
    <definedName name="Btest1">Geometry!$Q$69</definedName>
    <definedName name="Btest2">Geometry!$Q$70</definedName>
    <definedName name="Btest3">Geometry!$Q$71</definedName>
    <definedName name="Btest4">Geometry!$Q$72</definedName>
    <definedName name="Btest5">Geometry!$Q$73</definedName>
    <definedName name="Btest6">Geometry!$Q$74</definedName>
    <definedName name="Btest7">Geometry!$Q$76</definedName>
    <definedName name="Btest8">Geometry!$Q$77</definedName>
    <definedName name="Btest9">Geometry!$Q$78</definedName>
    <definedName name="bv" localSheetId="18">'Shear(S) '!$E$15</definedName>
    <definedName name="bv">'Shear(M)'!$E$15</definedName>
    <definedName name="CAP18CHECK">Geometry!$O$66</definedName>
    <definedName name="CAP18comptot">Geometry!$R$66</definedName>
    <definedName name="cap18init">'CAP18 Input'!$A$10</definedName>
    <definedName name="cap18ver">'CAP18 Input'!$Q$8</definedName>
    <definedName name="caparea">Geometry!$K$75</definedName>
    <definedName name="CapDataSht">Geometry!$O$53</definedName>
    <definedName name="capdensity">Geometry!$G$61</definedName>
    <definedName name="CapDepth">Geometry!$G$79</definedName>
    <definedName name="CapEndToSlabEdge">Geometry!$J$104</definedName>
    <definedName name="capheight">Geometry!$G$75</definedName>
    <definedName name="CapInit">Geometry!$P$53</definedName>
    <definedName name="CapitalWeight">Geometry!$G$101</definedName>
    <definedName name="CapitalWidth">Geometry!$G$100</definedName>
    <definedName name="CapitalWt">'Conc DL'!$G$108</definedName>
    <definedName name="CapLedgeDepth">Geometry!$K$67</definedName>
    <definedName name="caplength">Geometry!$G$66</definedName>
    <definedName name="capstemWidth">Geometry!$G$76</definedName>
    <definedName name="CapType">Geometry!$D$60</definedName>
    <definedName name="CapWeight">'Conc DL'!$G$107</definedName>
    <definedName name="capwtpersta">'CAP18 Input'!$L$56</definedName>
    <definedName name="CheckerDate">'Cover Sheet'!$AC$37</definedName>
    <definedName name="CheckerInit">'Cover Sheet'!$U$37</definedName>
    <definedName name="CheckerName">'Cover Sheet'!$F$37</definedName>
    <definedName name="Cmplx_Bk_CCBm1">'Complex Geometry'!$J$19</definedName>
    <definedName name="Cmplx_Bk_CCBm10">'Complex Geometry'!$J$28</definedName>
    <definedName name="Cmplx_Bk_CCBm11">'Complex Geometry'!$J$29</definedName>
    <definedName name="Cmplx_Bk_CCBm12">'Complex Geometry'!$J$30</definedName>
    <definedName name="Cmplx_Bk_CCBm13">'Complex Geometry'!$J$31</definedName>
    <definedName name="Cmplx_Bk_CCBm14">'Complex Geometry'!$J$32</definedName>
    <definedName name="Cmplx_Bk_CCBm15">'Complex Geometry'!$J$33</definedName>
    <definedName name="Cmplx_Bk_CCBm16">'Complex Geometry'!$J$34</definedName>
    <definedName name="Cmplx_Bk_CCBm17">'Complex Geometry'!$J$35</definedName>
    <definedName name="Cmplx_Bk_CCBm18">'Complex Geometry'!$J$36</definedName>
    <definedName name="Cmplx_Bk_CCBm19">'Complex Geometry'!$J$37</definedName>
    <definedName name="Cmplx_Bk_CCBm2">'Complex Geometry'!$J$20</definedName>
    <definedName name="Cmplx_Bk_CCBm20">'Complex Geometry'!$J$38</definedName>
    <definedName name="Cmplx_Bk_CCBm3">'Complex Geometry'!$J$21</definedName>
    <definedName name="Cmplx_Bk_CCBm4">'Complex Geometry'!$J$22</definedName>
    <definedName name="Cmplx_Bk_CCBm5">'Complex Geometry'!$J$23</definedName>
    <definedName name="Cmplx_Bk_CCBm6">'Complex Geometry'!$J$24</definedName>
    <definedName name="Cmplx_Bk_CCBm7">'Complex Geometry'!$J$25</definedName>
    <definedName name="Cmplx_Bk_CCBm8">'Complex Geometry'!$J$26</definedName>
    <definedName name="Cmplx_Bk_CCBm9">'Complex Geometry'!$J$27</definedName>
    <definedName name="Cmplx_Bk_PGLBm1">'Complex Geometry'!$G$19</definedName>
    <definedName name="Cmplx_Bk_PGLBm10">'Complex Geometry'!$G$28</definedName>
    <definedName name="Cmplx_Bk_PGLBm11">'Complex Geometry'!$G$29</definedName>
    <definedName name="Cmplx_Bk_PGLBm12">'Complex Geometry'!$G$30</definedName>
    <definedName name="Cmplx_Bk_PGLBm13">'Complex Geometry'!$G$31</definedName>
    <definedName name="Cmplx_Bk_PGLBm14">'Complex Geometry'!$G$32</definedName>
    <definedName name="Cmplx_Bk_PGLBm15">'Complex Geometry'!$G$33</definedName>
    <definedName name="Cmplx_Bk_PGLBm16">'Complex Geometry'!$G$34</definedName>
    <definedName name="Cmplx_Bk_PGLBm17">'Complex Geometry'!$G$35</definedName>
    <definedName name="Cmplx_Bk_PGLBm18">'Complex Geometry'!$G$36</definedName>
    <definedName name="Cmplx_Bk_PGLBm19">'Complex Geometry'!$G$37</definedName>
    <definedName name="Cmplx_Bk_PGLBm2">'Complex Geometry'!$G$20</definedName>
    <definedName name="Cmplx_Bk_PGLBm20">'Complex Geometry'!$G$38</definedName>
    <definedName name="Cmplx_Bk_PGLBm3">'Complex Geometry'!$G$21</definedName>
    <definedName name="Cmplx_Bk_PGLBm4">'Complex Geometry'!$G$22</definedName>
    <definedName name="Cmplx_Bk_PGLBm5">'Complex Geometry'!$G$23</definedName>
    <definedName name="Cmplx_Bk_PGLBm6">'Complex Geometry'!$G$24</definedName>
    <definedName name="Cmplx_Bk_PGLBm7">'Complex Geometry'!$G$25</definedName>
    <definedName name="Cmplx_Bk_PGLBm8">'Complex Geometry'!$G$26</definedName>
    <definedName name="Cmplx_Bk_PGLBm9">'Complex Geometry'!$G$27</definedName>
    <definedName name="Cmplx_Bk_Width">'Complex Geometry'!$G$13</definedName>
    <definedName name="Cmplx_Fd_CCBm1">'Complex Geometry'!$J$41</definedName>
    <definedName name="Cmplx_Fd_CCBm10">'Complex Geometry'!$J$50</definedName>
    <definedName name="Cmplx_Fd_CCBm11">'Complex Geometry'!$J$51</definedName>
    <definedName name="Cmplx_Fd_CCBm12">'Complex Geometry'!$J$52</definedName>
    <definedName name="Cmplx_Fd_CCBm13">'Complex Geometry'!$J$53</definedName>
    <definedName name="Cmplx_Fd_CCBm14">'Complex Geometry'!$J$54</definedName>
    <definedName name="Cmplx_Fd_CCBm15">'Complex Geometry'!$J$55</definedName>
    <definedName name="Cmplx_Fd_CCBm16">'Complex Geometry'!$J$56</definedName>
    <definedName name="Cmplx_Fd_CCBm17">'Complex Geometry'!$J$57</definedName>
    <definedName name="Cmplx_Fd_CCBm18">'Complex Geometry'!$J$58</definedName>
    <definedName name="Cmplx_Fd_CCBm19">'Complex Geometry'!$J$59</definedName>
    <definedName name="Cmplx_Fd_CCBm2">'Complex Geometry'!$J$42</definedName>
    <definedName name="Cmplx_Fd_CCBm20">'Complex Geometry'!$J$60</definedName>
    <definedName name="Cmplx_Fd_CCBm3">'Complex Geometry'!$J$43</definedName>
    <definedName name="Cmplx_Fd_CCBm4">'Complex Geometry'!$J$44</definedName>
    <definedName name="Cmplx_Fd_CCBm5">'Complex Geometry'!$J$45</definedName>
    <definedName name="Cmplx_Fd_CCBm6">'Complex Geometry'!$J$46</definedName>
    <definedName name="Cmplx_Fd_CCBm7">'Complex Geometry'!$J$47</definedName>
    <definedName name="Cmplx_Fd_CCBm8">'Complex Geometry'!$J$48</definedName>
    <definedName name="Cmplx_Fd_CCBm9">'Complex Geometry'!$J$49</definedName>
    <definedName name="Cmplx_Fd_PGLBm1">'Complex Geometry'!$G$41</definedName>
    <definedName name="Cmplx_Fd_PGLBm10">'Complex Geometry'!$G$50</definedName>
    <definedName name="Cmplx_Fd_PGLBm11">'Complex Geometry'!$G$51</definedName>
    <definedName name="Cmplx_Fd_PGLBm12">'Complex Geometry'!$G$52</definedName>
    <definedName name="Cmplx_Fd_PGLBm13">'Complex Geometry'!$G$53</definedName>
    <definedName name="Cmplx_Fd_PGLBm14">'Complex Geometry'!$G$54</definedName>
    <definedName name="Cmplx_Fd_PGLBm15">'Complex Geometry'!$G$55</definedName>
    <definedName name="Cmplx_Fd_PGLBm16">'Complex Geometry'!$G$56</definedName>
    <definedName name="Cmplx_Fd_PGLBm17">'Complex Geometry'!$G$57</definedName>
    <definedName name="Cmplx_Fd_PGLBm18">'Complex Geometry'!$G$58</definedName>
    <definedName name="Cmplx_Fd_PGLBm19">'Complex Geometry'!$G$59</definedName>
    <definedName name="Cmplx_Fd_PGLBm2">'Complex Geometry'!$G$42</definedName>
    <definedName name="Cmplx_Fd_PGLBm20">'Complex Geometry'!$G$60</definedName>
    <definedName name="Cmplx_Fd_PGLBm3">'Complex Geometry'!$G$43</definedName>
    <definedName name="Cmplx_Fd_PGLBm4">'Complex Geometry'!$G$44</definedName>
    <definedName name="Cmplx_Fd_PGLBm5">'Complex Geometry'!$G$45</definedName>
    <definedName name="Cmplx_Fd_PGLBm6">'Complex Geometry'!$G$46</definedName>
    <definedName name="Cmplx_Fd_PGLBm7">'Complex Geometry'!$G$47</definedName>
    <definedName name="Cmplx_Fd_PGLBm8">'Complex Geometry'!$G$48</definedName>
    <definedName name="Cmplx_Fd_PGLBm9">'Complex Geometry'!$G$49</definedName>
    <definedName name="Cmplx_Fd_Width">'Complex Geometry'!$G$14</definedName>
    <definedName name="CmplxBackCCBentDist">'Complex Geometry'!$J$19:$J$38</definedName>
    <definedName name="CmplxFwdCCBentDist">'Complex Geometry'!$J$41:$J$60</definedName>
    <definedName name="coded">'CAP18 Input'!$M$11</definedName>
    <definedName name="Col_Base_I">'Col Analysis-I'!$F$93:$J$98</definedName>
    <definedName name="Col_Base_II">'Col Analysis-II'!$F$93:$J$98</definedName>
    <definedName name="Col_Offset">Geometry!$G$118</definedName>
    <definedName name="Col_Top_I">'Col Analysis-I'!$F$28:$J$87</definedName>
    <definedName name="Col_Top_II">'Col Analysis-II'!$F$28:$J$87</definedName>
    <definedName name="ColArea">Geometry!$K$98</definedName>
    <definedName name="ColDataSht">Geometry!$O$56</definedName>
    <definedName name="ColHeightI">Geometry!$G$119</definedName>
    <definedName name="ColHeightII">Geometry!$K$119</definedName>
    <definedName name="ColILong">Geometry!$K$100</definedName>
    <definedName name="ColInit">Geometry!$P$56</definedName>
    <definedName name="ColITrans">Geometry!$K$99</definedName>
    <definedName name="collongwidth">Geometry!$G$99</definedName>
    <definedName name="ColNumbers">Reference!$M$18:$M$27</definedName>
    <definedName name="ColSpa1">Geometry!$F$107</definedName>
    <definedName name="ColSpa10">Geometry!$F$116</definedName>
    <definedName name="ColSpa2">Geometry!$F$108</definedName>
    <definedName name="ColSpa3">Geometry!$F$109</definedName>
    <definedName name="ColSpa4">Geometry!$F$110</definedName>
    <definedName name="ColSpa5">Geometry!$F$111</definedName>
    <definedName name="ColSpa6">Geometry!$F$112</definedName>
    <definedName name="ColSpa7">Geometry!$F$113</definedName>
    <definedName name="ColSpa8">Geometry!$F$114</definedName>
    <definedName name="ColSpa9">Geometry!$F$115</definedName>
    <definedName name="ColSpaEnd">Geometry!$G$117</definedName>
    <definedName name="coltranswidth">Geometry!$G$98</definedName>
    <definedName name="ColType">Geometry!$D$95</definedName>
    <definedName name="COLUMNDATA">Reference!$M$44:$X$55</definedName>
    <definedName name="ColumnSpacing">Geometry!$F$107:$F$116</definedName>
    <definedName name="ColumnsShare">Geometry!$L$100</definedName>
    <definedName name="ComplexDeckWidth">'Complex Geometry'!$H$67</definedName>
    <definedName name="ComplexDistToSta">'Complex Geometry'!$K$64</definedName>
    <definedName name="ComplexGeom">'Complex Geometry'!$N$7</definedName>
    <definedName name="ComplexPGLDist">'Complex Geometry'!$H$68</definedName>
    <definedName name="ComplexSkew">'Complex Geometry'!$I$64</definedName>
    <definedName name="condition">'Live Load'!$P$32</definedName>
    <definedName name="countpts">'CAP18 Out(1)'!$P$8</definedName>
    <definedName name="county">'CAP18 Input'!$E$11</definedName>
    <definedName name="cover">Geometry!$G$91</definedName>
    <definedName name="crossslope">Geometry!$G$13</definedName>
    <definedName name="csj">'CAP18 Input'!$J$11</definedName>
    <definedName name="CurrentVersion">'Prog.Doc.'!$A$1</definedName>
    <definedName name="Curvechoices">Reference!$O$26:$O$27</definedName>
    <definedName name="curvedirection">Geometry!$L$30</definedName>
    <definedName name="date">'CAP18 Input'!$O$11</definedName>
    <definedName name="DC_LEFT_PERC">'Col Analysis-I'!$G$18</definedName>
    <definedName name="DeckWidth">Geometry!$G$12</definedName>
    <definedName name="description">'CAP18 Input'!$D$13</definedName>
    <definedName name="DesignerDate">'Cover Sheet'!$AC$34</definedName>
    <definedName name="DesignerInit">'Cover Sheet'!$U$34</definedName>
    <definedName name="DesignerName">'Cover Sheet'!$F$34</definedName>
    <definedName name="DrilledShaftSht">Geometry!$O$58</definedName>
    <definedName name="dsgnspeed">Geometry!$L$32</definedName>
    <definedName name="dv" localSheetId="18">'Shear(S) '!$E$14</definedName>
    <definedName name="dv">'Shear(M)'!$E$14</definedName>
    <definedName name="Earwall_Area">Geometry!$K$78</definedName>
    <definedName name="Earwall_Left">Geometry!$G$77</definedName>
    <definedName name="Earwall_Right">Geometry!$G$78</definedName>
    <definedName name="Ec">Geometry!$I$62</definedName>
    <definedName name="ElevationAdjust">'Wind Loads'!$F$13</definedName>
    <definedName name="Es">Geometry!$I$63</definedName>
    <definedName name="Ex" localSheetId="18">'Shear(S) '!$E$20</definedName>
    <definedName name="Ex">'Shear(M)'!$E$20</definedName>
    <definedName name="exposure">Geometry!$G$64</definedName>
    <definedName name="FBSPA1">Geometry!$E$156</definedName>
    <definedName name="FBSPA10">Geometry!$E$165</definedName>
    <definedName name="FBSPA11">Geometry!$E$166</definedName>
    <definedName name="FBSPA12">Geometry!$E$167</definedName>
    <definedName name="FBSPA13">Geometry!$E$168</definedName>
    <definedName name="FBSPA14">Geometry!$E$169</definedName>
    <definedName name="FBSPA15">Geometry!$E$170</definedName>
    <definedName name="FBSPA16">Geometry!$E$171</definedName>
    <definedName name="FBSPA17">Geometry!$E$172</definedName>
    <definedName name="FBSPA18">Geometry!$E$173</definedName>
    <definedName name="FBSPA19">Geometry!$E$174</definedName>
    <definedName name="FBSPA2">Geometry!$E$157</definedName>
    <definedName name="FBSPA20">Geometry!$E$175</definedName>
    <definedName name="FBSPA3">Geometry!$E$158</definedName>
    <definedName name="FBSPA4">Geometry!$E$159</definedName>
    <definedName name="FBSPA5">Geometry!$E$160</definedName>
    <definedName name="FBSPA6">Geometry!$E$161</definedName>
    <definedName name="FBSPA7">Geometry!$E$162</definedName>
    <definedName name="FBSPA8">Geometry!$E$163</definedName>
    <definedName name="FBSPA9">Geometry!$E$164</definedName>
    <definedName name="fc">Geometry!$G$62</definedName>
    <definedName name="FdBm1toCapEnd">Geometry!$G$69</definedName>
    <definedName name="fdbmdepth">Geometry!$K$21</definedName>
    <definedName name="FdBms">Geometry!$G$33</definedName>
    <definedName name="fdbrgpad">Geometry!$K$22</definedName>
    <definedName name="FdSpa">Geometry!$G$34</definedName>
    <definedName name="fdspangirder">Geometry!$K$19</definedName>
    <definedName name="fdspanhaunch">Geometry!$K$20</definedName>
    <definedName name="FdSpanLeftLen">Geometry!$G$44</definedName>
    <definedName name="FdSpanLong">'Live Load'!$L$16</definedName>
    <definedName name="fdspanpgl">Geometry!$G$36</definedName>
    <definedName name="FdSpanRightLen">Geometry!$G$46</definedName>
    <definedName name="fdspantype">Geometry!$K$18</definedName>
    <definedName name="Filename">'CAP18 Input'!$E$9</definedName>
    <definedName name="FwdBentSkew">Geometry!$K$65</definedName>
    <definedName name="FwdBmLastToCapEnd">Geometry!$G$71</definedName>
    <definedName name="FwdSpanDC">'Conc DL'!$G$103</definedName>
    <definedName name="FwdSpanDW">'Conc DL'!$G$102</definedName>
    <definedName name="fwdspanspa">'Complex Geometry'!$G$42:$G$60</definedName>
    <definedName name="FWSthickness">Geometry!$G$15</definedName>
    <definedName name="FWSwt">Geometry!$G$16</definedName>
    <definedName name="fy">Geometry!$G$63</definedName>
    <definedName name="halfeffectiveface">Geometry!$G$103</definedName>
    <definedName name="hwy">'CAP18 Input'!$H$11</definedName>
    <definedName name="ICrds2">'CAP18 Input'!$I$20</definedName>
    <definedName name="ICrds3">'CAP18 Input'!$J$20</definedName>
    <definedName name="ICrds4">'CAP18 Input'!$K$20</definedName>
    <definedName name="IEnv">'CAP18 Input'!$M$20</definedName>
    <definedName name="IIBM1">'CAP18 Input'!$E$164</definedName>
    <definedName name="IIBM10">'CAP18 Input'!$N$164</definedName>
    <definedName name="IIBM11">'CAP18 Input'!$E$165</definedName>
    <definedName name="IIBM12">'CAP18 Input'!$F$165</definedName>
    <definedName name="IIBM13">'CAP18 Input'!$G$165</definedName>
    <definedName name="IIBM14">'CAP18 Input'!$H$165</definedName>
    <definedName name="IIBM15">'CAP18 Input'!$I$165</definedName>
    <definedName name="IIBM16">'CAP18 Input'!$J$165</definedName>
    <definedName name="IIBM17">'CAP18 Input'!$K$165</definedName>
    <definedName name="IIBM18">'CAP18 Input'!$L$165</definedName>
    <definedName name="IIBM19">'CAP18 Input'!$M$165</definedName>
    <definedName name="IIBM2">'CAP18 Input'!$F$164</definedName>
    <definedName name="IIBM20">'CAP18 Input'!$N$165</definedName>
    <definedName name="IIBM3">'CAP18 Input'!$G$164</definedName>
    <definedName name="IIBM4">'CAP18 Input'!$H$164</definedName>
    <definedName name="IIBM5">'CAP18 Input'!$I$164</definedName>
    <definedName name="IIBM6">'CAP18 Input'!$J$164</definedName>
    <definedName name="IIBM7">'CAP18 Input'!$K$164</definedName>
    <definedName name="IIBM8">'CAP18 Input'!$L$164</definedName>
    <definedName name="IIBM9">'CAP18 Input'!$M$164</definedName>
    <definedName name="IIMC1">'CAP18 Input'!$E$169</definedName>
    <definedName name="IIMC10">'CAP18 Input'!$N$169</definedName>
    <definedName name="IIMC11">'CAP18 Input'!$E$170</definedName>
    <definedName name="IIMC12">'CAP18 Input'!$F$170</definedName>
    <definedName name="IIMC13">'CAP18 Input'!$G$170</definedName>
    <definedName name="IIMC14">'CAP18 Input'!$H$170</definedName>
    <definedName name="IIMC15">'CAP18 Input'!$I$170</definedName>
    <definedName name="IIMC16">'CAP18 Input'!$J$170</definedName>
    <definedName name="IIMC17">'CAP18 Input'!$K$170</definedName>
    <definedName name="IIMC18">'CAP18 Input'!$L$170</definedName>
    <definedName name="IIMC19">'CAP18 Input'!$M$170</definedName>
    <definedName name="IIMC2">'CAP18 Input'!$F$169</definedName>
    <definedName name="IIMC20">'CAP18 Input'!$N$170</definedName>
    <definedName name="IIMC21">'CAP18 Input'!$E$171</definedName>
    <definedName name="IIMC22">'CAP18 Input'!$F$171</definedName>
    <definedName name="IIMC23">'CAP18 Input'!$G$171</definedName>
    <definedName name="IIMC24">'CAP18 Input'!$H$171</definedName>
    <definedName name="IIMC25">'CAP18 Input'!$I$171</definedName>
    <definedName name="IIMC26">'CAP18 Input'!$J$171</definedName>
    <definedName name="IIMC27">'CAP18 Input'!$K$171</definedName>
    <definedName name="IIMC28">'CAP18 Input'!$L$171</definedName>
    <definedName name="IIMC29">'CAP18 Input'!$M$171</definedName>
    <definedName name="IIMC3">'CAP18 Input'!$G$169</definedName>
    <definedName name="IIMC30">'CAP18 Input'!$N$171</definedName>
    <definedName name="IIMC4">'CAP18 Input'!$H$169</definedName>
    <definedName name="IIMC5">'CAP18 Input'!$I$169</definedName>
    <definedName name="IIMC6">'CAP18 Input'!$J$169</definedName>
    <definedName name="IIMC7">'CAP18 Input'!$K$169</definedName>
    <definedName name="IIMC8">'CAP18 Input'!$L$169</definedName>
    <definedName name="IIMC9">'CAP18 Input'!$M$169</definedName>
    <definedName name="IISP1">'CAP18 Input'!$E$167</definedName>
    <definedName name="IISP10">'CAP18 Input'!$N$167</definedName>
    <definedName name="IISP2">'CAP18 Input'!$F$167</definedName>
    <definedName name="IISP3">'CAP18 Input'!$G$167</definedName>
    <definedName name="IISP4">'CAP18 Input'!$H$167</definedName>
    <definedName name="IISP5">'CAP18 Input'!$I$167</definedName>
    <definedName name="IISP6">'CAP18 Input'!$J$167</definedName>
    <definedName name="IISP7">'CAP18 Input'!$K$167</definedName>
    <definedName name="IISP8">'CAP18 Input'!$L$167</definedName>
    <definedName name="IISP9">'CAP18 Input'!$M$167</definedName>
    <definedName name="IIVC1">'CAP18 Input'!$E$173</definedName>
    <definedName name="IIVC10">'CAP18 Input'!$N$173</definedName>
    <definedName name="IIVC11">'CAP18 Input'!$E$174</definedName>
    <definedName name="IIVC12">'CAP18 Input'!$F$174</definedName>
    <definedName name="IIVC13">'CAP18 Input'!$G$174</definedName>
    <definedName name="IIVC14">'CAP18 Input'!$H$174</definedName>
    <definedName name="IIVC15">'CAP18 Input'!$I$174</definedName>
    <definedName name="IIVC16">'CAP18 Input'!$J$174</definedName>
    <definedName name="IIVC17">'CAP18 Input'!$K$174</definedName>
    <definedName name="IIVC18">'CAP18 Input'!$L$174</definedName>
    <definedName name="IIVC19">'CAP18 Input'!$M$174</definedName>
    <definedName name="IIVC2">'CAP18 Input'!$F$173</definedName>
    <definedName name="IIVC20">'CAP18 Input'!$N$174</definedName>
    <definedName name="IIVC21">'CAP18 Input'!$E$175</definedName>
    <definedName name="IIVC22">'CAP18 Input'!$F$175</definedName>
    <definedName name="IIVC23">'CAP18 Input'!$G$175</definedName>
    <definedName name="IIVC24">'CAP18 Input'!$H$175</definedName>
    <definedName name="IIVC25">'CAP18 Input'!$I$175</definedName>
    <definedName name="IIVC26">'CAP18 Input'!$J$175</definedName>
    <definedName name="IIVC27">'CAP18 Input'!$K$175</definedName>
    <definedName name="IIVC28">'CAP18 Input'!$L$175</definedName>
    <definedName name="IIVC29">'CAP18 Input'!$M$175</definedName>
    <definedName name="IIVC3">'CAP18 Input'!$G$173</definedName>
    <definedName name="IIVC30">'CAP18 Input'!$N$175</definedName>
    <definedName name="IIVC4">'CAP18 Input'!$H$173</definedName>
    <definedName name="IIVC5">'CAP18 Input'!$I$173</definedName>
    <definedName name="IIVC6">'CAP18 Input'!$J$173</definedName>
    <definedName name="IIVC7">'CAP18 Input'!$K$173</definedName>
    <definedName name="IIVC8">'CAP18 Input'!$L$173</definedName>
    <definedName name="IIVC9">'CAP18 Input'!$M$173</definedName>
    <definedName name="IMBothSpan">'Live Load on Column'!$F$23</definedName>
    <definedName name="IMLongSpan">'Live Load on Column'!$F$32</definedName>
    <definedName name="Incr">'CAP18 Input'!$E$25</definedName>
    <definedName name="InputIncrement">'CAP18 Input'!$E$22</definedName>
    <definedName name="INTBMLLDF">'Inv Tee-SC'!$N$337</definedName>
    <definedName name="INTBMLLDFMC">'Inv Tee'!$N$307</definedName>
    <definedName name="InvT_Ao">'Inv Tee'!$E$290</definedName>
    <definedName name="InvT_P_Ext">'Inv Tee'!$I$322</definedName>
    <definedName name="InvT_P_Ext_srv">'Inv Tee'!$G$322</definedName>
    <definedName name="InvT_P_Int">'Inv Tee'!$I$323</definedName>
    <definedName name="InvT_P_Int_srv">'Inv Tee'!$G$323</definedName>
    <definedName name="InvT_Tassoc">'Inv Tee'!$J$329</definedName>
    <definedName name="InvT_Tmax">'Inv Tee'!$J$330</definedName>
    <definedName name="InvT_Vassoc">'Inv Tee'!$G$330</definedName>
    <definedName name="InvT_Veq">'Inv Tee'!$G$326</definedName>
    <definedName name="InvT_Vmax">'Inv Tee'!$G$329</definedName>
    <definedName name="InvTeeBotWidth">Geometry!$K$68</definedName>
    <definedName name="InvTSC_Ao">'Inv Tee'!$E$290</definedName>
    <definedName name="InvTSC_P_Ext">'Inv Tee-SC'!$I$357</definedName>
    <definedName name="InvTSC_P_Ext_srv">'Inv Tee-SC'!$G$357</definedName>
    <definedName name="InvTSC_P_Int">'Inv Tee-SC'!$I$358</definedName>
    <definedName name="InvTSC_P_Int_srv">'Inv Tee-SC'!$G$358</definedName>
    <definedName name="InvTSC_Tassoc">'Inv Tee-SC'!$J$364</definedName>
    <definedName name="InvTSC_Tmax">'Inv Tee-SC'!$J$365</definedName>
    <definedName name="InvTSC_Vassoc">'Inv Tee-SC'!$G$365</definedName>
    <definedName name="InvTSC_Veq">'Inv Tee-SC'!$G$361</definedName>
    <definedName name="InvTSC_Vmax">'Inv Tee-SC'!$G$364</definedName>
    <definedName name="IPlot">'CAP18 Input'!$N$20</definedName>
    <definedName name="IPrnt">'CAP18 Input'!$O$20</definedName>
    <definedName name="ISkew">'CAP18 Input'!$Q$20</definedName>
    <definedName name="ISUP1">'CAP18 Input'!$E$43</definedName>
    <definedName name="ISUP10">'CAP18 Input'!$N$43</definedName>
    <definedName name="ISUP2">'CAP18 Input'!$F$43</definedName>
    <definedName name="ISUP3">'CAP18 Input'!$G$43</definedName>
    <definedName name="ISUP4">'CAP18 Input'!$H$43</definedName>
    <definedName name="ISUP5">'CAP18 Input'!$I$43</definedName>
    <definedName name="ISUP6">'CAP18 Input'!$J$43</definedName>
    <definedName name="ISUP7">'CAP18 Input'!$K$43</definedName>
    <definedName name="ISUP8">'CAP18 Input'!$L$43</definedName>
    <definedName name="ISUP9">'CAP18 Input'!$M$43</definedName>
    <definedName name="JobNum">'Cover Sheet'!$Z$4</definedName>
    <definedName name="ListCapTypes">Reference!$O$18:$O$20</definedName>
    <definedName name="LLBothSpan">'Live Load on Column'!$F$22</definedName>
    <definedName name="LLLongSpan">'Live Load on Column'!$F$31</definedName>
    <definedName name="LLTruckBk">'Live Load'!$F$20</definedName>
    <definedName name="LLTruckBoth">'Live Load'!$F$22</definedName>
    <definedName name="LLTruckFd">'Live Load'!$F$21</definedName>
    <definedName name="maxsta">'CAP18 Out(1)'!$P$6</definedName>
    <definedName name="maxx">'CAP18 Out(1)'!$P$7</definedName>
    <definedName name="MultiPresIn">'Live Load on Column'!$K$13</definedName>
    <definedName name="MultiPresOut">'Live Load on Column'!$K$12</definedName>
    <definedName name="MultiPresTot">'Live Load on Column'!$K$11</definedName>
    <definedName name="NegMomentChk">Geometry!$O$79</definedName>
    <definedName name="NoHbars">Geometry!$K$90</definedName>
    <definedName name="NoRangeNames">#REF!</definedName>
    <definedName name="NoSupports">Geometry!$G$95</definedName>
    <definedName name="NumberHbars">Geometry!$K$90</definedName>
    <definedName name="NumLanes">Geometry!$K$13</definedName>
    <definedName name="NumLanesIn">'Live Load on Column'!$G$13</definedName>
    <definedName name="NumLanesOut">'Live Load on Column'!$G$12</definedName>
    <definedName name="OSOH">Geometry!$G$30</definedName>
    <definedName name="OSOHBack">Geometry!$G$29</definedName>
    <definedName name="OSOHBackRT">Geometry!$H$29</definedName>
    <definedName name="OSOHRT">Geometry!$H$30</definedName>
    <definedName name="PedestalHt">Geometry!$G$25</definedName>
    <definedName name="PedestalWt">'Conc DL'!$G$117</definedName>
    <definedName name="PermLoadsBotCol1">'Col Analysis-I'!$F$93:$J$93</definedName>
    <definedName name="PermLoadsBotCol2">'Col Analysis-II'!$F$93:$J$93</definedName>
    <definedName name="PermLoadsCol1">'Col Analysis-I'!$F$28:$J$38</definedName>
    <definedName name="PermLoadsCol2">'Col Analysis-II'!$F$28:$J$38</definedName>
    <definedName name="PGLdist">Geometry!$G$28</definedName>
    <definedName name="PGLradius">Geometry!$G$27</definedName>
    <definedName name="PGLToBm1">Geometry!$G$67</definedName>
    <definedName name="PosMomentChk">Geometry!$Q$79</definedName>
    <definedName name="_xlnm.Print_Area" localSheetId="13">'Bars A'!$B$1:$L$82</definedName>
    <definedName name="_xlnm.Print_Area" localSheetId="14">'Bars B'!$B$1:$L$82</definedName>
    <definedName name="_xlnm.Print_Area" localSheetId="12">'Cap Analysis'!$B$1:$L$107</definedName>
    <definedName name="_xlnm.Print_Area" localSheetId="7">'CAP18 Input'!$B$1:$S$270</definedName>
    <definedName name="_xlnm.Print_Area" localSheetId="8">'CAP18 Out(1)'!$C$1:$M$114</definedName>
    <definedName name="_xlnm.Print_Area" localSheetId="9">'CAP18 Out(2)'!$B$1:$N$59</definedName>
    <definedName name="_xlnm.Print_Area" localSheetId="22">'CE &amp; BR'!$B$1:$L$58</definedName>
    <definedName name="_xlnm.Print_Area" localSheetId="24">'Col Analysis-I'!$B$1:$L$98</definedName>
    <definedName name="_xlnm.Print_Area" localSheetId="25">'Col Analysis-II'!$B$1:$L$98</definedName>
    <definedName name="_xlnm.Print_Area" localSheetId="1">'Complex Geometry'!$B$1:$L$69</definedName>
    <definedName name="_xlnm.Print_Area" localSheetId="4">'Conc DL'!$B$1:$L$117</definedName>
    <definedName name="_xlnm.Print_Area" localSheetId="2">'Cover Sheet'!$B$1:$AG$56</definedName>
    <definedName name="_xlnm.Print_Area" localSheetId="26">'D.S. Loads'!$B$1:$L$47</definedName>
    <definedName name="_xlnm.Print_Area" localSheetId="5">'Dead Load Moment'!$B$1:$K$68</definedName>
    <definedName name="_xlnm.Print_Area" localSheetId="20">'Design Summary'!$B$1:$N$45</definedName>
    <definedName name="_xlnm.Print_Area" localSheetId="3">Geometry!$B$1:$L$194</definedName>
    <definedName name="_xlnm.Print_Area" localSheetId="16">'Inv Tee'!$C$1:$M$330</definedName>
    <definedName name="_xlnm.Print_Area" localSheetId="15">'Inv Tee-SC'!$C$1:$M$367</definedName>
    <definedName name="_xlnm.Print_Area" localSheetId="6">'Live Load'!$B$1:$L$51</definedName>
    <definedName name="_xlnm.Print_Area" localSheetId="11">'Live Load on Cap'!$B$1:$L$62</definedName>
    <definedName name="_xlnm.Print_Area" localSheetId="21">'Live Load on Column'!$B$1:$L$69</definedName>
    <definedName name="_xlnm.Print_Area" localSheetId="0">'Prog.Doc.'!$B$1:$K$63</definedName>
    <definedName name="_xlnm.Print_Area" localSheetId="27">Reference!$M$41:$V$55</definedName>
    <definedName name="_xlnm.Print_Area" localSheetId="17">'Shear(M)'!$B$1:$M$156</definedName>
    <definedName name="_xlnm.Print_Area" localSheetId="18">'Shear(S) '!$B$1:$L$48</definedName>
    <definedName name="_xlnm.Print_Area" localSheetId="23">'Wind Loads'!$B$1:$L$161</definedName>
    <definedName name="_xlnm.Print_Titles" localSheetId="13">'Bars A'!$1:$8</definedName>
    <definedName name="_xlnm.Print_Titles" localSheetId="14">'Bars B'!$1:$8</definedName>
    <definedName name="_xlnm.Print_Titles" localSheetId="12">'Cap Analysis'!$1:$8</definedName>
    <definedName name="_xlnm.Print_Titles" localSheetId="7">'CAP18 Input'!$1:$8</definedName>
    <definedName name="_xlnm.Print_Titles" localSheetId="8">'CAP18 Out(1)'!$1:$11</definedName>
    <definedName name="_xlnm.Print_Titles" localSheetId="9">'CAP18 Out(2)'!$1:$8</definedName>
    <definedName name="_xlnm.Print_Titles" localSheetId="22">'CE &amp; BR'!$1:$8</definedName>
    <definedName name="_xlnm.Print_Titles" localSheetId="24">'Col Analysis-I'!$1:$27</definedName>
    <definedName name="_xlnm.Print_Titles" localSheetId="25">'Col Analysis-II'!$1:$27</definedName>
    <definedName name="_xlnm.Print_Titles" localSheetId="1">'Complex Geometry'!$1:$7</definedName>
    <definedName name="_xlnm.Print_Titles" localSheetId="4">'Conc DL'!$1:$8</definedName>
    <definedName name="_xlnm.Print_Titles" localSheetId="2">'Cover Sheet'!$1:$6</definedName>
    <definedName name="_xlnm.Print_Titles" localSheetId="5">'Dead Load Moment'!$1:$7</definedName>
    <definedName name="_xlnm.Print_Titles" localSheetId="20">'Design Summary'!$1:$8</definedName>
    <definedName name="_xlnm.Print_Titles" localSheetId="3">Geometry!$1:$8</definedName>
    <definedName name="_xlnm.Print_Titles" localSheetId="16">'Inv Tee'!$1:$8</definedName>
    <definedName name="_xlnm.Print_Titles" localSheetId="15">'Inv Tee-SC'!$1:$8</definedName>
    <definedName name="_xlnm.Print_Titles" localSheetId="6">'Live Load'!$1:$8</definedName>
    <definedName name="_xlnm.Print_Titles" localSheetId="11">'Live Load on Cap'!$1:$8</definedName>
    <definedName name="_xlnm.Print_Titles" localSheetId="21">'Live Load on Column'!$1:$8</definedName>
    <definedName name="_xlnm.Print_Titles" localSheetId="0">'Prog.Doc.'!$1:$4</definedName>
    <definedName name="_xlnm.Print_Titles" localSheetId="17">'Shear(M)'!$1:$8</definedName>
    <definedName name="_xlnm.Print_Titles" localSheetId="18">'Shear(S) '!$1:$8</definedName>
    <definedName name="_xlnm.Print_Titles" localSheetId="23">'Wind Loads'!$1:$9</definedName>
    <definedName name="PrjV30">'Wind Loads'!$H$13</definedName>
    <definedName name="ProbI1">'CAP18 Input'!$D$15</definedName>
    <definedName name="ProbI2">'CAP18 Input'!$F$15</definedName>
    <definedName name="ProbI3">'CAP18 Input'!$H$15</definedName>
    <definedName name="ProbII1">'CAP18 Input'!$D$148</definedName>
    <definedName name="ProjectName">'Cover Sheet'!$E$4</definedName>
    <definedName name="ProjectSubject">Geometry!$G$11</definedName>
    <definedName name="PSWRD">PW!$A$1</definedName>
    <definedName name="rail3rd">Geometry!$G$50</definedName>
    <definedName name="Rail3rdWt">Geometry!$G$53</definedName>
    <definedName name="RailDistributeBackEnd">Geometry!$L$50</definedName>
    <definedName name="RailDistributeBackStart">Geometry!$K$50</definedName>
    <definedName name="RailDistributeFwdEnd">Geometry!$L$51</definedName>
    <definedName name="RailDistributeFwdStart">Geometry!$K$51</definedName>
    <definedName name="RailDistribution">Geometry!$O$48</definedName>
    <definedName name="railheight">Geometry!$G$54</definedName>
    <definedName name="railLeft">Geometry!$E$50</definedName>
    <definedName name="railRight">Geometry!$F$50</definedName>
    <definedName name="RailRightWt">Geometry!$F$53</definedName>
    <definedName name="RailType">Reference!$H$6:$H$49</definedName>
    <definedName name="RailWidth">Geometry!$E$52</definedName>
    <definedName name="RailWidthRt">Geometry!$F$52</definedName>
    <definedName name="RailWtLeft">Geometry!$E$53</definedName>
    <definedName name="RdwyWidth">Geometry!$K$12</definedName>
    <definedName name="sdwkdensity">Geometry!$H$56</definedName>
    <definedName name="sdwkthickness">Geometry!$E$57</definedName>
    <definedName name="sdwkwidth">Geometry!$E$56</definedName>
    <definedName name="segmentlength">'Complex Geometry'!$G$64</definedName>
    <definedName name="sidewalk">Geometry!$H$57</definedName>
    <definedName name="Skew">'CAP18 Input'!$Q$20</definedName>
    <definedName name="slabthickness" localSheetId="16">Geometry!$F$14</definedName>
    <definedName name="slabthickness" localSheetId="15">Geometry!$F$14</definedName>
    <definedName name="slabthickness" localSheetId="21">Geometry!$F$14</definedName>
    <definedName name="slabthickness">Geometry!$G$14</definedName>
    <definedName name="SpaCheck">'Shear(M)'!$H$51</definedName>
    <definedName name="stations">'CAP18 Input'!$D$25</definedName>
    <definedName name="Stirrup">'Shear(M)'!$O$35</definedName>
    <definedName name="StirrupArrangmentOptions">'Shear(M)'!$O$32:$P$34</definedName>
    <definedName name="Subject">'Cover Sheet'!$E$5</definedName>
    <definedName name="super?">Geometry!$L$31</definedName>
    <definedName name="superdepth">Geometry!$G$24</definedName>
    <definedName name="SVs" localSheetId="18">'Shear(S) '!$E$29</definedName>
    <definedName name="SVs">'Shear(M)'!$E$29</definedName>
    <definedName name="SWalkDistributeBackEnd">Geometry!$L$56</definedName>
    <definedName name="SWalkDistributeBackStart">Geometry!$K$56</definedName>
    <definedName name="SWalkDistributeFwdEnd">Geometry!$L$57</definedName>
    <definedName name="SWalkDistributeFwdStart">Geometry!$K$57</definedName>
    <definedName name="test" localSheetId="13">'Bars A'!$K$8</definedName>
    <definedName name="test" localSheetId="14">'Bars B'!$K$8</definedName>
    <definedName name="test" localSheetId="17">'Shear(M)'!$K$8</definedName>
    <definedName name="test" localSheetId="18">'Shear(S) '!$K$8</definedName>
    <definedName name="Theta_table">Reference!$S$6:$AB$17</definedName>
    <definedName name="TransLoadsBotCol1">'Col Analysis-I'!$F$94:$J$98</definedName>
    <definedName name="TransLoadsBotCol2">'Col Analysis-II'!$F$94:$J$98</definedName>
    <definedName name="TransLoadsCol1">'Col Analysis-I'!$F$39:$J$87</definedName>
    <definedName name="TransLoadsCol2">'Col Analysis-II'!$F$39:$J$87</definedName>
    <definedName name="utilities">Geometry!$G$17</definedName>
    <definedName name="v_fc_ratio" localSheetId="18">'Shear(S) '!$E$22</definedName>
    <definedName name="v_fc_ratio">'Shear(M)'!$E$22</definedName>
    <definedName name="Vc" localSheetId="18">'Shear(S) '!$E$26</definedName>
    <definedName name="Vc">'Shear(M)'!$E$26</definedName>
    <definedName name="Vnmax" localSheetId="18">'Shear(S) '!$E$31</definedName>
    <definedName name="Vnmax">'Shear(M)'!$E$31</definedName>
    <definedName name="Wind_LF">'Wind Loads'!$I$46:$I$49</definedName>
    <definedName name="WindCentroid">'Wind Loads'!$E$104</definedName>
    <definedName name="WindCentroid2">'Wind Loads'!$E$123</definedName>
    <definedName name="WindCond">'Wind Loads'!$F$14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74" i="25" l="1"/>
  <c r="Y74" i="25"/>
  <c r="Z73" i="25"/>
  <c r="Y73" i="25"/>
  <c r="Z72" i="25"/>
  <c r="Y72" i="25"/>
  <c r="Z71" i="25"/>
  <c r="Y71" i="25"/>
  <c r="Z70" i="25"/>
  <c r="Y70" i="25"/>
  <c r="Z69" i="25"/>
  <c r="Y69" i="25"/>
  <c r="Z68" i="25"/>
  <c r="Y68" i="25"/>
  <c r="Z67" i="25"/>
  <c r="Y67" i="25"/>
  <c r="Z66" i="25"/>
  <c r="Y66" i="25"/>
  <c r="Z65" i="25"/>
  <c r="Y65" i="25"/>
  <c r="Z64" i="25"/>
  <c r="Y64" i="25"/>
  <c r="Z63" i="25"/>
  <c r="Y63" i="25"/>
  <c r="Z62" i="25"/>
  <c r="Y62" i="25"/>
  <c r="Z61" i="25"/>
  <c r="Y61" i="25"/>
  <c r="Z60" i="25"/>
  <c r="Y60" i="25"/>
  <c r="Z59" i="25"/>
  <c r="Y59" i="25"/>
  <c r="Z58" i="25"/>
  <c r="Y58" i="25"/>
  <c r="Z57" i="25"/>
  <c r="Y57" i="25"/>
  <c r="Z56" i="25"/>
  <c r="Y56" i="25"/>
  <c r="Z55" i="25"/>
  <c r="Y55" i="25"/>
  <c r="AJ16" i="25"/>
  <c r="AK16" i="25" s="1"/>
  <c r="AJ20" i="25"/>
  <c r="AK20" i="25" s="1"/>
  <c r="AK12" i="25"/>
  <c r="AK11" i="25"/>
  <c r="V74" i="25"/>
  <c r="V73" i="25"/>
  <c r="V72" i="25"/>
  <c r="V71" i="25"/>
  <c r="V70" i="25"/>
  <c r="V69" i="25"/>
  <c r="V68" i="25"/>
  <c r="V67" i="25"/>
  <c r="V66" i="25"/>
  <c r="V65" i="25"/>
  <c r="V64" i="25"/>
  <c r="V63" i="25"/>
  <c r="V62" i="25"/>
  <c r="V61" i="25"/>
  <c r="V60" i="25"/>
  <c r="V59" i="25"/>
  <c r="V58" i="25"/>
  <c r="V57" i="25"/>
  <c r="V56" i="25"/>
  <c r="V55" i="25"/>
  <c r="U74" i="25"/>
  <c r="U73" i="25"/>
  <c r="U72" i="25"/>
  <c r="U71" i="25"/>
  <c r="U70" i="25"/>
  <c r="U69" i="25"/>
  <c r="U68" i="25"/>
  <c r="U67" i="25"/>
  <c r="U66" i="25"/>
  <c r="U65" i="25"/>
  <c r="U64" i="25"/>
  <c r="U63" i="25"/>
  <c r="U62" i="25"/>
  <c r="U61" i="25"/>
  <c r="U60" i="25"/>
  <c r="U59" i="25"/>
  <c r="U58" i="25"/>
  <c r="U57" i="25"/>
  <c r="U56" i="25"/>
  <c r="U55" i="25"/>
  <c r="T74" i="25"/>
  <c r="T73" i="25"/>
  <c r="T72" i="25"/>
  <c r="T71" i="25"/>
  <c r="T70" i="25"/>
  <c r="T69" i="25"/>
  <c r="T68" i="25"/>
  <c r="T67" i="25"/>
  <c r="T66" i="25"/>
  <c r="T65" i="25"/>
  <c r="T64" i="25"/>
  <c r="T63" i="25"/>
  <c r="T62" i="25"/>
  <c r="T61" i="25"/>
  <c r="T60" i="25"/>
  <c r="T59" i="25"/>
  <c r="T58" i="25"/>
  <c r="T57" i="25"/>
  <c r="T56" i="25"/>
  <c r="T55" i="25"/>
  <c r="R74" i="25"/>
  <c r="R73" i="25"/>
  <c r="R72" i="25"/>
  <c r="R71" i="25"/>
  <c r="R70" i="25"/>
  <c r="R69" i="25"/>
  <c r="R68" i="25"/>
  <c r="R67" i="25"/>
  <c r="R66" i="25"/>
  <c r="R65" i="25"/>
  <c r="R64" i="25"/>
  <c r="R63" i="25"/>
  <c r="R62" i="25"/>
  <c r="R61" i="25"/>
  <c r="R60" i="25"/>
  <c r="R59" i="25"/>
  <c r="R58" i="25"/>
  <c r="R57" i="25"/>
  <c r="R56" i="25"/>
  <c r="R55" i="25"/>
  <c r="Z44" i="25"/>
  <c r="Y44" i="25"/>
  <c r="Z43" i="25"/>
  <c r="Y43" i="25"/>
  <c r="Z42" i="25"/>
  <c r="Y42" i="25"/>
  <c r="Z41" i="25"/>
  <c r="Y41" i="25"/>
  <c r="Z40" i="25"/>
  <c r="Y40" i="25"/>
  <c r="Z39" i="25"/>
  <c r="Y39" i="25"/>
  <c r="Z38" i="25"/>
  <c r="Y38" i="25"/>
  <c r="Z37" i="25"/>
  <c r="Y37" i="25"/>
  <c r="Z36" i="25"/>
  <c r="Y36" i="25"/>
  <c r="Z35" i="25"/>
  <c r="Y35" i="25"/>
  <c r="Z34" i="25"/>
  <c r="Y34" i="25"/>
  <c r="Z33" i="25"/>
  <c r="Y33" i="25"/>
  <c r="Z32" i="25"/>
  <c r="Y32" i="25"/>
  <c r="Z31" i="25"/>
  <c r="Y31" i="25"/>
  <c r="Z30" i="25"/>
  <c r="Y30" i="25"/>
  <c r="Z29" i="25"/>
  <c r="Y29" i="25"/>
  <c r="Y28" i="25"/>
  <c r="Z27" i="25"/>
  <c r="Z26" i="25"/>
  <c r="Y25" i="25"/>
  <c r="V44" i="25"/>
  <c r="U44" i="25"/>
  <c r="V43" i="25"/>
  <c r="U43" i="25"/>
  <c r="V42" i="25"/>
  <c r="U42" i="25"/>
  <c r="V41" i="25"/>
  <c r="U41" i="25"/>
  <c r="V40" i="25"/>
  <c r="U40" i="25"/>
  <c r="V39" i="25"/>
  <c r="U39" i="25"/>
  <c r="V38" i="25"/>
  <c r="U38" i="25"/>
  <c r="V37" i="25"/>
  <c r="U37" i="25"/>
  <c r="V36" i="25"/>
  <c r="U36" i="25"/>
  <c r="V35" i="25"/>
  <c r="U35" i="25"/>
  <c r="V34" i="25"/>
  <c r="U34" i="25"/>
  <c r="V33" i="25"/>
  <c r="U33" i="25"/>
  <c r="V32" i="25"/>
  <c r="U32" i="25"/>
  <c r="V31" i="25"/>
  <c r="U31" i="25"/>
  <c r="V30" i="25"/>
  <c r="U30" i="25"/>
  <c r="V29" i="25"/>
  <c r="U29" i="25"/>
  <c r="V28" i="25"/>
  <c r="U28" i="25"/>
  <c r="V27" i="25"/>
  <c r="Y27" i="25" s="1"/>
  <c r="U27" i="25"/>
  <c r="V26" i="25"/>
  <c r="Y26" i="25" s="1"/>
  <c r="U26" i="25"/>
  <c r="V25" i="25"/>
  <c r="U25" i="25"/>
  <c r="T44" i="25"/>
  <c r="T43" i="25"/>
  <c r="T42" i="25"/>
  <c r="T41" i="25"/>
  <c r="T40" i="25"/>
  <c r="T39" i="25"/>
  <c r="T38" i="25"/>
  <c r="T37" i="25"/>
  <c r="T36" i="25"/>
  <c r="T35" i="25"/>
  <c r="T34" i="25"/>
  <c r="T33" i="25"/>
  <c r="T32" i="25"/>
  <c r="T31" i="25"/>
  <c r="T30" i="25"/>
  <c r="T29" i="25"/>
  <c r="T28" i="25"/>
  <c r="T27" i="25"/>
  <c r="T26" i="25"/>
  <c r="T25" i="25"/>
  <c r="R26" i="25"/>
  <c r="R27" i="25"/>
  <c r="R28" i="25"/>
  <c r="R29" i="25"/>
  <c r="R30" i="25"/>
  <c r="R31" i="25"/>
  <c r="R32" i="25"/>
  <c r="R33" i="25"/>
  <c r="R34" i="25"/>
  <c r="R35" i="25"/>
  <c r="R36" i="25"/>
  <c r="R37" i="25"/>
  <c r="R38" i="25"/>
  <c r="R39" i="25"/>
  <c r="R40" i="25"/>
  <c r="R41" i="25"/>
  <c r="R42" i="25"/>
  <c r="R43" i="25"/>
  <c r="R44" i="25"/>
  <c r="R25" i="25"/>
  <c r="Z25" i="25" l="1"/>
  <c r="Z28" i="25"/>
  <c r="G68" i="1" l="1"/>
  <c r="E156" i="1"/>
  <c r="E131" i="1"/>
  <c r="E129" i="1"/>
  <c r="E128" i="1"/>
  <c r="G34" i="1"/>
  <c r="G69" i="1" s="1"/>
  <c r="T118" i="1" s="1"/>
  <c r="G32" i="1"/>
  <c r="E130" i="1" s="1"/>
  <c r="T63" i="1" s="1"/>
  <c r="K22" i="1"/>
  <c r="K20" i="1"/>
  <c r="T110" i="1" s="1"/>
  <c r="K19" i="1"/>
  <c r="T109" i="1" s="1"/>
  <c r="K18" i="1"/>
  <c r="BK55" i="14"/>
  <c r="BK56" i="14"/>
  <c r="T120" i="1"/>
  <c r="T119" i="1"/>
  <c r="T117" i="1"/>
  <c r="T116" i="1"/>
  <c r="T115" i="1"/>
  <c r="T114" i="1"/>
  <c r="T113" i="1"/>
  <c r="T112" i="1"/>
  <c r="T111" i="1"/>
  <c r="T108" i="1"/>
  <c r="T107" i="1"/>
  <c r="T106" i="1"/>
  <c r="T105" i="1"/>
  <c r="T104" i="1"/>
  <c r="T103" i="1"/>
  <c r="T102" i="1"/>
  <c r="T101" i="1"/>
  <c r="T100" i="1"/>
  <c r="T99" i="1"/>
  <c r="T98" i="1"/>
  <c r="T97" i="1"/>
  <c r="T96" i="1"/>
  <c r="T95" i="1"/>
  <c r="T94" i="1"/>
  <c r="T93" i="1"/>
  <c r="T92" i="1"/>
  <c r="T91" i="1"/>
  <c r="T90" i="1"/>
  <c r="T89" i="1"/>
  <c r="T88" i="1"/>
  <c r="T87" i="1"/>
  <c r="T81" i="1"/>
  <c r="T80" i="1"/>
  <c r="T79" i="1"/>
  <c r="T78" i="1"/>
  <c r="T77" i="1"/>
  <c r="T76" i="1"/>
  <c r="T75" i="1"/>
  <c r="T74" i="1"/>
  <c r="T73" i="1"/>
  <c r="T72" i="1"/>
  <c r="T71" i="1"/>
  <c r="T70" i="1"/>
  <c r="T69" i="1"/>
  <c r="T68" i="1"/>
  <c r="T67" i="1"/>
  <c r="T61" i="1"/>
  <c r="T60" i="1"/>
  <c r="T59" i="1"/>
  <c r="T58" i="1"/>
  <c r="T57" i="1"/>
  <c r="T56" i="1"/>
  <c r="T55" i="1"/>
  <c r="T54" i="1"/>
  <c r="T53" i="1"/>
  <c r="T52" i="1"/>
  <c r="T51" i="1"/>
  <c r="T50" i="1"/>
  <c r="T49" i="1"/>
  <c r="T48" i="1"/>
  <c r="T46" i="1"/>
  <c r="T45" i="1"/>
  <c r="T44" i="1"/>
  <c r="T43" i="1"/>
  <c r="T42" i="1"/>
  <c r="T41" i="1"/>
  <c r="T40" i="1"/>
  <c r="T38" i="1"/>
  <c r="T37" i="1"/>
  <c r="T36" i="1"/>
  <c r="T35" i="1"/>
  <c r="T34" i="1"/>
  <c r="T33" i="1"/>
  <c r="T32" i="1"/>
  <c r="T31" i="1"/>
  <c r="T30" i="1"/>
  <c r="T28" i="1"/>
  <c r="T26" i="1"/>
  <c r="T25" i="1"/>
  <c r="T24" i="1"/>
  <c r="T23" i="1"/>
  <c r="T22" i="1"/>
  <c r="T20" i="1"/>
  <c r="T19" i="1"/>
  <c r="T18" i="1"/>
  <c r="T17" i="1"/>
  <c r="T16" i="1"/>
  <c r="T15" i="1"/>
  <c r="T14" i="1"/>
  <c r="T13" i="1"/>
  <c r="T12" i="1"/>
  <c r="AF13" i="9"/>
  <c r="AG13" i="9"/>
  <c r="AH13" i="9"/>
  <c r="AI13" i="9"/>
  <c r="AJ13" i="9"/>
  <c r="AK13" i="9"/>
  <c r="AL13" i="9"/>
  <c r="AM13" i="9"/>
  <c r="AF14" i="9"/>
  <c r="AG14" i="9"/>
  <c r="AH14" i="9"/>
  <c r="AI14" i="9"/>
  <c r="AJ14" i="9"/>
  <c r="AK14" i="9"/>
  <c r="AL14" i="9"/>
  <c r="AM14" i="9"/>
  <c r="AF15" i="9"/>
  <c r="AG15" i="9"/>
  <c r="AH15" i="9"/>
  <c r="AI15" i="9"/>
  <c r="AJ15" i="9"/>
  <c r="AK15" i="9"/>
  <c r="AL15" i="9"/>
  <c r="AM15" i="9"/>
  <c r="AF16" i="9"/>
  <c r="AG16" i="9"/>
  <c r="AH16" i="9"/>
  <c r="AI16" i="9"/>
  <c r="AJ16" i="9"/>
  <c r="AK16" i="9"/>
  <c r="AL16" i="9"/>
  <c r="AM16" i="9"/>
  <c r="AF17" i="9"/>
  <c r="AG17" i="9"/>
  <c r="AH17" i="9"/>
  <c r="AI17" i="9"/>
  <c r="AJ17" i="9"/>
  <c r="AK17" i="9"/>
  <c r="AL17" i="9"/>
  <c r="AM17" i="9"/>
  <c r="AF18" i="9"/>
  <c r="AG18" i="9"/>
  <c r="AH18" i="9"/>
  <c r="AI18" i="9"/>
  <c r="AJ18" i="9"/>
  <c r="AK18" i="9"/>
  <c r="AL18" i="9"/>
  <c r="AM18" i="9"/>
  <c r="AF19" i="9"/>
  <c r="AG19" i="9"/>
  <c r="AH19" i="9"/>
  <c r="AI19" i="9"/>
  <c r="AJ19" i="9"/>
  <c r="AK19" i="9"/>
  <c r="AL19" i="9"/>
  <c r="AM19" i="9"/>
  <c r="AF20" i="9"/>
  <c r="AG20" i="9"/>
  <c r="AH20" i="9"/>
  <c r="AI20" i="9"/>
  <c r="AJ20" i="9"/>
  <c r="AK20" i="9"/>
  <c r="AL20" i="9"/>
  <c r="AM20" i="9"/>
  <c r="AF21" i="9"/>
  <c r="AG21" i="9"/>
  <c r="AH21" i="9"/>
  <c r="AI21" i="9"/>
  <c r="AJ21" i="9"/>
  <c r="AK21" i="9"/>
  <c r="AL21" i="9"/>
  <c r="AM21" i="9"/>
  <c r="AF22" i="9"/>
  <c r="AG22" i="9"/>
  <c r="AH22" i="9"/>
  <c r="AI22" i="9"/>
  <c r="AJ22" i="9"/>
  <c r="AK22" i="9"/>
  <c r="AL22" i="9"/>
  <c r="AM22" i="9"/>
  <c r="AF23" i="9"/>
  <c r="AG23" i="9"/>
  <c r="AH23" i="9"/>
  <c r="AI23" i="9"/>
  <c r="AJ23" i="9"/>
  <c r="AK23" i="9"/>
  <c r="AL23" i="9"/>
  <c r="AM23" i="9"/>
  <c r="AF24" i="9"/>
  <c r="AG24" i="9"/>
  <c r="AH24" i="9"/>
  <c r="AI24" i="9"/>
  <c r="AJ24" i="9"/>
  <c r="AK24" i="9"/>
  <c r="AL24" i="9"/>
  <c r="AM24" i="9"/>
  <c r="AF25" i="9"/>
  <c r="AG25" i="9"/>
  <c r="AH25" i="9"/>
  <c r="AI25" i="9"/>
  <c r="AJ25" i="9"/>
  <c r="AK25" i="9"/>
  <c r="AL25" i="9"/>
  <c r="AM25" i="9"/>
  <c r="AF26" i="9"/>
  <c r="AG26" i="9"/>
  <c r="AH26" i="9"/>
  <c r="AI26" i="9"/>
  <c r="AJ26" i="9"/>
  <c r="AK26" i="9"/>
  <c r="AL26" i="9"/>
  <c r="AM26" i="9"/>
  <c r="AF27" i="9"/>
  <c r="AG27" i="9"/>
  <c r="AH27" i="9"/>
  <c r="AI27" i="9"/>
  <c r="AJ27" i="9"/>
  <c r="AK27" i="9"/>
  <c r="AL27" i="9"/>
  <c r="AM27" i="9"/>
  <c r="AF28" i="9"/>
  <c r="AG28" i="9"/>
  <c r="AH28" i="9"/>
  <c r="AI28" i="9"/>
  <c r="AJ28" i="9"/>
  <c r="AK28" i="9"/>
  <c r="AL28" i="9"/>
  <c r="AM28" i="9"/>
  <c r="AF29" i="9"/>
  <c r="AG29" i="9"/>
  <c r="AH29" i="9"/>
  <c r="AI29" i="9"/>
  <c r="AJ29" i="9"/>
  <c r="AK29" i="9"/>
  <c r="AL29" i="9"/>
  <c r="AM29" i="9"/>
  <c r="AF30" i="9"/>
  <c r="AG30" i="9"/>
  <c r="AH30" i="9"/>
  <c r="AI30" i="9"/>
  <c r="AJ30" i="9"/>
  <c r="AK30" i="9"/>
  <c r="AL30" i="9"/>
  <c r="AM30" i="9"/>
  <c r="AF31" i="9"/>
  <c r="AG31" i="9"/>
  <c r="AH31" i="9"/>
  <c r="AI31" i="9"/>
  <c r="AJ31" i="9"/>
  <c r="AK31" i="9"/>
  <c r="AL31" i="9"/>
  <c r="AM31" i="9"/>
  <c r="AF32" i="9"/>
  <c r="AG32" i="9"/>
  <c r="AH32" i="9"/>
  <c r="AI32" i="9"/>
  <c r="AJ32" i="9"/>
  <c r="AK32" i="9"/>
  <c r="AL32" i="9"/>
  <c r="AM32" i="9"/>
  <c r="AF33" i="9"/>
  <c r="AG33" i="9"/>
  <c r="AH33" i="9"/>
  <c r="AI33" i="9"/>
  <c r="AJ33" i="9"/>
  <c r="AK33" i="9"/>
  <c r="AL33" i="9"/>
  <c r="AM33" i="9"/>
  <c r="AF34" i="9"/>
  <c r="AG34" i="9"/>
  <c r="AH34" i="9"/>
  <c r="AI34" i="9"/>
  <c r="AJ34" i="9"/>
  <c r="AK34" i="9"/>
  <c r="AL34" i="9"/>
  <c r="AM34" i="9"/>
  <c r="AF35" i="9"/>
  <c r="AG35" i="9"/>
  <c r="AH35" i="9"/>
  <c r="AI35" i="9"/>
  <c r="AJ35" i="9"/>
  <c r="AK35" i="9"/>
  <c r="AL35" i="9"/>
  <c r="AM35" i="9"/>
  <c r="AF36" i="9"/>
  <c r="AG36" i="9"/>
  <c r="AH36" i="9"/>
  <c r="AI36" i="9"/>
  <c r="AJ36" i="9"/>
  <c r="AK36" i="9"/>
  <c r="AL36" i="9"/>
  <c r="AM36" i="9"/>
  <c r="AF37" i="9"/>
  <c r="AG37" i="9"/>
  <c r="AH37" i="9"/>
  <c r="AI37" i="9"/>
  <c r="AJ37" i="9"/>
  <c r="AK37" i="9"/>
  <c r="AL37" i="9"/>
  <c r="AM37" i="9"/>
  <c r="AF38" i="9"/>
  <c r="AG38" i="9"/>
  <c r="AH38" i="9"/>
  <c r="AI38" i="9"/>
  <c r="AJ38" i="9"/>
  <c r="AK38" i="9"/>
  <c r="AL38" i="9"/>
  <c r="AM38" i="9"/>
  <c r="AF39" i="9"/>
  <c r="AG39" i="9"/>
  <c r="AH39" i="9"/>
  <c r="AI39" i="9"/>
  <c r="AJ39" i="9"/>
  <c r="AK39" i="9"/>
  <c r="AL39" i="9"/>
  <c r="AM39" i="9"/>
  <c r="AF40" i="9"/>
  <c r="AG40" i="9"/>
  <c r="AH40" i="9"/>
  <c r="AI40" i="9"/>
  <c r="AJ40" i="9"/>
  <c r="AK40" i="9"/>
  <c r="AL40" i="9"/>
  <c r="AM40" i="9"/>
  <c r="AF41" i="9"/>
  <c r="AG41" i="9"/>
  <c r="AH41" i="9"/>
  <c r="AI41" i="9"/>
  <c r="AJ41" i="9"/>
  <c r="AK41" i="9"/>
  <c r="AL41" i="9"/>
  <c r="AM41" i="9"/>
  <c r="AF42" i="9"/>
  <c r="AG42" i="9"/>
  <c r="AH42" i="9"/>
  <c r="AI42" i="9"/>
  <c r="AJ42" i="9"/>
  <c r="AK42" i="9"/>
  <c r="AL42" i="9"/>
  <c r="AM42" i="9"/>
  <c r="AF43" i="9"/>
  <c r="AG43" i="9"/>
  <c r="AH43" i="9"/>
  <c r="AI43" i="9"/>
  <c r="AJ43" i="9"/>
  <c r="AK43" i="9"/>
  <c r="AL43" i="9"/>
  <c r="AM43" i="9"/>
  <c r="AF44" i="9"/>
  <c r="AG44" i="9"/>
  <c r="AH44" i="9"/>
  <c r="AI44" i="9"/>
  <c r="AJ44" i="9"/>
  <c r="AK44" i="9"/>
  <c r="AL44" i="9"/>
  <c r="AM44" i="9"/>
  <c r="AF45" i="9"/>
  <c r="AG45" i="9"/>
  <c r="AH45" i="9"/>
  <c r="AI45" i="9"/>
  <c r="AJ45" i="9"/>
  <c r="AK45" i="9"/>
  <c r="AL45" i="9"/>
  <c r="AM45" i="9"/>
  <c r="AF46" i="9"/>
  <c r="AG46" i="9"/>
  <c r="AH46" i="9"/>
  <c r="AI46" i="9"/>
  <c r="AJ46" i="9"/>
  <c r="AK46" i="9"/>
  <c r="AL46" i="9"/>
  <c r="AM46" i="9"/>
  <c r="AF47" i="9"/>
  <c r="AG47" i="9"/>
  <c r="AH47" i="9"/>
  <c r="AI47" i="9"/>
  <c r="AJ47" i="9"/>
  <c r="AK47" i="9"/>
  <c r="AL47" i="9"/>
  <c r="AM47" i="9"/>
  <c r="AF48" i="9"/>
  <c r="AG48" i="9"/>
  <c r="AH48" i="9"/>
  <c r="AI48" i="9"/>
  <c r="AJ48" i="9"/>
  <c r="AK48" i="9"/>
  <c r="AL48" i="9"/>
  <c r="AM48" i="9"/>
  <c r="AF49" i="9"/>
  <c r="AG49" i="9"/>
  <c r="AH49" i="9"/>
  <c r="AI49" i="9"/>
  <c r="AJ49" i="9"/>
  <c r="AK49" i="9"/>
  <c r="AL49" i="9"/>
  <c r="AM49" i="9"/>
  <c r="AF50" i="9"/>
  <c r="AG50" i="9"/>
  <c r="AH50" i="9"/>
  <c r="AI50" i="9"/>
  <c r="AJ50" i="9"/>
  <c r="AK50" i="9"/>
  <c r="AL50" i="9"/>
  <c r="AM50" i="9"/>
  <c r="AF51" i="9"/>
  <c r="AG51" i="9"/>
  <c r="AH51" i="9"/>
  <c r="AI51" i="9"/>
  <c r="AJ51" i="9"/>
  <c r="AK51" i="9"/>
  <c r="AL51" i="9"/>
  <c r="AM51" i="9"/>
  <c r="AF52" i="9"/>
  <c r="AG52" i="9"/>
  <c r="AH52" i="9"/>
  <c r="AI52" i="9"/>
  <c r="AJ52" i="9"/>
  <c r="AK52" i="9"/>
  <c r="AL52" i="9"/>
  <c r="AM52" i="9"/>
  <c r="AF53" i="9"/>
  <c r="AG53" i="9"/>
  <c r="AH53" i="9"/>
  <c r="AI53" i="9"/>
  <c r="AJ53" i="9"/>
  <c r="AK53" i="9"/>
  <c r="AL53" i="9"/>
  <c r="AM53" i="9"/>
  <c r="AF54" i="9"/>
  <c r="AG54" i="9"/>
  <c r="AH54" i="9"/>
  <c r="AI54" i="9"/>
  <c r="AJ54" i="9"/>
  <c r="AK54" i="9"/>
  <c r="AL54" i="9"/>
  <c r="AM54" i="9"/>
  <c r="AF55" i="9"/>
  <c r="AG55" i="9"/>
  <c r="AH55" i="9"/>
  <c r="AI55" i="9"/>
  <c r="AJ55" i="9"/>
  <c r="AK55" i="9"/>
  <c r="AL55" i="9"/>
  <c r="AM55" i="9"/>
  <c r="AF56" i="9"/>
  <c r="AG56" i="9"/>
  <c r="AH56" i="9"/>
  <c r="AI56" i="9"/>
  <c r="AJ56" i="9"/>
  <c r="AK56" i="9"/>
  <c r="AL56" i="9"/>
  <c r="AM56" i="9"/>
  <c r="AF57" i="9"/>
  <c r="AG57" i="9"/>
  <c r="AH57" i="9"/>
  <c r="AI57" i="9"/>
  <c r="AJ57" i="9"/>
  <c r="AK57" i="9"/>
  <c r="AL57" i="9"/>
  <c r="AM57" i="9"/>
  <c r="AF58" i="9"/>
  <c r="AG58" i="9"/>
  <c r="AH58" i="9"/>
  <c r="AI58" i="9"/>
  <c r="AJ58" i="9"/>
  <c r="AK58" i="9"/>
  <c r="AL58" i="9"/>
  <c r="AM58" i="9"/>
  <c r="AF59" i="9"/>
  <c r="AG59" i="9"/>
  <c r="AH59" i="9"/>
  <c r="AI59" i="9"/>
  <c r="AJ59" i="9"/>
  <c r="AK59" i="9"/>
  <c r="AL59" i="9"/>
  <c r="AM59" i="9"/>
  <c r="AF60" i="9"/>
  <c r="AG60" i="9"/>
  <c r="AH60" i="9"/>
  <c r="AI60" i="9"/>
  <c r="AJ60" i="9"/>
  <c r="AK60" i="9"/>
  <c r="AL60" i="9"/>
  <c r="AM60" i="9"/>
  <c r="AF61" i="9"/>
  <c r="AG61" i="9"/>
  <c r="AH61" i="9"/>
  <c r="AI61" i="9"/>
  <c r="AJ61" i="9"/>
  <c r="AK61" i="9"/>
  <c r="AL61" i="9"/>
  <c r="AM61" i="9"/>
  <c r="AF62" i="9"/>
  <c r="AG62" i="9"/>
  <c r="AH62" i="9"/>
  <c r="AI62" i="9"/>
  <c r="AJ62" i="9"/>
  <c r="AK62" i="9"/>
  <c r="AL62" i="9"/>
  <c r="AM62" i="9"/>
  <c r="AF63" i="9"/>
  <c r="AG63" i="9"/>
  <c r="AH63" i="9"/>
  <c r="AI63" i="9"/>
  <c r="AJ63" i="9"/>
  <c r="AK63" i="9"/>
  <c r="AL63" i="9"/>
  <c r="AM63" i="9"/>
  <c r="AF64" i="9"/>
  <c r="AG64" i="9"/>
  <c r="AH64" i="9"/>
  <c r="AI64" i="9"/>
  <c r="AJ64" i="9"/>
  <c r="AK64" i="9"/>
  <c r="AL64" i="9"/>
  <c r="AM64" i="9"/>
  <c r="AF65" i="9"/>
  <c r="AG65" i="9"/>
  <c r="AH65" i="9"/>
  <c r="AI65" i="9"/>
  <c r="AJ65" i="9"/>
  <c r="AK65" i="9"/>
  <c r="AL65" i="9"/>
  <c r="AM65" i="9"/>
  <c r="AF66" i="9"/>
  <c r="AG66" i="9"/>
  <c r="AH66" i="9"/>
  <c r="AI66" i="9"/>
  <c r="AJ66" i="9"/>
  <c r="AK66" i="9"/>
  <c r="AL66" i="9"/>
  <c r="AM66" i="9"/>
  <c r="AF67" i="9"/>
  <c r="AG67" i="9"/>
  <c r="AH67" i="9"/>
  <c r="AI67" i="9"/>
  <c r="AJ67" i="9"/>
  <c r="AK67" i="9"/>
  <c r="AL67" i="9"/>
  <c r="AM67" i="9"/>
  <c r="AF68" i="9"/>
  <c r="AG68" i="9"/>
  <c r="AH68" i="9"/>
  <c r="AI68" i="9"/>
  <c r="AJ68" i="9"/>
  <c r="AK68" i="9"/>
  <c r="AL68" i="9"/>
  <c r="AM68" i="9"/>
  <c r="AF69" i="9"/>
  <c r="AG69" i="9"/>
  <c r="AH69" i="9"/>
  <c r="AI69" i="9"/>
  <c r="AJ69" i="9"/>
  <c r="AK69" i="9"/>
  <c r="AL69" i="9"/>
  <c r="AM69" i="9"/>
  <c r="AF70" i="9"/>
  <c r="AG70" i="9"/>
  <c r="AH70" i="9"/>
  <c r="AI70" i="9"/>
  <c r="AJ70" i="9"/>
  <c r="AK70" i="9"/>
  <c r="AL70" i="9"/>
  <c r="AM70" i="9"/>
  <c r="AF71" i="9"/>
  <c r="AG71" i="9"/>
  <c r="AH71" i="9"/>
  <c r="AI71" i="9"/>
  <c r="AJ71" i="9"/>
  <c r="AK71" i="9"/>
  <c r="AL71" i="9"/>
  <c r="AM71" i="9"/>
  <c r="AF72" i="9"/>
  <c r="AG72" i="9"/>
  <c r="AH72" i="9"/>
  <c r="AI72" i="9"/>
  <c r="AJ72" i="9"/>
  <c r="AK72" i="9"/>
  <c r="AL72" i="9"/>
  <c r="AM72" i="9"/>
  <c r="AF73" i="9"/>
  <c r="AG73" i="9"/>
  <c r="AH73" i="9"/>
  <c r="AI73" i="9"/>
  <c r="AJ73" i="9"/>
  <c r="AK73" i="9"/>
  <c r="AL73" i="9"/>
  <c r="AM73" i="9"/>
  <c r="AF74" i="9"/>
  <c r="AG74" i="9"/>
  <c r="AH74" i="9"/>
  <c r="AI74" i="9"/>
  <c r="AJ74" i="9"/>
  <c r="AK74" i="9"/>
  <c r="AL74" i="9"/>
  <c r="AM74" i="9"/>
  <c r="AF75" i="9"/>
  <c r="AG75" i="9"/>
  <c r="AH75" i="9"/>
  <c r="AI75" i="9"/>
  <c r="AJ75" i="9"/>
  <c r="AK75" i="9"/>
  <c r="AL75" i="9"/>
  <c r="AM75" i="9"/>
  <c r="AF76" i="9"/>
  <c r="AG76" i="9"/>
  <c r="AH76" i="9"/>
  <c r="AI76" i="9"/>
  <c r="AJ76" i="9"/>
  <c r="AK76" i="9"/>
  <c r="AL76" i="9"/>
  <c r="AM76" i="9"/>
  <c r="AF77" i="9"/>
  <c r="AG77" i="9"/>
  <c r="AH77" i="9"/>
  <c r="AI77" i="9"/>
  <c r="AJ77" i="9"/>
  <c r="AK77" i="9"/>
  <c r="AL77" i="9"/>
  <c r="AM77" i="9"/>
  <c r="AF78" i="9"/>
  <c r="AG78" i="9"/>
  <c r="AH78" i="9"/>
  <c r="AI78" i="9"/>
  <c r="AJ78" i="9"/>
  <c r="AK78" i="9"/>
  <c r="AL78" i="9"/>
  <c r="AM78" i="9"/>
  <c r="AF79" i="9"/>
  <c r="AG79" i="9"/>
  <c r="AH79" i="9"/>
  <c r="AI79" i="9"/>
  <c r="AJ79" i="9"/>
  <c r="AK79" i="9"/>
  <c r="AL79" i="9"/>
  <c r="AM79" i="9"/>
  <c r="AF80" i="9"/>
  <c r="AG80" i="9"/>
  <c r="AH80" i="9"/>
  <c r="AI80" i="9"/>
  <c r="AJ80" i="9"/>
  <c r="AK80" i="9"/>
  <c r="AL80" i="9"/>
  <c r="AM80" i="9"/>
  <c r="AF81" i="9"/>
  <c r="AG81" i="9"/>
  <c r="AH81" i="9"/>
  <c r="AI81" i="9"/>
  <c r="AJ81" i="9"/>
  <c r="AK81" i="9"/>
  <c r="AL81" i="9"/>
  <c r="AM81" i="9"/>
  <c r="AF82" i="9"/>
  <c r="AG82" i="9"/>
  <c r="AH82" i="9"/>
  <c r="AI82" i="9"/>
  <c r="AJ82" i="9"/>
  <c r="AK82" i="9"/>
  <c r="AL82" i="9"/>
  <c r="AM82" i="9"/>
  <c r="AF83" i="9"/>
  <c r="AG83" i="9"/>
  <c r="AH83" i="9"/>
  <c r="AI83" i="9"/>
  <c r="AJ83" i="9"/>
  <c r="AK83" i="9"/>
  <c r="AL83" i="9"/>
  <c r="AM83" i="9"/>
  <c r="AF84" i="9"/>
  <c r="AG84" i="9"/>
  <c r="AH84" i="9"/>
  <c r="AI84" i="9"/>
  <c r="AJ84" i="9"/>
  <c r="AK84" i="9"/>
  <c r="AL84" i="9"/>
  <c r="AM84" i="9"/>
  <c r="AF85" i="9"/>
  <c r="AG85" i="9"/>
  <c r="AH85" i="9"/>
  <c r="AI85" i="9"/>
  <c r="AJ85" i="9"/>
  <c r="AK85" i="9"/>
  <c r="AL85" i="9"/>
  <c r="AM85" i="9"/>
  <c r="AF86" i="9"/>
  <c r="AG86" i="9"/>
  <c r="AH86" i="9"/>
  <c r="AI86" i="9"/>
  <c r="AJ86" i="9"/>
  <c r="AK86" i="9"/>
  <c r="AL86" i="9"/>
  <c r="AM86" i="9"/>
  <c r="AF87" i="9"/>
  <c r="AG87" i="9"/>
  <c r="AH87" i="9"/>
  <c r="AI87" i="9"/>
  <c r="AJ87" i="9"/>
  <c r="AK87" i="9"/>
  <c r="AL87" i="9"/>
  <c r="AM87" i="9"/>
  <c r="AF88" i="9"/>
  <c r="AG88" i="9"/>
  <c r="AH88" i="9"/>
  <c r="AI88" i="9"/>
  <c r="AJ88" i="9"/>
  <c r="AK88" i="9"/>
  <c r="AL88" i="9"/>
  <c r="AM88" i="9"/>
  <c r="AF89" i="9"/>
  <c r="AG89" i="9"/>
  <c r="AH89" i="9"/>
  <c r="AI89" i="9"/>
  <c r="AJ89" i="9"/>
  <c r="AK89" i="9"/>
  <c r="AL89" i="9"/>
  <c r="AM89" i="9"/>
  <c r="AF90" i="9"/>
  <c r="AG90" i="9"/>
  <c r="AH90" i="9"/>
  <c r="AI90" i="9"/>
  <c r="AJ90" i="9"/>
  <c r="AK90" i="9"/>
  <c r="AL90" i="9"/>
  <c r="AM90" i="9"/>
  <c r="AF91" i="9"/>
  <c r="AG91" i="9"/>
  <c r="AH91" i="9"/>
  <c r="AI91" i="9"/>
  <c r="AJ91" i="9"/>
  <c r="AK91" i="9"/>
  <c r="AL91" i="9"/>
  <c r="AM91" i="9"/>
  <c r="AF92" i="9"/>
  <c r="AG92" i="9"/>
  <c r="AH92" i="9"/>
  <c r="AI92" i="9"/>
  <c r="AJ92" i="9"/>
  <c r="AK92" i="9"/>
  <c r="AL92" i="9"/>
  <c r="AM92" i="9"/>
  <c r="AF93" i="9"/>
  <c r="AG93" i="9"/>
  <c r="AH93" i="9"/>
  <c r="AI93" i="9"/>
  <c r="AJ93" i="9"/>
  <c r="AK93" i="9"/>
  <c r="AL93" i="9"/>
  <c r="AM93" i="9"/>
  <c r="AF94" i="9"/>
  <c r="AG94" i="9"/>
  <c r="AH94" i="9"/>
  <c r="AI94" i="9"/>
  <c r="AJ94" i="9"/>
  <c r="AK94" i="9"/>
  <c r="AL94" i="9"/>
  <c r="AM94" i="9"/>
  <c r="AF95" i="9"/>
  <c r="AG95" i="9"/>
  <c r="AH95" i="9"/>
  <c r="AI95" i="9"/>
  <c r="AJ95" i="9"/>
  <c r="AK95" i="9"/>
  <c r="AL95" i="9"/>
  <c r="AM95" i="9"/>
  <c r="AF96" i="9"/>
  <c r="AG96" i="9"/>
  <c r="AH96" i="9"/>
  <c r="AI96" i="9"/>
  <c r="AJ96" i="9"/>
  <c r="AK96" i="9"/>
  <c r="AL96" i="9"/>
  <c r="AM96" i="9"/>
  <c r="AF97" i="9"/>
  <c r="AG97" i="9"/>
  <c r="AH97" i="9"/>
  <c r="AI97" i="9"/>
  <c r="AJ97" i="9"/>
  <c r="AK97" i="9"/>
  <c r="AL97" i="9"/>
  <c r="AM97" i="9"/>
  <c r="AF98" i="9"/>
  <c r="AG98" i="9"/>
  <c r="AH98" i="9"/>
  <c r="AI98" i="9"/>
  <c r="AJ98" i="9"/>
  <c r="AK98" i="9"/>
  <c r="AL98" i="9"/>
  <c r="AM98" i="9"/>
  <c r="AF99" i="9"/>
  <c r="AG99" i="9"/>
  <c r="AH99" i="9"/>
  <c r="AI99" i="9"/>
  <c r="AJ99" i="9"/>
  <c r="AK99" i="9"/>
  <c r="AL99" i="9"/>
  <c r="AM99" i="9"/>
  <c r="AF100" i="9"/>
  <c r="AG100" i="9"/>
  <c r="AH100" i="9"/>
  <c r="AI100" i="9"/>
  <c r="AJ100" i="9"/>
  <c r="AK100" i="9"/>
  <c r="AL100" i="9"/>
  <c r="AM100" i="9"/>
  <c r="AF101" i="9"/>
  <c r="AG101" i="9"/>
  <c r="AH101" i="9"/>
  <c r="AI101" i="9"/>
  <c r="AJ101" i="9"/>
  <c r="AK101" i="9"/>
  <c r="AL101" i="9"/>
  <c r="AM101" i="9"/>
  <c r="AF102" i="9"/>
  <c r="AG102" i="9"/>
  <c r="AH102" i="9"/>
  <c r="AI102" i="9"/>
  <c r="AJ102" i="9"/>
  <c r="AK102" i="9"/>
  <c r="AL102" i="9"/>
  <c r="AM102" i="9"/>
  <c r="AF103" i="9"/>
  <c r="AG103" i="9"/>
  <c r="AH103" i="9"/>
  <c r="AI103" i="9"/>
  <c r="AJ103" i="9"/>
  <c r="AK103" i="9"/>
  <c r="AL103" i="9"/>
  <c r="AM103" i="9"/>
  <c r="AF104" i="9"/>
  <c r="AG104" i="9"/>
  <c r="AH104" i="9"/>
  <c r="AI104" i="9"/>
  <c r="AJ104" i="9"/>
  <c r="AK104" i="9"/>
  <c r="AL104" i="9"/>
  <c r="AM104" i="9"/>
  <c r="AF105" i="9"/>
  <c r="AG105" i="9"/>
  <c r="AH105" i="9"/>
  <c r="AI105" i="9"/>
  <c r="AJ105" i="9"/>
  <c r="AK105" i="9"/>
  <c r="AL105" i="9"/>
  <c r="AM105" i="9"/>
  <c r="AF106" i="9"/>
  <c r="AG106" i="9"/>
  <c r="AH106" i="9"/>
  <c r="AI106" i="9"/>
  <c r="AJ106" i="9"/>
  <c r="AK106" i="9"/>
  <c r="AL106" i="9"/>
  <c r="AM106" i="9"/>
  <c r="AF107" i="9"/>
  <c r="AG107" i="9"/>
  <c r="AH107" i="9"/>
  <c r="AI107" i="9"/>
  <c r="AJ107" i="9"/>
  <c r="AK107" i="9"/>
  <c r="AL107" i="9"/>
  <c r="AM107" i="9"/>
  <c r="AF108" i="9"/>
  <c r="AG108" i="9"/>
  <c r="AH108" i="9"/>
  <c r="AI108" i="9"/>
  <c r="AJ108" i="9"/>
  <c r="AK108" i="9"/>
  <c r="AL108" i="9"/>
  <c r="AM108" i="9"/>
  <c r="AF109" i="9"/>
  <c r="AG109" i="9"/>
  <c r="AH109" i="9"/>
  <c r="AI109" i="9"/>
  <c r="AJ109" i="9"/>
  <c r="AK109" i="9"/>
  <c r="AL109" i="9"/>
  <c r="AM109" i="9"/>
  <c r="AF110" i="9"/>
  <c r="AG110" i="9"/>
  <c r="AH110" i="9"/>
  <c r="AI110" i="9"/>
  <c r="AJ110" i="9"/>
  <c r="AK110" i="9"/>
  <c r="AL110" i="9"/>
  <c r="AM110" i="9"/>
  <c r="AF111" i="9"/>
  <c r="AG111" i="9"/>
  <c r="AH111" i="9"/>
  <c r="AI111" i="9"/>
  <c r="AJ111" i="9"/>
  <c r="AK111" i="9"/>
  <c r="AL111" i="9"/>
  <c r="AM111" i="9"/>
  <c r="AF112" i="9"/>
  <c r="AG112" i="9"/>
  <c r="AH112" i="9"/>
  <c r="AI112" i="9"/>
  <c r="AJ112" i="9"/>
  <c r="AK112" i="9"/>
  <c r="AL112" i="9"/>
  <c r="AM112" i="9"/>
  <c r="AF113" i="9"/>
  <c r="AG113" i="9"/>
  <c r="AH113" i="9"/>
  <c r="AI113" i="9"/>
  <c r="AJ113" i="9"/>
  <c r="AK113" i="9"/>
  <c r="AL113" i="9"/>
  <c r="AM113" i="9"/>
  <c r="AF114" i="9"/>
  <c r="AG114" i="9"/>
  <c r="AH114" i="9"/>
  <c r="AI114" i="9"/>
  <c r="AJ114" i="9"/>
  <c r="AK114" i="9"/>
  <c r="AL114" i="9"/>
  <c r="AM114" i="9"/>
  <c r="C13" i="9"/>
  <c r="D13" i="9" s="1"/>
  <c r="C55" i="14" s="1"/>
  <c r="T55" i="14" s="1"/>
  <c r="R13" i="9"/>
  <c r="C14" i="9"/>
  <c r="D14" i="9"/>
  <c r="C56" i="14" s="1"/>
  <c r="R14" i="9"/>
  <c r="C15" i="9"/>
  <c r="D15" i="9" s="1"/>
  <c r="C57" i="14" s="1"/>
  <c r="T57" i="14" s="1"/>
  <c r="R15" i="9"/>
  <c r="C16" i="9"/>
  <c r="D16" i="9" s="1"/>
  <c r="C58" i="14" s="1"/>
  <c r="T58" i="14" s="1"/>
  <c r="R16" i="9"/>
  <c r="C17" i="9"/>
  <c r="D17" i="9" s="1"/>
  <c r="C59" i="14" s="1"/>
  <c r="T59" i="14" s="1"/>
  <c r="R17" i="9"/>
  <c r="C18" i="9"/>
  <c r="D18" i="9" s="1"/>
  <c r="C60" i="14" s="1"/>
  <c r="T60" i="14" s="1"/>
  <c r="R18" i="9"/>
  <c r="C19" i="9"/>
  <c r="D19" i="9" s="1"/>
  <c r="C61" i="14" s="1"/>
  <c r="T61" i="14" s="1"/>
  <c r="R19" i="9"/>
  <c r="C20" i="9"/>
  <c r="D20" i="9"/>
  <c r="C62" i="14" s="1"/>
  <c r="T62" i="14" s="1"/>
  <c r="R20" i="9"/>
  <c r="C21" i="9"/>
  <c r="D21" i="9" s="1"/>
  <c r="C63" i="14" s="1"/>
  <c r="T63" i="14" s="1"/>
  <c r="R21" i="9"/>
  <c r="C22" i="9"/>
  <c r="D22" i="9" s="1"/>
  <c r="C64" i="14" s="1"/>
  <c r="T64" i="14" s="1"/>
  <c r="R22" i="9"/>
  <c r="C23" i="9"/>
  <c r="D23" i="9" s="1"/>
  <c r="C65" i="14" s="1"/>
  <c r="R23" i="9"/>
  <c r="C24" i="9"/>
  <c r="D24" i="9" s="1"/>
  <c r="C66" i="14" s="1"/>
  <c r="T66" i="14" s="1"/>
  <c r="R24" i="9"/>
  <c r="C25" i="9"/>
  <c r="D25" i="9" s="1"/>
  <c r="C67" i="14" s="1"/>
  <c r="T67" i="14" s="1"/>
  <c r="R25" i="9"/>
  <c r="C26" i="9"/>
  <c r="D26" i="9" s="1"/>
  <c r="C68" i="14" s="1"/>
  <c r="R26" i="9"/>
  <c r="C27" i="9"/>
  <c r="D27" i="9" s="1"/>
  <c r="C69" i="14" s="1"/>
  <c r="R27" i="9"/>
  <c r="C28" i="9"/>
  <c r="D28" i="9" s="1"/>
  <c r="C70" i="14" s="1"/>
  <c r="T70" i="14" s="1"/>
  <c r="R28" i="9"/>
  <c r="C29" i="9"/>
  <c r="D29" i="9" s="1"/>
  <c r="C71" i="14" s="1"/>
  <c r="T71" i="14" s="1"/>
  <c r="R29" i="9"/>
  <c r="C30" i="9"/>
  <c r="D30" i="9" s="1"/>
  <c r="C72" i="14" s="1"/>
  <c r="T72" i="14" s="1"/>
  <c r="R30" i="9"/>
  <c r="C31" i="9"/>
  <c r="D31" i="9" s="1"/>
  <c r="C73" i="14" s="1"/>
  <c r="T73" i="14" s="1"/>
  <c r="R31" i="9"/>
  <c r="C32" i="9"/>
  <c r="D32" i="9"/>
  <c r="C74" i="14" s="1"/>
  <c r="T74" i="14" s="1"/>
  <c r="R32" i="9"/>
  <c r="C33" i="9"/>
  <c r="D33" i="9"/>
  <c r="C75" i="14" s="1"/>
  <c r="T75" i="14" s="1"/>
  <c r="R33" i="9"/>
  <c r="C34" i="9"/>
  <c r="D34" i="9" s="1"/>
  <c r="C76" i="14" s="1"/>
  <c r="T76" i="14" s="1"/>
  <c r="R34" i="9"/>
  <c r="C35" i="9"/>
  <c r="D35" i="9" s="1"/>
  <c r="C77" i="14" s="1"/>
  <c r="R35" i="9"/>
  <c r="C36" i="9"/>
  <c r="D36" i="9"/>
  <c r="C78" i="14" s="1"/>
  <c r="R36" i="9"/>
  <c r="C37" i="9"/>
  <c r="D37" i="9" s="1"/>
  <c r="C79" i="14" s="1"/>
  <c r="R37" i="9"/>
  <c r="C38" i="9"/>
  <c r="D38" i="9" s="1"/>
  <c r="C80" i="14" s="1"/>
  <c r="R38" i="9"/>
  <c r="C39" i="9"/>
  <c r="D39" i="9"/>
  <c r="C81" i="14" s="1"/>
  <c r="T81" i="14" s="1"/>
  <c r="R39" i="9"/>
  <c r="C40" i="9"/>
  <c r="D40" i="9" s="1"/>
  <c r="C82" i="14" s="1"/>
  <c r="R40" i="9"/>
  <c r="C41" i="9"/>
  <c r="D41" i="9" s="1"/>
  <c r="C83" i="14" s="1"/>
  <c r="T83" i="14" s="1"/>
  <c r="R41" i="9"/>
  <c r="C42" i="9"/>
  <c r="D42" i="9"/>
  <c r="C84" i="14" s="1"/>
  <c r="T84" i="14" s="1"/>
  <c r="R42" i="9"/>
  <c r="C43" i="9"/>
  <c r="D43" i="9" s="1"/>
  <c r="C85" i="14" s="1"/>
  <c r="T85" i="14" s="1"/>
  <c r="R43" i="9"/>
  <c r="C44" i="9"/>
  <c r="D44" i="9" s="1"/>
  <c r="C86" i="14" s="1"/>
  <c r="T86" i="14" s="1"/>
  <c r="R44" i="9"/>
  <c r="C45" i="9"/>
  <c r="D45" i="9" s="1"/>
  <c r="C87" i="14" s="1"/>
  <c r="R45" i="9"/>
  <c r="C46" i="9"/>
  <c r="D46" i="9" s="1"/>
  <c r="C88" i="14" s="1"/>
  <c r="T88" i="14" s="1"/>
  <c r="R46" i="9"/>
  <c r="C47" i="9"/>
  <c r="D47" i="9" s="1"/>
  <c r="C89" i="14" s="1"/>
  <c r="T89" i="14" s="1"/>
  <c r="R47" i="9"/>
  <c r="C48" i="9"/>
  <c r="D48" i="9" s="1"/>
  <c r="C90" i="14" s="1"/>
  <c r="T90" i="14" s="1"/>
  <c r="R48" i="9"/>
  <c r="C49" i="9"/>
  <c r="D49" i="9" s="1"/>
  <c r="C91" i="14" s="1"/>
  <c r="T91" i="14" s="1"/>
  <c r="R49" i="9"/>
  <c r="C50" i="9"/>
  <c r="D50" i="9" s="1"/>
  <c r="C92" i="14" s="1"/>
  <c r="T92" i="14" s="1"/>
  <c r="R50" i="9"/>
  <c r="C51" i="9"/>
  <c r="D51" i="9" s="1"/>
  <c r="C93" i="14" s="1"/>
  <c r="T93" i="14" s="1"/>
  <c r="R51" i="9"/>
  <c r="C52" i="9"/>
  <c r="D52" i="9"/>
  <c r="C94" i="14" s="1"/>
  <c r="T94" i="14" s="1"/>
  <c r="R52" i="9"/>
  <c r="C53" i="9"/>
  <c r="D53" i="9" s="1"/>
  <c r="C95" i="14" s="1"/>
  <c r="T95" i="14" s="1"/>
  <c r="R53" i="9"/>
  <c r="C54" i="9"/>
  <c r="D54" i="9"/>
  <c r="C96" i="14" s="1"/>
  <c r="T96" i="14" s="1"/>
  <c r="R54" i="9"/>
  <c r="C55" i="9"/>
  <c r="D55" i="9"/>
  <c r="C97" i="14" s="1"/>
  <c r="T97" i="14" s="1"/>
  <c r="R55" i="9"/>
  <c r="C56" i="9"/>
  <c r="D56" i="9" s="1"/>
  <c r="C98" i="14" s="1"/>
  <c r="R56" i="9"/>
  <c r="C57" i="9"/>
  <c r="D57" i="9" s="1"/>
  <c r="C99" i="14" s="1"/>
  <c r="T99" i="14" s="1"/>
  <c r="R57" i="9"/>
  <c r="C58" i="9"/>
  <c r="D58" i="9" s="1"/>
  <c r="C100" i="14" s="1"/>
  <c r="R58" i="9"/>
  <c r="C59" i="9"/>
  <c r="D59" i="9" s="1"/>
  <c r="C101" i="14" s="1"/>
  <c r="R59" i="9"/>
  <c r="C60" i="9"/>
  <c r="D60" i="9"/>
  <c r="C102" i="14" s="1"/>
  <c r="T102" i="14" s="1"/>
  <c r="R60" i="9"/>
  <c r="C61" i="9"/>
  <c r="D61" i="9" s="1"/>
  <c r="C103" i="14" s="1"/>
  <c r="T103" i="14" s="1"/>
  <c r="R61" i="9"/>
  <c r="C62" i="9"/>
  <c r="D62" i="9" s="1"/>
  <c r="C104" i="14" s="1"/>
  <c r="R62" i="9"/>
  <c r="C63" i="9"/>
  <c r="D63" i="9" s="1"/>
  <c r="C105" i="14" s="1"/>
  <c r="T105" i="14" s="1"/>
  <c r="R63" i="9"/>
  <c r="C64" i="9"/>
  <c r="D64" i="9"/>
  <c r="C106" i="14" s="1"/>
  <c r="T106" i="14" s="1"/>
  <c r="R64" i="9"/>
  <c r="C65" i="9"/>
  <c r="D65" i="9" s="1"/>
  <c r="C107" i="14" s="1"/>
  <c r="R65" i="9"/>
  <c r="C66" i="9"/>
  <c r="D66" i="9" s="1"/>
  <c r="C108" i="14" s="1"/>
  <c r="T108" i="14" s="1"/>
  <c r="R66" i="9"/>
  <c r="C67" i="9"/>
  <c r="D67" i="9"/>
  <c r="C109" i="14" s="1"/>
  <c r="R67" i="9"/>
  <c r="C68" i="9"/>
  <c r="D68" i="9" s="1"/>
  <c r="C110" i="14" s="1"/>
  <c r="R68" i="9"/>
  <c r="C69" i="9"/>
  <c r="D69" i="9" s="1"/>
  <c r="C111" i="14" s="1"/>
  <c r="T111" i="14" s="1"/>
  <c r="R69" i="9"/>
  <c r="C70" i="9"/>
  <c r="D70" i="9" s="1"/>
  <c r="C112" i="14" s="1"/>
  <c r="T112" i="14" s="1"/>
  <c r="R70" i="9"/>
  <c r="C71" i="9"/>
  <c r="D71" i="9" s="1"/>
  <c r="C113" i="14" s="1"/>
  <c r="R71" i="9"/>
  <c r="C72" i="9"/>
  <c r="D72" i="9" s="1"/>
  <c r="C114" i="14" s="1"/>
  <c r="T114" i="14" s="1"/>
  <c r="R72" i="9"/>
  <c r="C73" i="9"/>
  <c r="D73" i="9" s="1"/>
  <c r="C115" i="14" s="1"/>
  <c r="T115" i="14" s="1"/>
  <c r="R73" i="9"/>
  <c r="C74" i="9"/>
  <c r="D74" i="9" s="1"/>
  <c r="C116" i="14" s="1"/>
  <c r="T116" i="14" s="1"/>
  <c r="R74" i="9"/>
  <c r="C75" i="9"/>
  <c r="D75" i="9" s="1"/>
  <c r="C117" i="14" s="1"/>
  <c r="T117" i="14" s="1"/>
  <c r="R75" i="9"/>
  <c r="C76" i="9"/>
  <c r="D76" i="9" s="1"/>
  <c r="C118" i="14" s="1"/>
  <c r="T118" i="14" s="1"/>
  <c r="R76" i="9"/>
  <c r="C77" i="9"/>
  <c r="D77" i="9" s="1"/>
  <c r="C119" i="14" s="1"/>
  <c r="T119" i="14" s="1"/>
  <c r="R77" i="9"/>
  <c r="C78" i="9"/>
  <c r="D78" i="9" s="1"/>
  <c r="C120" i="14" s="1"/>
  <c r="R78" i="9"/>
  <c r="C79" i="9"/>
  <c r="D79" i="9" s="1"/>
  <c r="C121" i="14" s="1"/>
  <c r="T121" i="14" s="1"/>
  <c r="R79" i="9"/>
  <c r="C80" i="9"/>
  <c r="D80" i="9"/>
  <c r="C122" i="14" s="1"/>
  <c r="R80" i="9"/>
  <c r="C81" i="9"/>
  <c r="D81" i="9" s="1"/>
  <c r="C123" i="14" s="1"/>
  <c r="T123" i="14" s="1"/>
  <c r="R81" i="9"/>
  <c r="C82" i="9"/>
  <c r="D82" i="9" s="1"/>
  <c r="C124" i="14" s="1"/>
  <c r="T124" i="14" s="1"/>
  <c r="R82" i="9"/>
  <c r="C83" i="9"/>
  <c r="D83" i="9" s="1"/>
  <c r="C125" i="14" s="1"/>
  <c r="R83" i="9"/>
  <c r="C84" i="9"/>
  <c r="D84" i="9" s="1"/>
  <c r="C126" i="14" s="1"/>
  <c r="T126" i="14" s="1"/>
  <c r="R84" i="9"/>
  <c r="C85" i="9"/>
  <c r="D85" i="9" s="1"/>
  <c r="C127" i="14" s="1"/>
  <c r="R85" i="9"/>
  <c r="C86" i="9"/>
  <c r="D86" i="9" s="1"/>
  <c r="C128" i="14" s="1"/>
  <c r="T128" i="14" s="1"/>
  <c r="R86" i="9"/>
  <c r="C87" i="9"/>
  <c r="D87" i="9"/>
  <c r="C129" i="14" s="1"/>
  <c r="T129" i="14" s="1"/>
  <c r="R87" i="9"/>
  <c r="C88" i="9"/>
  <c r="D88" i="9" s="1"/>
  <c r="C130" i="14" s="1"/>
  <c r="T130" i="14" s="1"/>
  <c r="R88" i="9"/>
  <c r="C89" i="9"/>
  <c r="D89" i="9" s="1"/>
  <c r="C131" i="14" s="1"/>
  <c r="T131" i="14" s="1"/>
  <c r="R89" i="9"/>
  <c r="C90" i="9"/>
  <c r="D90" i="9" s="1"/>
  <c r="C132" i="14" s="1"/>
  <c r="T132" i="14" s="1"/>
  <c r="R90" i="9"/>
  <c r="C91" i="9"/>
  <c r="D91" i="9" s="1"/>
  <c r="C133" i="14" s="1"/>
  <c r="R91" i="9"/>
  <c r="C92" i="9"/>
  <c r="D92" i="9" s="1"/>
  <c r="C134" i="14" s="1"/>
  <c r="T134" i="14" s="1"/>
  <c r="R92" i="9"/>
  <c r="C93" i="9"/>
  <c r="D93" i="9" s="1"/>
  <c r="C135" i="14" s="1"/>
  <c r="T135" i="14" s="1"/>
  <c r="R93" i="9"/>
  <c r="C94" i="9"/>
  <c r="D94" i="9" s="1"/>
  <c r="C136" i="14" s="1"/>
  <c r="T136" i="14" s="1"/>
  <c r="R94" i="9"/>
  <c r="C95" i="9"/>
  <c r="D95" i="9"/>
  <c r="C137" i="14" s="1"/>
  <c r="T137" i="14" s="1"/>
  <c r="R95" i="9"/>
  <c r="C96" i="9"/>
  <c r="D96" i="9" s="1"/>
  <c r="C138" i="14" s="1"/>
  <c r="T138" i="14" s="1"/>
  <c r="R96" i="9"/>
  <c r="C97" i="9"/>
  <c r="D97" i="9"/>
  <c r="C139" i="14" s="1"/>
  <c r="T139" i="14" s="1"/>
  <c r="R97" i="9"/>
  <c r="C98" i="9"/>
  <c r="D98" i="9" s="1"/>
  <c r="C140" i="14" s="1"/>
  <c r="R98" i="9"/>
  <c r="C99" i="9"/>
  <c r="D99" i="9"/>
  <c r="C141" i="14" s="1"/>
  <c r="T141" i="14" s="1"/>
  <c r="R99" i="9"/>
  <c r="C100" i="9"/>
  <c r="D100" i="9" s="1"/>
  <c r="C142" i="14" s="1"/>
  <c r="T142" i="14" s="1"/>
  <c r="R100" i="9"/>
  <c r="C101" i="9"/>
  <c r="D101" i="9" s="1"/>
  <c r="C143" i="14" s="1"/>
  <c r="R101" i="9"/>
  <c r="C102" i="9"/>
  <c r="D102" i="9" s="1"/>
  <c r="C144" i="14" s="1"/>
  <c r="T144" i="14" s="1"/>
  <c r="R102" i="9"/>
  <c r="C103" i="9"/>
  <c r="D103" i="9"/>
  <c r="C145" i="14" s="1"/>
  <c r="T145" i="14" s="1"/>
  <c r="R103" i="9"/>
  <c r="C104" i="9"/>
  <c r="D104" i="9" s="1"/>
  <c r="C146" i="14" s="1"/>
  <c r="T146" i="14" s="1"/>
  <c r="R104" i="9"/>
  <c r="C105" i="9"/>
  <c r="D105" i="9"/>
  <c r="C147" i="14" s="1"/>
  <c r="T147" i="14" s="1"/>
  <c r="R105" i="9"/>
  <c r="C106" i="9"/>
  <c r="D106" i="9" s="1"/>
  <c r="C148" i="14" s="1"/>
  <c r="T148" i="14" s="1"/>
  <c r="R106" i="9"/>
  <c r="C107" i="9"/>
  <c r="D107" i="9"/>
  <c r="C149" i="14" s="1"/>
  <c r="T149" i="14" s="1"/>
  <c r="R107" i="9"/>
  <c r="C108" i="9"/>
  <c r="D108" i="9" s="1"/>
  <c r="C150" i="14" s="1"/>
  <c r="R108" i="9"/>
  <c r="C109" i="9"/>
  <c r="D109" i="9" s="1"/>
  <c r="C151" i="14" s="1"/>
  <c r="T151" i="14" s="1"/>
  <c r="R109" i="9"/>
  <c r="C110" i="9"/>
  <c r="D110" i="9" s="1"/>
  <c r="C152" i="14" s="1"/>
  <c r="T152" i="14" s="1"/>
  <c r="R110" i="9"/>
  <c r="C111" i="9"/>
  <c r="D111" i="9"/>
  <c r="C153" i="14" s="1"/>
  <c r="T153" i="14" s="1"/>
  <c r="R111" i="9"/>
  <c r="C112" i="9"/>
  <c r="D112" i="9" s="1"/>
  <c r="C154" i="14" s="1"/>
  <c r="T154" i="14" s="1"/>
  <c r="R112" i="9"/>
  <c r="C113" i="9"/>
  <c r="D113" i="9" s="1"/>
  <c r="C155" i="14" s="1"/>
  <c r="T155" i="14" s="1"/>
  <c r="R113" i="9"/>
  <c r="C114" i="9"/>
  <c r="D114" i="9" s="1"/>
  <c r="R114" i="9"/>
  <c r="B275" i="37"/>
  <c r="B276" i="37" s="1"/>
  <c r="B277" i="37" s="1"/>
  <c r="D274" i="37"/>
  <c r="A274" i="37" s="1"/>
  <c r="B270" i="37"/>
  <c r="B271" i="37" s="1"/>
  <c r="A269" i="37"/>
  <c r="B261" i="37"/>
  <c r="B262" i="37" s="1"/>
  <c r="B263" i="37" s="1"/>
  <c r="D260" i="37"/>
  <c r="A260" i="37" s="1"/>
  <c r="B256" i="37"/>
  <c r="B257" i="37" s="1"/>
  <c r="A255" i="37"/>
  <c r="B239" i="37"/>
  <c r="B240" i="37" s="1"/>
  <c r="B241" i="37" s="1"/>
  <c r="D238" i="37"/>
  <c r="A238" i="37" s="1"/>
  <c r="B234" i="37"/>
  <c r="B235" i="37" s="1"/>
  <c r="A233" i="37"/>
  <c r="H47" i="32"/>
  <c r="H47" i="31"/>
  <c r="G20" i="31"/>
  <c r="F162" i="1"/>
  <c r="F163" i="1"/>
  <c r="F164" i="1"/>
  <c r="F165" i="1"/>
  <c r="F166" i="1"/>
  <c r="F167" i="1"/>
  <c r="F168" i="1"/>
  <c r="F169" i="1"/>
  <c r="F170" i="1"/>
  <c r="F171" i="1"/>
  <c r="F172" i="1"/>
  <c r="F173" i="1"/>
  <c r="F174" i="1"/>
  <c r="F175" i="1"/>
  <c r="F134" i="1"/>
  <c r="F135" i="1"/>
  <c r="F136" i="1"/>
  <c r="F137" i="1"/>
  <c r="F138" i="1"/>
  <c r="F139" i="1"/>
  <c r="F140" i="1"/>
  <c r="F141" i="1"/>
  <c r="F142" i="1"/>
  <c r="F143" i="1"/>
  <c r="F144" i="1"/>
  <c r="F145" i="1"/>
  <c r="F146" i="1"/>
  <c r="F147" i="1"/>
  <c r="E157" i="1" l="1"/>
  <c r="T82" i="1" s="1"/>
  <c r="E158" i="1"/>
  <c r="T83" i="1" s="1"/>
  <c r="E159" i="1"/>
  <c r="T84" i="1" s="1"/>
  <c r="T29" i="1"/>
  <c r="T65" i="1"/>
  <c r="T27" i="1"/>
  <c r="T143" i="14"/>
  <c r="T150" i="14"/>
  <c r="T113" i="14"/>
  <c r="T109" i="14"/>
  <c r="T140" i="14"/>
  <c r="T122" i="14"/>
  <c r="T120" i="14"/>
  <c r="T125" i="14"/>
  <c r="T127" i="14"/>
  <c r="T133" i="14"/>
  <c r="T107" i="14"/>
  <c r="T110" i="14"/>
  <c r="T104" i="14"/>
  <c r="T98" i="14"/>
  <c r="T100" i="14"/>
  <c r="T101" i="14"/>
  <c r="T87" i="14"/>
  <c r="T79" i="14"/>
  <c r="T80" i="14"/>
  <c r="T82" i="14"/>
  <c r="T78" i="14"/>
  <c r="T69" i="14"/>
  <c r="T68" i="14"/>
  <c r="T77" i="14"/>
  <c r="T65" i="14"/>
  <c r="T56" i="14"/>
  <c r="BK57" i="14"/>
  <c r="T64" i="1"/>
  <c r="T66" i="1"/>
  <c r="T85" i="1"/>
  <c r="T86" i="1"/>
  <c r="T62" i="1"/>
  <c r="B272" i="37"/>
  <c r="B258" i="37"/>
  <c r="B236" i="37"/>
  <c r="I38" i="36"/>
  <c r="G38" i="36"/>
  <c r="D39" i="36"/>
  <c r="G317" i="40"/>
  <c r="E317" i="40"/>
  <c r="G319" i="40" s="1"/>
  <c r="E288" i="37"/>
  <c r="G290" i="37" s="1"/>
  <c r="G288" i="37"/>
  <c r="I120" i="37"/>
  <c r="BK58" i="14" l="1"/>
  <c r="D40" i="36"/>
  <c r="D41" i="36" s="1"/>
  <c r="D42" i="36" s="1"/>
  <c r="D43" i="36" s="1"/>
  <c r="D44" i="36" s="1"/>
  <c r="D45" i="36" s="1"/>
  <c r="D46" i="36" s="1"/>
  <c r="D47" i="36" s="1"/>
  <c r="G47" i="36" s="1"/>
  <c r="G39" i="36"/>
  <c r="I39" i="36"/>
  <c r="E319" i="40"/>
  <c r="E290" i="37"/>
  <c r="BK59" i="14" l="1"/>
  <c r="I46" i="36"/>
  <c r="G46" i="36"/>
  <c r="G43" i="36"/>
  <c r="I41" i="36"/>
  <c r="I43" i="36"/>
  <c r="G42" i="36"/>
  <c r="I42" i="36"/>
  <c r="G45" i="36"/>
  <c r="G41" i="36"/>
  <c r="G44" i="36"/>
  <c r="I44" i="36"/>
  <c r="I40" i="36"/>
  <c r="I47" i="36"/>
  <c r="G40" i="36"/>
  <c r="I45" i="36"/>
  <c r="P13" i="3"/>
  <c r="P12" i="3"/>
  <c r="P11" i="3"/>
  <c r="P10" i="3"/>
  <c r="P9" i="3"/>
  <c r="P8" i="3"/>
  <c r="P7" i="3"/>
  <c r="P6" i="3"/>
  <c r="E10" i="3"/>
  <c r="BK60" i="14" l="1"/>
  <c r="D93" i="30"/>
  <c r="D132" i="30"/>
  <c r="D133" i="30"/>
  <c r="D134" i="30"/>
  <c r="D135" i="30"/>
  <c r="D131" i="30"/>
  <c r="D113" i="30"/>
  <c r="D114" i="30"/>
  <c r="D115" i="30"/>
  <c r="D116" i="30"/>
  <c r="D112" i="30"/>
  <c r="D94" i="30"/>
  <c r="D95" i="30"/>
  <c r="D96" i="30"/>
  <c r="D97" i="30"/>
  <c r="BK61" i="14" l="1"/>
  <c r="A63" i="33"/>
  <c r="B63" i="33"/>
  <c r="C38" i="10"/>
  <c r="C19" i="10"/>
  <c r="BK62" i="14" l="1"/>
  <c r="C38" i="11"/>
  <c r="G46" i="25"/>
  <c r="F46" i="25"/>
  <c r="G16" i="25"/>
  <c r="BK63" i="14" l="1"/>
  <c r="G116" i="5"/>
  <c r="J156" i="1"/>
  <c r="K128" i="1"/>
  <c r="K129" i="1" s="1"/>
  <c r="J128" i="1"/>
  <c r="BK64" i="14" l="1"/>
  <c r="K156" i="1"/>
  <c r="K157" i="1" s="1"/>
  <c r="G67" i="1"/>
  <c r="T47" i="1" s="1"/>
  <c r="G79" i="1"/>
  <c r="K75" i="1"/>
  <c r="G86" i="30" s="1"/>
  <c r="C74" i="1"/>
  <c r="BK65" i="14" l="1"/>
  <c r="I62" i="1"/>
  <c r="E51" i="1"/>
  <c r="G53" i="1"/>
  <c r="G52" i="1"/>
  <c r="G51" i="1"/>
  <c r="F53" i="1"/>
  <c r="F52" i="1"/>
  <c r="G13" i="25" s="1"/>
  <c r="F51" i="1"/>
  <c r="E53" i="1"/>
  <c r="E52" i="1"/>
  <c r="F332" i="40" s="1"/>
  <c r="G40" i="1"/>
  <c r="G37" i="1"/>
  <c r="BK66" i="14" l="1"/>
  <c r="F13" i="25"/>
  <c r="F303" i="37"/>
  <c r="N17" i="5"/>
  <c r="M17" i="5"/>
  <c r="N18" i="5"/>
  <c r="M18" i="5"/>
  <c r="I156" i="1"/>
  <c r="BK67" i="14" l="1"/>
  <c r="G71" i="1"/>
  <c r="J23" i="1"/>
  <c r="BK68" i="14" l="1"/>
  <c r="G70" i="1"/>
  <c r="I128" i="1"/>
  <c r="G14" i="27"/>
  <c r="BK69" i="14" l="1"/>
  <c r="G14" i="14"/>
  <c r="BK70" i="14" l="1"/>
  <c r="C101" i="30"/>
  <c r="BK71" i="14" l="1"/>
  <c r="A119" i="30"/>
  <c r="A120" i="30"/>
  <c r="A121" i="30"/>
  <c r="A122" i="30"/>
  <c r="A123" i="30"/>
  <c r="A124" i="30"/>
  <c r="A125" i="30"/>
  <c r="A126" i="30"/>
  <c r="A127" i="30"/>
  <c r="A128" i="30"/>
  <c r="A129" i="30"/>
  <c r="A130" i="30"/>
  <c r="A131" i="30"/>
  <c r="A132" i="30"/>
  <c r="A133" i="30"/>
  <c r="A134" i="30"/>
  <c r="A135" i="30"/>
  <c r="A136" i="30"/>
  <c r="BK72" i="14" l="1"/>
  <c r="E122" i="30"/>
  <c r="BK73" i="14" l="1"/>
  <c r="E34" i="30"/>
  <c r="BK74" i="14" l="1"/>
  <c r="O35" i="14"/>
  <c r="BK75" i="14" l="1"/>
  <c r="E105" i="30"/>
  <c r="BK76" i="14" l="1"/>
  <c r="E125" i="30"/>
  <c r="J125" i="30" s="1"/>
  <c r="E124" i="30"/>
  <c r="J124" i="30" s="1"/>
  <c r="E106" i="30"/>
  <c r="BK77" i="14" l="1"/>
  <c r="L124" i="30"/>
  <c r="L125" i="30"/>
  <c r="E123" i="30"/>
  <c r="G123" i="30"/>
  <c r="E103" i="30"/>
  <c r="E86" i="30"/>
  <c r="BK78" i="14" l="1"/>
  <c r="J106" i="30"/>
  <c r="J105" i="30"/>
  <c r="L105" i="30"/>
  <c r="L106" i="30"/>
  <c r="E104" i="30"/>
  <c r="G104" i="30"/>
  <c r="BK79" i="14" l="1"/>
  <c r="I140" i="30"/>
  <c r="G144" i="30" s="1"/>
  <c r="BK80" i="14" l="1"/>
  <c r="E28" i="30"/>
  <c r="E18" i="30"/>
  <c r="BK81" i="14" l="1"/>
  <c r="E21" i="30"/>
  <c r="E87" i="30"/>
  <c r="BK82" i="14" l="1"/>
  <c r="J68" i="1"/>
  <c r="L68" i="1"/>
  <c r="BK83" i="14" l="1"/>
  <c r="H13" i="29"/>
  <c r="F13" i="29"/>
  <c r="F14" i="29" s="1"/>
  <c r="BK84" i="14" l="1"/>
  <c r="P32" i="8"/>
  <c r="F36" i="10"/>
  <c r="BK85" i="14" l="1"/>
  <c r="D26" i="10"/>
  <c r="D25" i="10"/>
  <c r="D26" i="11"/>
  <c r="D25" i="11"/>
  <c r="BK86" i="14" l="1"/>
  <c r="D57" i="11"/>
  <c r="A70" i="1"/>
  <c r="BK87" i="14" l="1"/>
  <c r="H19" i="31"/>
  <c r="BK88" i="14" l="1"/>
  <c r="G149" i="1"/>
  <c r="BK89" i="14" l="1"/>
  <c r="Q35" i="1"/>
  <c r="O35" i="1"/>
  <c r="G41" i="34"/>
  <c r="BK90" i="14" l="1"/>
  <c r="J335" i="40"/>
  <c r="J306" i="37"/>
  <c r="BK91" i="14" l="1"/>
  <c r="F334" i="40"/>
  <c r="I334" i="40" s="1"/>
  <c r="I57" i="1"/>
  <c r="BK92" i="14" l="1"/>
  <c r="I333" i="40"/>
  <c r="I335" i="40" s="1"/>
  <c r="J333" i="40"/>
  <c r="J334" i="40"/>
  <c r="F62" i="5"/>
  <c r="F12" i="5"/>
  <c r="BK93" i="14" l="1"/>
  <c r="P88" i="1"/>
  <c r="E11" i="3"/>
  <c r="BK94" i="14" l="1"/>
  <c r="G91" i="1"/>
  <c r="H149" i="1"/>
  <c r="G9" i="3"/>
  <c r="G8" i="3"/>
  <c r="G7" i="3"/>
  <c r="G6" i="3"/>
  <c r="BK95" i="14" l="1"/>
  <c r="G289" i="37"/>
  <c r="G25" i="42"/>
  <c r="BK96" i="14" l="1"/>
  <c r="D62" i="5"/>
  <c r="T51" i="7"/>
  <c r="C51" i="7" s="1"/>
  <c r="T50" i="7"/>
  <c r="C50" i="7" s="1"/>
  <c r="T49" i="7"/>
  <c r="C49" i="7" s="1"/>
  <c r="T47" i="7"/>
  <c r="C47" i="7" s="1"/>
  <c r="T46" i="7"/>
  <c r="C46" i="7" s="1"/>
  <c r="T45" i="7"/>
  <c r="C45" i="7" s="1"/>
  <c r="A62" i="33"/>
  <c r="A61" i="33"/>
  <c r="A59" i="33"/>
  <c r="A58" i="33"/>
  <c r="A53" i="33"/>
  <c r="A52" i="33"/>
  <c r="A50" i="33"/>
  <c r="A49" i="33"/>
  <c r="A12" i="33"/>
  <c r="A13" i="33"/>
  <c r="E108" i="1"/>
  <c r="E109" i="1" s="1"/>
  <c r="D109" i="1" s="1"/>
  <c r="A109" i="1" s="1"/>
  <c r="I107" i="1"/>
  <c r="D108" i="1"/>
  <c r="A108" i="1" s="1"/>
  <c r="K34" i="1"/>
  <c r="K35" i="1"/>
  <c r="Q34" i="1"/>
  <c r="C39" i="23"/>
  <c r="A39" i="23" s="1"/>
  <c r="G151" i="1"/>
  <c r="D157" i="1" s="1"/>
  <c r="C14" i="23"/>
  <c r="A14" i="23" s="1"/>
  <c r="D12" i="5"/>
  <c r="G123" i="1"/>
  <c r="K98" i="1"/>
  <c r="G109" i="5" s="1"/>
  <c r="F93" i="31" s="1"/>
  <c r="C13" i="16"/>
  <c r="C27" i="16" s="1"/>
  <c r="R6" i="9"/>
  <c r="C14" i="16"/>
  <c r="C28" i="16" s="1"/>
  <c r="C15" i="16"/>
  <c r="C16" i="16"/>
  <c r="C17" i="16"/>
  <c r="C18" i="16"/>
  <c r="C19" i="16"/>
  <c r="C20" i="16"/>
  <c r="C21" i="16"/>
  <c r="C22" i="16"/>
  <c r="D21" i="5"/>
  <c r="F30" i="5"/>
  <c r="P50" i="5"/>
  <c r="R50" i="5" s="1"/>
  <c r="I33" i="23" s="1"/>
  <c r="D71" i="5"/>
  <c r="F81" i="5"/>
  <c r="P101" i="5"/>
  <c r="G114" i="5"/>
  <c r="G108" i="5"/>
  <c r="N31" i="29"/>
  <c r="H33" i="29" s="1"/>
  <c r="G20" i="32"/>
  <c r="K21" i="1"/>
  <c r="G21" i="1"/>
  <c r="T21" i="1" s="1"/>
  <c r="E289" i="37"/>
  <c r="F121" i="37"/>
  <c r="F120" i="37"/>
  <c r="H250" i="37"/>
  <c r="G103" i="1"/>
  <c r="B46" i="40"/>
  <c r="B47" i="40" s="1"/>
  <c r="B48" i="40" s="1"/>
  <c r="B49" i="40" s="1"/>
  <c r="B50" i="40" s="1"/>
  <c r="B51" i="40" s="1"/>
  <c r="B52" i="40" s="1"/>
  <c r="B53" i="40" s="1"/>
  <c r="B54" i="40" s="1"/>
  <c r="B55" i="40" s="1"/>
  <c r="B56" i="40" s="1"/>
  <c r="B57" i="40" s="1"/>
  <c r="B58" i="40" s="1"/>
  <c r="B59" i="40" s="1"/>
  <c r="B60" i="40" s="1"/>
  <c r="B61" i="40" s="1"/>
  <c r="B62" i="40" s="1"/>
  <c r="B63" i="40" s="1"/>
  <c r="B64" i="40" s="1"/>
  <c r="G98" i="40"/>
  <c r="F16" i="25"/>
  <c r="D207" i="40"/>
  <c r="D265" i="40" s="1"/>
  <c r="A265" i="40" s="1"/>
  <c r="B181" i="40"/>
  <c r="D229" i="40"/>
  <c r="D286" i="40" s="1"/>
  <c r="A286" i="40" s="1"/>
  <c r="K112" i="40"/>
  <c r="H260" i="40"/>
  <c r="V39" i="37"/>
  <c r="X39" i="37"/>
  <c r="F305" i="37"/>
  <c r="F10" i="10"/>
  <c r="F47" i="10" s="1"/>
  <c r="F48" i="10" s="1"/>
  <c r="H12" i="10"/>
  <c r="H11" i="10"/>
  <c r="H10" i="10"/>
  <c r="F10" i="11"/>
  <c r="H12" i="11"/>
  <c r="H11" i="11"/>
  <c r="H10" i="11"/>
  <c r="H118" i="1"/>
  <c r="F118" i="1"/>
  <c r="A47" i="32"/>
  <c r="A44" i="32"/>
  <c r="A41" i="32"/>
  <c r="K47" i="32"/>
  <c r="K46" i="32"/>
  <c r="K47" i="31"/>
  <c r="K46" i="31"/>
  <c r="H119" i="1"/>
  <c r="L119" i="1" s="1"/>
  <c r="D20" i="29"/>
  <c r="B40" i="33"/>
  <c r="J9" i="24"/>
  <c r="B14" i="24"/>
  <c r="A14" i="24" s="1"/>
  <c r="B40" i="24"/>
  <c r="A40" i="24" s="1"/>
  <c r="F74" i="25"/>
  <c r="F44" i="25"/>
  <c r="AB44" i="25" s="1"/>
  <c r="E105" i="24"/>
  <c r="J76" i="24"/>
  <c r="J77" i="24"/>
  <c r="B230" i="40"/>
  <c r="B231" i="40" s="1"/>
  <c r="B232" i="40" s="1"/>
  <c r="B233" i="40" s="1"/>
  <c r="B234" i="40" s="1"/>
  <c r="B235" i="40" s="1"/>
  <c r="B236" i="40" s="1"/>
  <c r="B237" i="40" s="1"/>
  <c r="B238" i="40" s="1"/>
  <c r="B239" i="40" s="1"/>
  <c r="B240" i="40" s="1"/>
  <c r="B241" i="40" s="1"/>
  <c r="B242" i="40" s="1"/>
  <c r="B243" i="40" s="1"/>
  <c r="B244" i="40" s="1"/>
  <c r="B245" i="40" s="1"/>
  <c r="B246" i="40" s="1"/>
  <c r="B247" i="40" s="1"/>
  <c r="B248" i="40" s="1"/>
  <c r="B208" i="40"/>
  <c r="B209" i="40" s="1"/>
  <c r="B210" i="40" s="1"/>
  <c r="B211" i="40" s="1"/>
  <c r="B212" i="40" s="1"/>
  <c r="B213" i="40" s="1"/>
  <c r="B214" i="40" s="1"/>
  <c r="B215" i="40" s="1"/>
  <c r="B216" i="40" s="1"/>
  <c r="B217" i="40" s="1"/>
  <c r="B218" i="40" s="1"/>
  <c r="B219" i="40" s="1"/>
  <c r="B220" i="40" s="1"/>
  <c r="B221" i="40" s="1"/>
  <c r="B222" i="40" s="1"/>
  <c r="B223" i="40" s="1"/>
  <c r="B224" i="40" s="1"/>
  <c r="B225" i="40" s="1"/>
  <c r="B226" i="40" s="1"/>
  <c r="C73" i="40"/>
  <c r="C118" i="40" s="1"/>
  <c r="A118" i="40" s="1"/>
  <c r="I73" i="40"/>
  <c r="C145" i="40" s="1"/>
  <c r="A145" i="40" s="1"/>
  <c r="H181" i="40"/>
  <c r="H182" i="40" s="1"/>
  <c r="H183" i="40" s="1"/>
  <c r="H184" i="40" s="1"/>
  <c r="H185" i="40" s="1"/>
  <c r="H186" i="40" s="1"/>
  <c r="H187" i="40" s="1"/>
  <c r="H188" i="40" s="1"/>
  <c r="H189" i="40" s="1"/>
  <c r="H190" i="40" s="1"/>
  <c r="H191" i="40" s="1"/>
  <c r="H192" i="40" s="1"/>
  <c r="H193" i="40" s="1"/>
  <c r="H194" i="40" s="1"/>
  <c r="H195" i="40" s="1"/>
  <c r="H196" i="40" s="1"/>
  <c r="H197" i="40" s="1"/>
  <c r="H198" i="40" s="1"/>
  <c r="H199" i="40" s="1"/>
  <c r="A180" i="40"/>
  <c r="A16" i="37"/>
  <c r="A19" i="40"/>
  <c r="A45" i="40"/>
  <c r="H46" i="40"/>
  <c r="H47" i="40" s="1"/>
  <c r="H48" i="40" s="1"/>
  <c r="H49" i="40" s="1"/>
  <c r="H50" i="40" s="1"/>
  <c r="H51" i="40" s="1"/>
  <c r="H52" i="40" s="1"/>
  <c r="H53" i="40" s="1"/>
  <c r="H54" i="40" s="1"/>
  <c r="H55" i="40" s="1"/>
  <c r="H56" i="40" s="1"/>
  <c r="H57" i="40" s="1"/>
  <c r="H58" i="40" s="1"/>
  <c r="H59" i="40" s="1"/>
  <c r="H60" i="40" s="1"/>
  <c r="H61" i="40" s="1"/>
  <c r="H62" i="40" s="1"/>
  <c r="H63" i="40" s="1"/>
  <c r="H64" i="40" s="1"/>
  <c r="H57" i="1"/>
  <c r="T39" i="1" s="1"/>
  <c r="R7" i="9"/>
  <c r="C12" i="9"/>
  <c r="D12" i="9" s="1"/>
  <c r="D18" i="11"/>
  <c r="D18" i="10"/>
  <c r="E15" i="14"/>
  <c r="E28" i="14"/>
  <c r="O46" i="14"/>
  <c r="BK54" i="14"/>
  <c r="BM53" i="14"/>
  <c r="N9" i="9"/>
  <c r="J9" i="9" s="1"/>
  <c r="B199" i="37"/>
  <c r="D57" i="10"/>
  <c r="D36" i="10"/>
  <c r="K76" i="1"/>
  <c r="K77" i="1" s="1"/>
  <c r="D22" i="10"/>
  <c r="K91" i="1"/>
  <c r="F68" i="10"/>
  <c r="H68" i="10" s="1"/>
  <c r="D70" i="10"/>
  <c r="D36" i="11"/>
  <c r="D22" i="11"/>
  <c r="F68" i="11"/>
  <c r="H68" i="11" s="1"/>
  <c r="D70" i="11"/>
  <c r="G87" i="30"/>
  <c r="L78" i="1"/>
  <c r="H78" i="1"/>
  <c r="H77" i="1"/>
  <c r="J78" i="1"/>
  <c r="F78" i="1"/>
  <c r="F77" i="1"/>
  <c r="J67" i="1"/>
  <c r="F76" i="1"/>
  <c r="L67" i="1"/>
  <c r="G147" i="1"/>
  <c r="E25" i="7"/>
  <c r="F48" i="8" s="1"/>
  <c r="F49" i="8" s="1"/>
  <c r="E154" i="1"/>
  <c r="I56" i="1"/>
  <c r="J55" i="1"/>
  <c r="J51" i="1"/>
  <c r="J50" i="1"/>
  <c r="J49" i="1"/>
  <c r="D141" i="7"/>
  <c r="D265" i="7" s="1"/>
  <c r="H25" i="7"/>
  <c r="E140" i="7" s="1"/>
  <c r="K64" i="1"/>
  <c r="J64" i="1"/>
  <c r="H68" i="34"/>
  <c r="H67" i="34"/>
  <c r="B215" i="1"/>
  <c r="A69" i="1"/>
  <c r="A68" i="1"/>
  <c r="H21" i="1"/>
  <c r="L21" i="1"/>
  <c r="G47" i="1"/>
  <c r="B205" i="1" s="1"/>
  <c r="G31" i="36"/>
  <c r="F36" i="11"/>
  <c r="F80" i="5"/>
  <c r="H81" i="5"/>
  <c r="F70" i="5"/>
  <c r="F20" i="5"/>
  <c r="H30" i="5"/>
  <c r="C48" i="1"/>
  <c r="I114" i="5"/>
  <c r="AF11" i="16"/>
  <c r="A19" i="1"/>
  <c r="K23" i="1"/>
  <c r="F23" i="1"/>
  <c r="A19" i="7"/>
  <c r="F33" i="8"/>
  <c r="F12" i="1"/>
  <c r="AF10" i="9"/>
  <c r="AG10" i="9"/>
  <c r="AH10" i="9"/>
  <c r="AI10" i="9"/>
  <c r="AJ10" i="9"/>
  <c r="AK10" i="9"/>
  <c r="AL10" i="9"/>
  <c r="AM10" i="9"/>
  <c r="AO10" i="9"/>
  <c r="AP10" i="9"/>
  <c r="AQ10" i="9"/>
  <c r="AR10" i="9"/>
  <c r="AS10" i="9"/>
  <c r="AT10" i="9"/>
  <c r="AU10" i="9"/>
  <c r="AV10" i="9"/>
  <c r="U7" i="3"/>
  <c r="T7" i="3" s="1"/>
  <c r="V7" i="3"/>
  <c r="W7" i="3"/>
  <c r="X7" i="3"/>
  <c r="Y7" i="3"/>
  <c r="Z7" i="3"/>
  <c r="AA7" i="3"/>
  <c r="AB7" i="3"/>
  <c r="T8" i="3"/>
  <c r="T9" i="3"/>
  <c r="S10" i="3"/>
  <c r="T10" i="3"/>
  <c r="T11" i="3"/>
  <c r="T12" i="3"/>
  <c r="T13" i="3"/>
  <c r="AD13" i="3"/>
  <c r="T14" i="3"/>
  <c r="T15" i="3"/>
  <c r="T16" i="3"/>
  <c r="U17" i="3"/>
  <c r="T17" i="3" s="1"/>
  <c r="V17" i="3"/>
  <c r="W17" i="3"/>
  <c r="X17" i="3"/>
  <c r="Y17" i="3"/>
  <c r="Z17" i="3"/>
  <c r="AA17" i="3"/>
  <c r="AB17" i="3"/>
  <c r="U23" i="3"/>
  <c r="T23" i="3" s="1"/>
  <c r="V23" i="3"/>
  <c r="W23" i="3"/>
  <c r="X23" i="3"/>
  <c r="Y23" i="3"/>
  <c r="Z23" i="3"/>
  <c r="AA23" i="3"/>
  <c r="AB23" i="3"/>
  <c r="T24" i="3"/>
  <c r="T25" i="3"/>
  <c r="S26" i="3"/>
  <c r="T26" i="3"/>
  <c r="T27" i="3"/>
  <c r="T28" i="3"/>
  <c r="T29" i="3"/>
  <c r="T30" i="3"/>
  <c r="T31" i="3"/>
  <c r="T32" i="3"/>
  <c r="U33" i="3"/>
  <c r="T33" i="3" s="1"/>
  <c r="V33" i="3"/>
  <c r="W33" i="3"/>
  <c r="X33" i="3"/>
  <c r="Y33" i="3"/>
  <c r="Z33" i="3"/>
  <c r="AA33" i="3"/>
  <c r="AB33" i="3"/>
  <c r="A10" i="36"/>
  <c r="A11" i="36"/>
  <c r="A12" i="36"/>
  <c r="A13" i="36"/>
  <c r="A14" i="36"/>
  <c r="A15" i="36"/>
  <c r="A16" i="36"/>
  <c r="A17" i="36"/>
  <c r="A18" i="36"/>
  <c r="F18" i="36"/>
  <c r="A19" i="36"/>
  <c r="F19" i="36"/>
  <c r="A20" i="36"/>
  <c r="F109" i="5"/>
  <c r="F33" i="36" s="1"/>
  <c r="A21" i="36"/>
  <c r="A22" i="36"/>
  <c r="A23" i="36"/>
  <c r="A24" i="36"/>
  <c r="A25" i="36"/>
  <c r="A26" i="36"/>
  <c r="A27" i="36"/>
  <c r="A28" i="36"/>
  <c r="A29" i="36"/>
  <c r="A30" i="36"/>
  <c r="A31" i="36"/>
  <c r="A32" i="36"/>
  <c r="A33" i="36"/>
  <c r="A34" i="36"/>
  <c r="A35" i="36"/>
  <c r="AB11" i="16"/>
  <c r="R6" i="16"/>
  <c r="R7" i="16"/>
  <c r="AG11" i="16"/>
  <c r="H19" i="32"/>
  <c r="H20" i="32"/>
  <c r="H21" i="32"/>
  <c r="F12" i="29"/>
  <c r="A40" i="32"/>
  <c r="A43" i="32"/>
  <c r="A46" i="32"/>
  <c r="A54" i="32"/>
  <c r="A55" i="32"/>
  <c r="A57" i="32"/>
  <c r="A58" i="32"/>
  <c r="A60" i="32"/>
  <c r="A61" i="32"/>
  <c r="A63" i="32"/>
  <c r="A64" i="32"/>
  <c r="B8" i="31"/>
  <c r="H20" i="31"/>
  <c r="H21" i="31"/>
  <c r="A137" i="30"/>
  <c r="B8"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E15" i="27"/>
  <c r="E27" i="27"/>
  <c r="E28" i="27"/>
  <c r="G28" i="27"/>
  <c r="E27" i="14"/>
  <c r="G28" i="14"/>
  <c r="BA52" i="14"/>
  <c r="BB52" i="14"/>
  <c r="BC52" i="14"/>
  <c r="BD52" i="14"/>
  <c r="BE52" i="14"/>
  <c r="BF52" i="14"/>
  <c r="BG52" i="14"/>
  <c r="BH52" i="14"/>
  <c r="BI52" i="14"/>
  <c r="BJ52" i="14"/>
  <c r="A42" i="37"/>
  <c r="B43" i="37"/>
  <c r="B44" i="37" s="1"/>
  <c r="B45" i="37" s="1"/>
  <c r="H43" i="37"/>
  <c r="H44" i="37" s="1"/>
  <c r="H45" i="37" s="1"/>
  <c r="C70" i="37"/>
  <c r="A70" i="37" s="1"/>
  <c r="C96" i="37"/>
  <c r="A96" i="37" s="1"/>
  <c r="A198" i="37"/>
  <c r="A219" i="37"/>
  <c r="B220" i="37"/>
  <c r="B221" i="37" s="1"/>
  <c r="D224" i="37"/>
  <c r="B225" i="37"/>
  <c r="B226" i="37" s="1"/>
  <c r="B227" i="37" s="1"/>
  <c r="F18" i="10"/>
  <c r="F18" i="11"/>
  <c r="C19" i="11"/>
  <c r="A25" i="25"/>
  <c r="A55" i="25"/>
  <c r="AC11" i="16"/>
  <c r="AD11" i="16"/>
  <c r="AE11" i="16"/>
  <c r="AH11" i="16"/>
  <c r="AI11" i="16"/>
  <c r="AJ11" i="16"/>
  <c r="AK11" i="16"/>
  <c r="P6" i="9"/>
  <c r="P7" i="9"/>
  <c r="C11" i="7"/>
  <c r="M11" i="7"/>
  <c r="O11" i="7"/>
  <c r="C13" i="7"/>
  <c r="D13" i="7"/>
  <c r="C15" i="7"/>
  <c r="H15" i="7"/>
  <c r="C20" i="7"/>
  <c r="N142" i="7"/>
  <c r="T142" i="7" s="1"/>
  <c r="C142" i="7" s="1"/>
  <c r="N141" i="7"/>
  <c r="T141" i="7" s="1"/>
  <c r="C141" i="7" s="1"/>
  <c r="C25" i="7"/>
  <c r="C29" i="7"/>
  <c r="C33" i="7"/>
  <c r="F33" i="7"/>
  <c r="G33" i="7"/>
  <c r="G157" i="7" s="1"/>
  <c r="H33" i="7"/>
  <c r="I33" i="7"/>
  <c r="C36" i="7"/>
  <c r="C38" i="7"/>
  <c r="C43" i="7"/>
  <c r="C148" i="7"/>
  <c r="F148" i="7"/>
  <c r="C153" i="7"/>
  <c r="T175" i="7"/>
  <c r="C175" i="7" s="1"/>
  <c r="T174" i="7"/>
  <c r="C174" i="7" s="1"/>
  <c r="T173" i="7"/>
  <c r="C173" i="7" s="1"/>
  <c r="T171" i="7"/>
  <c r="C171" i="7" s="1"/>
  <c r="T170" i="7"/>
  <c r="C170" i="7" s="1"/>
  <c r="T169" i="7"/>
  <c r="C169" i="7" s="1"/>
  <c r="N266" i="7"/>
  <c r="T266" i="7" s="1"/>
  <c r="C266" i="7" s="1"/>
  <c r="N265" i="7"/>
  <c r="T265" i="7" s="1"/>
  <c r="C265" i="7" s="1"/>
  <c r="N153" i="7"/>
  <c r="C157" i="7"/>
  <c r="F157" i="7"/>
  <c r="H157" i="7"/>
  <c r="I157" i="7"/>
  <c r="C160" i="7"/>
  <c r="C162" i="7"/>
  <c r="C167" i="7"/>
  <c r="D264" i="7"/>
  <c r="A31" i="8"/>
  <c r="A32" i="8"/>
  <c r="A33" i="8"/>
  <c r="A34" i="8"/>
  <c r="H33" i="8"/>
  <c r="A35" i="8"/>
  <c r="A36" i="8"/>
  <c r="A37" i="8"/>
  <c r="A38" i="8"/>
  <c r="A39" i="8"/>
  <c r="A40" i="8"/>
  <c r="A41" i="8"/>
  <c r="A42" i="8"/>
  <c r="A44" i="8"/>
  <c r="A45" i="8"/>
  <c r="A46" i="8"/>
  <c r="A47" i="8"/>
  <c r="A48" i="8"/>
  <c r="A49" i="8"/>
  <c r="A50" i="8"/>
  <c r="A51" i="8"/>
  <c r="A52" i="8"/>
  <c r="A53" i="8"/>
  <c r="A54" i="8"/>
  <c r="A55" i="8"/>
  <c r="C17" i="5"/>
  <c r="C18" i="5"/>
  <c r="F21" i="5"/>
  <c r="C67" i="5"/>
  <c r="C68" i="5"/>
  <c r="F71" i="5"/>
  <c r="F110" i="5"/>
  <c r="H110" i="5"/>
  <c r="I43" i="1"/>
  <c r="I45" i="1"/>
  <c r="A65" i="1"/>
  <c r="B206" i="1" s="1"/>
  <c r="N65" i="1"/>
  <c r="A66" i="1"/>
  <c r="F206" i="1" s="1"/>
  <c r="N66" i="1"/>
  <c r="A67" i="1"/>
  <c r="J206" i="1" s="1"/>
  <c r="H75" i="1"/>
  <c r="H76" i="1"/>
  <c r="C81" i="1"/>
  <c r="F82" i="1"/>
  <c r="J82" i="1"/>
  <c r="F83" i="1"/>
  <c r="H83" i="1"/>
  <c r="J83" i="1"/>
  <c r="L83" i="1"/>
  <c r="F84" i="1"/>
  <c r="H84" i="1"/>
  <c r="J84" i="1"/>
  <c r="L84" i="1"/>
  <c r="C85" i="1"/>
  <c r="F85" i="1"/>
  <c r="J85" i="1"/>
  <c r="F86" i="1"/>
  <c r="J86" i="1"/>
  <c r="C88" i="1"/>
  <c r="J88" i="1"/>
  <c r="F89" i="1"/>
  <c r="J89" i="1"/>
  <c r="F90" i="1"/>
  <c r="H90" i="1"/>
  <c r="J90" i="1"/>
  <c r="F91" i="1"/>
  <c r="H91" i="1"/>
  <c r="J91" i="1"/>
  <c r="L91" i="1"/>
  <c r="H92" i="1"/>
  <c r="F98" i="1"/>
  <c r="H98" i="1"/>
  <c r="F99" i="1"/>
  <c r="H99" i="1"/>
  <c r="K99" i="1"/>
  <c r="F100" i="1"/>
  <c r="K100" i="1"/>
  <c r="F119" i="1"/>
  <c r="E126" i="1"/>
  <c r="A129" i="1"/>
  <c r="A157" i="1"/>
  <c r="B213" i="1"/>
  <c r="B214" i="1"/>
  <c r="G18" i="34"/>
  <c r="A19" i="34" s="1"/>
  <c r="G40" i="34"/>
  <c r="A41" i="34" s="1"/>
  <c r="J65" i="34"/>
  <c r="L65" i="34"/>
  <c r="E5" i="4"/>
  <c r="BK97" i="14" l="1"/>
  <c r="A224" i="37"/>
  <c r="N74" i="25"/>
  <c r="O74" i="25"/>
  <c r="N44" i="25"/>
  <c r="O44" i="25"/>
  <c r="Q36" i="1"/>
  <c r="Q38" i="1" s="1"/>
  <c r="O36" i="1"/>
  <c r="J104" i="1"/>
  <c r="F198" i="37" s="1"/>
  <c r="Q37" i="1"/>
  <c r="O37" i="1"/>
  <c r="AG9" i="16"/>
  <c r="E17" i="27"/>
  <c r="G17" i="27"/>
  <c r="F19" i="5"/>
  <c r="F69" i="5"/>
  <c r="C30" i="16"/>
  <c r="C29" i="16"/>
  <c r="D68" i="5"/>
  <c r="F68" i="5"/>
  <c r="F67" i="5"/>
  <c r="D67" i="5"/>
  <c r="I152" i="30"/>
  <c r="K12" i="1"/>
  <c r="D78" i="10"/>
  <c r="D78" i="11"/>
  <c r="F33" i="29"/>
  <c r="H49" i="11"/>
  <c r="D59" i="10"/>
  <c r="D61" i="10" s="1"/>
  <c r="D59" i="11"/>
  <c r="D61" i="11" s="1"/>
  <c r="F47" i="11"/>
  <c r="F48" i="11" s="1"/>
  <c r="H47" i="11"/>
  <c r="E26" i="32"/>
  <c r="G33" i="29"/>
  <c r="O34" i="1"/>
  <c r="F16" i="29"/>
  <c r="F17" i="29" s="1"/>
  <c r="G152" i="30"/>
  <c r="G156" i="30" s="1"/>
  <c r="I153" i="30"/>
  <c r="G153" i="30"/>
  <c r="G157" i="30" s="1"/>
  <c r="D23" i="11"/>
  <c r="D69" i="11" s="1"/>
  <c r="D71" i="11" s="1"/>
  <c r="BM52" i="14"/>
  <c r="F23" i="11"/>
  <c r="C44" i="16"/>
  <c r="I304" i="37"/>
  <c r="I305" i="37"/>
  <c r="J305" i="37"/>
  <c r="G145" i="30"/>
  <c r="F23" i="10"/>
  <c r="C138" i="37"/>
  <c r="A138" i="37" s="1"/>
  <c r="AE10" i="9"/>
  <c r="E141" i="7"/>
  <c r="E265" i="7" s="1"/>
  <c r="G33" i="36"/>
  <c r="I110" i="5"/>
  <c r="G110" i="5"/>
  <c r="F93" i="32" s="1"/>
  <c r="J20" i="40"/>
  <c r="I46" i="40" s="1"/>
  <c r="I74" i="40" s="1"/>
  <c r="C146" i="40" s="1"/>
  <c r="A146" i="40" s="1"/>
  <c r="K17" i="37"/>
  <c r="I43" i="37" s="1"/>
  <c r="C97" i="37" s="1"/>
  <c r="A97" i="37" s="1"/>
  <c r="D19" i="5"/>
  <c r="D69" i="5"/>
  <c r="D20" i="5"/>
  <c r="D70" i="5"/>
  <c r="N70" i="37"/>
  <c r="D129" i="1"/>
  <c r="C15" i="23" s="1"/>
  <c r="A15" i="23" s="1"/>
  <c r="C32" i="5"/>
  <c r="I109" i="5"/>
  <c r="E26" i="31"/>
  <c r="G26" i="32"/>
  <c r="G26" i="31"/>
  <c r="H14" i="29"/>
  <c r="D82" i="10"/>
  <c r="F82" i="10"/>
  <c r="F82" i="11"/>
  <c r="C165" i="37"/>
  <c r="A165" i="37" s="1"/>
  <c r="N96" i="37"/>
  <c r="X70" i="37"/>
  <c r="F49" i="10"/>
  <c r="H51" i="10" s="1"/>
  <c r="H47" i="10"/>
  <c r="G19" i="36"/>
  <c r="H49" i="10"/>
  <c r="F44" i="10"/>
  <c r="L43" i="10" s="1"/>
  <c r="D23" i="10"/>
  <c r="D69" i="10" s="1"/>
  <c r="F71" i="10" s="1"/>
  <c r="G318" i="40"/>
  <c r="I11" i="24"/>
  <c r="E17" i="37"/>
  <c r="C43" i="37" s="1"/>
  <c r="C71" i="37" s="1"/>
  <c r="A71" i="37" s="1"/>
  <c r="C46" i="5"/>
  <c r="F43" i="10"/>
  <c r="F44" i="11"/>
  <c r="L43" i="11" s="1"/>
  <c r="F49" i="11"/>
  <c r="H51" i="11" s="1"/>
  <c r="E34" i="27"/>
  <c r="D76" i="24"/>
  <c r="K76" i="24" s="1"/>
  <c r="I36" i="23"/>
  <c r="C48" i="16"/>
  <c r="C41" i="16"/>
  <c r="F43" i="11"/>
  <c r="I37" i="24"/>
  <c r="D26" i="25"/>
  <c r="C38" i="5"/>
  <c r="E318" i="40"/>
  <c r="D56" i="25"/>
  <c r="Q50" i="5"/>
  <c r="L79" i="7" s="1"/>
  <c r="T79" i="7" s="1"/>
  <c r="C79" i="7" s="1"/>
  <c r="E34" i="14"/>
  <c r="G99" i="40"/>
  <c r="I100" i="40" s="1"/>
  <c r="I99" i="40"/>
  <c r="C42" i="5"/>
  <c r="C34" i="5"/>
  <c r="C48" i="5"/>
  <c r="I48" i="5" s="1"/>
  <c r="C44" i="5"/>
  <c r="C40" i="5"/>
  <c r="C36" i="5"/>
  <c r="AB9" i="16"/>
  <c r="AF12" i="16" s="1"/>
  <c r="R30" i="16"/>
  <c r="G23" i="1"/>
  <c r="H148" i="30"/>
  <c r="G147" i="30"/>
  <c r="A73" i="40"/>
  <c r="A207" i="40"/>
  <c r="C99" i="5"/>
  <c r="G148" i="30"/>
  <c r="G146" i="30"/>
  <c r="C91" i="5"/>
  <c r="A56" i="34"/>
  <c r="A48" i="34"/>
  <c r="C95" i="5"/>
  <c r="C87" i="5"/>
  <c r="A229" i="40"/>
  <c r="A60" i="34"/>
  <c r="A52" i="34"/>
  <c r="A44" i="34"/>
  <c r="R46" i="16"/>
  <c r="E9" i="24"/>
  <c r="E10" i="24" s="1"/>
  <c r="H147" i="30"/>
  <c r="H146" i="30"/>
  <c r="H145" i="30"/>
  <c r="R14" i="16"/>
  <c r="R38" i="16"/>
  <c r="R22" i="16"/>
  <c r="R50" i="16"/>
  <c r="A58" i="34"/>
  <c r="A54" i="34"/>
  <c r="A50" i="34"/>
  <c r="A46" i="34"/>
  <c r="A42" i="34"/>
  <c r="A34" i="34"/>
  <c r="H144" i="30"/>
  <c r="K144" i="30" s="1"/>
  <c r="A59" i="34"/>
  <c r="A57" i="34"/>
  <c r="A55" i="34"/>
  <c r="A53" i="34"/>
  <c r="A51" i="34"/>
  <c r="A49" i="34"/>
  <c r="A47" i="34"/>
  <c r="A45" i="34"/>
  <c r="A43" i="34"/>
  <c r="C97" i="5"/>
  <c r="C93" i="5"/>
  <c r="C89" i="5"/>
  <c r="C85" i="5"/>
  <c r="B222" i="37"/>
  <c r="R18" i="16"/>
  <c r="R26" i="16"/>
  <c r="R34" i="16"/>
  <c r="R42" i="16"/>
  <c r="R48" i="16"/>
  <c r="G54" i="1"/>
  <c r="A26" i="34"/>
  <c r="I13" i="11"/>
  <c r="I13" i="10"/>
  <c r="C83" i="5"/>
  <c r="P8" i="9"/>
  <c r="C50" i="16"/>
  <c r="C46" i="16"/>
  <c r="C42" i="16"/>
  <c r="C36" i="16"/>
  <c r="C34" i="16"/>
  <c r="C32" i="16"/>
  <c r="J304" i="37"/>
  <c r="A38" i="34"/>
  <c r="A30" i="34"/>
  <c r="A22" i="34"/>
  <c r="I11" i="23"/>
  <c r="P119" i="7"/>
  <c r="T119" i="7" s="1"/>
  <c r="C119" i="7" s="1"/>
  <c r="D20" i="40"/>
  <c r="D21" i="40" s="1"/>
  <c r="C49" i="5"/>
  <c r="I49" i="5" s="1"/>
  <c r="C47" i="5"/>
  <c r="C45" i="5"/>
  <c r="C43" i="5"/>
  <c r="C41" i="5"/>
  <c r="C39" i="5"/>
  <c r="C37" i="5"/>
  <c r="C35" i="5"/>
  <c r="C33" i="5"/>
  <c r="C49" i="16"/>
  <c r="C47" i="16"/>
  <c r="C45" i="16"/>
  <c r="C43" i="16"/>
  <c r="C35" i="16"/>
  <c r="C33" i="16"/>
  <c r="C31" i="16"/>
  <c r="D82" i="11"/>
  <c r="C54" i="14"/>
  <c r="T54" i="14" s="1"/>
  <c r="G24" i="1"/>
  <c r="D33" i="11"/>
  <c r="C40" i="23"/>
  <c r="A40" i="23" s="1"/>
  <c r="B41" i="24"/>
  <c r="A41" i="24" s="1"/>
  <c r="C100" i="5"/>
  <c r="C98" i="5"/>
  <c r="C96" i="5"/>
  <c r="C94" i="5"/>
  <c r="C92" i="5"/>
  <c r="C90" i="5"/>
  <c r="C88" i="5"/>
  <c r="C86" i="5"/>
  <c r="C84" i="5"/>
  <c r="A84" i="5" s="1"/>
  <c r="Q32" i="8"/>
  <c r="B145" i="7"/>
  <c r="I108" i="1"/>
  <c r="D142" i="7"/>
  <c r="E264" i="7"/>
  <c r="F13" i="10"/>
  <c r="A36" i="34"/>
  <c r="A32" i="34"/>
  <c r="A28" i="34"/>
  <c r="A24" i="34"/>
  <c r="A20" i="34"/>
  <c r="C145" i="7"/>
  <c r="R12" i="16"/>
  <c r="R16" i="16"/>
  <c r="R20" i="16"/>
  <c r="R24" i="16"/>
  <c r="R28" i="16"/>
  <c r="R32" i="16"/>
  <c r="R36" i="16"/>
  <c r="R40" i="16"/>
  <c r="R44" i="16"/>
  <c r="R51" i="16"/>
  <c r="F29" i="5"/>
  <c r="F17" i="5" s="1"/>
  <c r="F13" i="11"/>
  <c r="H46" i="37"/>
  <c r="B46" i="37"/>
  <c r="D34" i="10"/>
  <c r="H56" i="7"/>
  <c r="D34" i="11"/>
  <c r="A37" i="34"/>
  <c r="A35" i="34"/>
  <c r="A33" i="34"/>
  <c r="A31" i="34"/>
  <c r="A29" i="34"/>
  <c r="A27" i="34"/>
  <c r="A25" i="34"/>
  <c r="A23" i="34"/>
  <c r="A21" i="34"/>
  <c r="X96" i="37"/>
  <c r="R13" i="16"/>
  <c r="R15" i="16"/>
  <c r="R17" i="16"/>
  <c r="R19" i="16"/>
  <c r="R21" i="16"/>
  <c r="R23" i="16"/>
  <c r="R25" i="16"/>
  <c r="R27" i="16"/>
  <c r="R29" i="16"/>
  <c r="R31" i="16"/>
  <c r="R33" i="16"/>
  <c r="R35" i="16"/>
  <c r="R37" i="16"/>
  <c r="R39" i="16"/>
  <c r="R41" i="16"/>
  <c r="R43" i="16"/>
  <c r="R45" i="16"/>
  <c r="R47" i="16"/>
  <c r="R49" i="16"/>
  <c r="H49" i="8"/>
  <c r="D33" i="10"/>
  <c r="B200" i="37"/>
  <c r="R12" i="9"/>
  <c r="AN10" i="9"/>
  <c r="B182" i="40"/>
  <c r="E110" i="1"/>
  <c r="D158" i="1"/>
  <c r="BK98" i="14" l="1"/>
  <c r="G74" i="25"/>
  <c r="Q74" i="25"/>
  <c r="S74" i="25"/>
  <c r="G44" i="25"/>
  <c r="S44" i="25"/>
  <c r="Q44" i="25"/>
  <c r="F26" i="25"/>
  <c r="L15" i="1"/>
  <c r="K13" i="1"/>
  <c r="L52" i="10"/>
  <c r="F75" i="10"/>
  <c r="D75" i="10"/>
  <c r="F75" i="11"/>
  <c r="D75" i="11"/>
  <c r="L52" i="11"/>
  <c r="G72" i="1"/>
  <c r="I72" i="1" s="1"/>
  <c r="G73" i="1"/>
  <c r="I73" i="1" s="1"/>
  <c r="F18" i="5"/>
  <c r="D18" i="5"/>
  <c r="A34" i="5"/>
  <c r="D17" i="5"/>
  <c r="H34" i="30"/>
  <c r="G44" i="1"/>
  <c r="F156" i="1" s="1"/>
  <c r="G156" i="1" s="1"/>
  <c r="I39" i="1"/>
  <c r="G39" i="1"/>
  <c r="Q66" i="1"/>
  <c r="O39" i="1"/>
  <c r="Q39" i="1"/>
  <c r="H64" i="30"/>
  <c r="H68" i="30"/>
  <c r="E35" i="30"/>
  <c r="E64" i="30"/>
  <c r="E68" i="30"/>
  <c r="E24" i="31"/>
  <c r="G24" i="31"/>
  <c r="F60" i="10"/>
  <c r="D60" i="11"/>
  <c r="D62" i="11" s="1"/>
  <c r="D63" i="11" s="1"/>
  <c r="D64" i="11" s="1"/>
  <c r="F60" i="11"/>
  <c r="G25" i="31"/>
  <c r="G24" i="32"/>
  <c r="G25" i="32"/>
  <c r="F27" i="29"/>
  <c r="O38" i="1"/>
  <c r="I156" i="30"/>
  <c r="I157" i="30"/>
  <c r="F71" i="11"/>
  <c r="D130" i="1"/>
  <c r="C130" i="1" s="1"/>
  <c r="K130" i="1" s="1"/>
  <c r="K145" i="30"/>
  <c r="O77" i="31" s="1"/>
  <c r="G71" i="31" s="1"/>
  <c r="I306" i="37"/>
  <c r="AF12" i="9"/>
  <c r="AM12" i="9"/>
  <c r="L145" i="30"/>
  <c r="Q77" i="32" s="1"/>
  <c r="AG12" i="9"/>
  <c r="AH12" i="9"/>
  <c r="AK12" i="9"/>
  <c r="AI12" i="9"/>
  <c r="AJ12" i="9"/>
  <c r="AL12" i="9"/>
  <c r="N97" i="37"/>
  <c r="X71" i="37"/>
  <c r="AF13" i="16"/>
  <c r="E28" i="16" s="1"/>
  <c r="K147" i="30"/>
  <c r="O79" i="32" s="1"/>
  <c r="G73" i="32" s="1"/>
  <c r="X97" i="37"/>
  <c r="K18" i="37"/>
  <c r="K19" i="37" s="1"/>
  <c r="B15" i="24"/>
  <c r="A15" i="24" s="1"/>
  <c r="E18" i="37"/>
  <c r="C44" i="37" s="1"/>
  <c r="A43" i="37"/>
  <c r="A17" i="37"/>
  <c r="J21" i="40"/>
  <c r="I47" i="40" s="1"/>
  <c r="I75" i="40" s="1"/>
  <c r="C147" i="40" s="1"/>
  <c r="A147" i="40" s="1"/>
  <c r="I181" i="40"/>
  <c r="D230" i="40" s="1"/>
  <c r="A230" i="40" s="1"/>
  <c r="C166" i="37"/>
  <c r="A166" i="37" s="1"/>
  <c r="A32" i="5"/>
  <c r="L144" i="30"/>
  <c r="Q76" i="31" s="1"/>
  <c r="H50" i="10"/>
  <c r="G100" i="40"/>
  <c r="D20" i="11"/>
  <c r="D24" i="11" s="1"/>
  <c r="L21" i="10"/>
  <c r="D77" i="10"/>
  <c r="F77" i="10" s="1"/>
  <c r="K146" i="30"/>
  <c r="O78" i="32" s="1"/>
  <c r="G72" i="32" s="1"/>
  <c r="L146" i="30"/>
  <c r="Q78" i="31" s="1"/>
  <c r="A33" i="5"/>
  <c r="A83" i="5"/>
  <c r="H44" i="10"/>
  <c r="H45" i="10"/>
  <c r="H50" i="11"/>
  <c r="H44" i="11"/>
  <c r="K148" i="30"/>
  <c r="O80" i="32" s="1"/>
  <c r="G74" i="32" s="1"/>
  <c r="L147" i="30"/>
  <c r="Q79" i="32" s="1"/>
  <c r="N71" i="37"/>
  <c r="C139" i="37"/>
  <c r="A139" i="37" s="1"/>
  <c r="D20" i="10"/>
  <c r="D71" i="10"/>
  <c r="L148" i="30"/>
  <c r="Q80" i="32" s="1"/>
  <c r="H45" i="11"/>
  <c r="A46" i="5"/>
  <c r="L21" i="11"/>
  <c r="E25" i="32"/>
  <c r="E25" i="31"/>
  <c r="E24" i="32"/>
  <c r="L203" i="7"/>
  <c r="T203" i="7" s="1"/>
  <c r="C203" i="7" s="1"/>
  <c r="H33" i="23"/>
  <c r="D27" i="25"/>
  <c r="A26" i="25"/>
  <c r="A38" i="5"/>
  <c r="D57" i="25"/>
  <c r="F56" i="25"/>
  <c r="A56" i="25"/>
  <c r="A42" i="5"/>
  <c r="A40" i="5"/>
  <c r="A48" i="5"/>
  <c r="A36" i="5"/>
  <c r="A44" i="5"/>
  <c r="AF14" i="16"/>
  <c r="AF16" i="16"/>
  <c r="AF18" i="16"/>
  <c r="E33" i="16" s="1"/>
  <c r="AF20" i="16"/>
  <c r="E35" i="16" s="1"/>
  <c r="AC12" i="16"/>
  <c r="J27" i="16" s="1"/>
  <c r="AE12" i="16"/>
  <c r="M27" i="16" s="1"/>
  <c r="AD13" i="16"/>
  <c r="L28" i="16" s="1"/>
  <c r="AB14" i="16"/>
  <c r="I29" i="16" s="1"/>
  <c r="AD14" i="16"/>
  <c r="L29" i="16" s="1"/>
  <c r="AB15" i="16"/>
  <c r="I30" i="16" s="1"/>
  <c r="AD15" i="16"/>
  <c r="L30" i="16" s="1"/>
  <c r="AB16" i="16"/>
  <c r="I31" i="16" s="1"/>
  <c r="AD16" i="16"/>
  <c r="L31" i="16" s="1"/>
  <c r="AB17" i="16"/>
  <c r="I32" i="16" s="1"/>
  <c r="AD17" i="16"/>
  <c r="L32" i="16" s="1"/>
  <c r="AB18" i="16"/>
  <c r="I33" i="16" s="1"/>
  <c r="AD18" i="16"/>
  <c r="L33" i="16" s="1"/>
  <c r="AC19" i="16"/>
  <c r="J34" i="16" s="1"/>
  <c r="AE19" i="16"/>
  <c r="M34" i="16" s="1"/>
  <c r="AC20" i="16"/>
  <c r="J35" i="16" s="1"/>
  <c r="AE20" i="16"/>
  <c r="M35" i="16" s="1"/>
  <c r="AB21" i="16"/>
  <c r="I36" i="16" s="1"/>
  <c r="AD21" i="16"/>
  <c r="L36" i="16" s="1"/>
  <c r="AF15" i="16"/>
  <c r="AF17" i="16"/>
  <c r="AB12" i="16"/>
  <c r="I27" i="16" s="1"/>
  <c r="AB13" i="16"/>
  <c r="I28" i="16" s="1"/>
  <c r="AF19" i="16"/>
  <c r="E34" i="16" s="1"/>
  <c r="AF21" i="16"/>
  <c r="E36" i="16" s="1"/>
  <c r="AD12" i="16"/>
  <c r="L27" i="16" s="1"/>
  <c r="AC13" i="16"/>
  <c r="J28" i="16" s="1"/>
  <c r="AE13" i="16"/>
  <c r="M28" i="16" s="1"/>
  <c r="AC14" i="16"/>
  <c r="J29" i="16" s="1"/>
  <c r="AE14" i="16"/>
  <c r="M29" i="16" s="1"/>
  <c r="AC15" i="16"/>
  <c r="J30" i="16" s="1"/>
  <c r="AE15" i="16"/>
  <c r="M30" i="16" s="1"/>
  <c r="AC16" i="16"/>
  <c r="J31" i="16" s="1"/>
  <c r="AE16" i="16"/>
  <c r="M31" i="16" s="1"/>
  <c r="AC17" i="16"/>
  <c r="J32" i="16" s="1"/>
  <c r="AE17" i="16"/>
  <c r="M32" i="16" s="1"/>
  <c r="AC18" i="16"/>
  <c r="J33" i="16" s="1"/>
  <c r="AE18" i="16"/>
  <c r="M33" i="16" s="1"/>
  <c r="AB19" i="16"/>
  <c r="I34" i="16" s="1"/>
  <c r="AD19" i="16"/>
  <c r="L34" i="16" s="1"/>
  <c r="AB20" i="16"/>
  <c r="I35" i="16" s="1"/>
  <c r="AD20" i="16"/>
  <c r="L35" i="16" s="1"/>
  <c r="AC21" i="16"/>
  <c r="J36" i="16" s="1"/>
  <c r="AE21" i="16"/>
  <c r="M36" i="16" s="1"/>
  <c r="C181" i="40"/>
  <c r="D208" i="40" s="1"/>
  <c r="I25" i="7"/>
  <c r="J25" i="7" s="1"/>
  <c r="D35" i="11"/>
  <c r="D37" i="11" s="1"/>
  <c r="D38" i="11" s="1"/>
  <c r="A99" i="5"/>
  <c r="A91" i="5"/>
  <c r="A87" i="5"/>
  <c r="A95" i="5"/>
  <c r="E19" i="40"/>
  <c r="F19" i="40" s="1"/>
  <c r="A85" i="5"/>
  <c r="A93" i="5"/>
  <c r="A89" i="5"/>
  <c r="A97" i="5"/>
  <c r="P243" i="7"/>
  <c r="T243" i="7" s="1"/>
  <c r="C243" i="7" s="1"/>
  <c r="O76" i="31"/>
  <c r="G70" i="31" s="1"/>
  <c r="O76" i="32"/>
  <c r="G70" i="32" s="1"/>
  <c r="D22" i="40"/>
  <c r="C47" i="40"/>
  <c r="C75" i="40" s="1"/>
  <c r="A35" i="5"/>
  <c r="A39" i="5"/>
  <c r="A43" i="5"/>
  <c r="A47" i="5"/>
  <c r="A37" i="5"/>
  <c r="A41" i="5"/>
  <c r="A45" i="5"/>
  <c r="L49" i="5"/>
  <c r="K49" i="5"/>
  <c r="E49" i="5"/>
  <c r="N49" i="5"/>
  <c r="G49" i="5"/>
  <c r="A49" i="5"/>
  <c r="D49" i="5"/>
  <c r="J49" i="5" s="1"/>
  <c r="F49" i="5"/>
  <c r="O49" i="5"/>
  <c r="H49" i="5"/>
  <c r="C46" i="40"/>
  <c r="A20" i="40"/>
  <c r="E26" i="25"/>
  <c r="N32" i="5"/>
  <c r="H129" i="1"/>
  <c r="F25" i="25"/>
  <c r="A86" i="5"/>
  <c r="A90" i="5"/>
  <c r="A94" i="5"/>
  <c r="A98" i="5"/>
  <c r="A88" i="5"/>
  <c r="A92" i="5"/>
  <c r="A96" i="5"/>
  <c r="A100" i="5"/>
  <c r="I109" i="1"/>
  <c r="D77" i="11"/>
  <c r="E142" i="7"/>
  <c r="E266" i="7" s="1"/>
  <c r="D266" i="7"/>
  <c r="AC9" i="16"/>
  <c r="AG12" i="16" s="1"/>
  <c r="D60" i="10"/>
  <c r="D62" i="10" s="1"/>
  <c r="D63" i="10" s="1"/>
  <c r="D64" i="10" s="1"/>
  <c r="H157" i="1"/>
  <c r="I157" i="1" s="1"/>
  <c r="N83" i="5"/>
  <c r="F55" i="25"/>
  <c r="E56" i="25"/>
  <c r="F63" i="5"/>
  <c r="C182" i="40"/>
  <c r="B183" i="40"/>
  <c r="G107" i="5"/>
  <c r="G18" i="36" s="1"/>
  <c r="E76" i="24"/>
  <c r="E77" i="24"/>
  <c r="I107" i="5"/>
  <c r="H180" i="7"/>
  <c r="B47" i="37"/>
  <c r="H47" i="37"/>
  <c r="C41" i="23"/>
  <c r="D159" i="1"/>
  <c r="O83" i="5"/>
  <c r="C158" i="1"/>
  <c r="K158" i="1" s="1"/>
  <c r="N84" i="5"/>
  <c r="B42" i="24"/>
  <c r="D39" i="23"/>
  <c r="L16" i="37"/>
  <c r="K19" i="40"/>
  <c r="L19" i="40" s="1"/>
  <c r="C40" i="24"/>
  <c r="E164" i="7"/>
  <c r="D80" i="7"/>
  <c r="E111" i="1"/>
  <c r="D110" i="1"/>
  <c r="A110" i="1" s="1"/>
  <c r="E27" i="16"/>
  <c r="W47" i="14"/>
  <c r="AE11" i="9"/>
  <c r="AN11" i="9"/>
  <c r="D35" i="10"/>
  <c r="D37" i="10" s="1"/>
  <c r="D38" i="10" s="1"/>
  <c r="BK99" i="14" l="1"/>
  <c r="AS13" i="9"/>
  <c r="AO14" i="9"/>
  <c r="AS16" i="9"/>
  <c r="AO17" i="9"/>
  <c r="AS19" i="9"/>
  <c r="AO20" i="9"/>
  <c r="AS22" i="9"/>
  <c r="AO23" i="9"/>
  <c r="AS25" i="9"/>
  <c r="AO26" i="9"/>
  <c r="AS28" i="9"/>
  <c r="AO29" i="9"/>
  <c r="AS31" i="9"/>
  <c r="AO32" i="9"/>
  <c r="AS34" i="9"/>
  <c r="AO35" i="9"/>
  <c r="AS37" i="9"/>
  <c r="AO38" i="9"/>
  <c r="AS40" i="9"/>
  <c r="AO41" i="9"/>
  <c r="AS43" i="9"/>
  <c r="AO44" i="9"/>
  <c r="AS46" i="9"/>
  <c r="AO47" i="9"/>
  <c r="AS49" i="9"/>
  <c r="AO50" i="9"/>
  <c r="AS52" i="9"/>
  <c r="AO53" i="9"/>
  <c r="AS55" i="9"/>
  <c r="AO56" i="9"/>
  <c r="AS58" i="9"/>
  <c r="AO59" i="9"/>
  <c r="AS61" i="9"/>
  <c r="AO62" i="9"/>
  <c r="AS64" i="9"/>
  <c r="AO65" i="9"/>
  <c r="AS67" i="9"/>
  <c r="AO68" i="9"/>
  <c r="AS70" i="9"/>
  <c r="AO71" i="9"/>
  <c r="AS73" i="9"/>
  <c r="AO74" i="9"/>
  <c r="AS76" i="9"/>
  <c r="AO77" i="9"/>
  <c r="AS79" i="9"/>
  <c r="AO80" i="9"/>
  <c r="AS82" i="9"/>
  <c r="AO83" i="9"/>
  <c r="AS85" i="9"/>
  <c r="AO86" i="9"/>
  <c r="AS88" i="9"/>
  <c r="AO89" i="9"/>
  <c r="AS91" i="9"/>
  <c r="AO92" i="9"/>
  <c r="AS94" i="9"/>
  <c r="AO95" i="9"/>
  <c r="AV14" i="9"/>
  <c r="L14" i="9" s="1"/>
  <c r="AR15" i="9"/>
  <c r="AV17" i="9"/>
  <c r="L17" i="9" s="1"/>
  <c r="AR18" i="9"/>
  <c r="AV20" i="9"/>
  <c r="L20" i="9" s="1"/>
  <c r="AR21" i="9"/>
  <c r="AV23" i="9"/>
  <c r="L23" i="9" s="1"/>
  <c r="AR24" i="9"/>
  <c r="AV26" i="9"/>
  <c r="L26" i="9" s="1"/>
  <c r="AR27" i="9"/>
  <c r="AV29" i="9"/>
  <c r="L29" i="9" s="1"/>
  <c r="AR30" i="9"/>
  <c r="AV32" i="9"/>
  <c r="L32" i="9" s="1"/>
  <c r="AR33" i="9"/>
  <c r="AV35" i="9"/>
  <c r="L35" i="9" s="1"/>
  <c r="AR36" i="9"/>
  <c r="AV38" i="9"/>
  <c r="L38" i="9" s="1"/>
  <c r="AR39" i="9"/>
  <c r="AV41" i="9"/>
  <c r="L41" i="9" s="1"/>
  <c r="AR42" i="9"/>
  <c r="AV44" i="9"/>
  <c r="L44" i="9" s="1"/>
  <c r="AR45" i="9"/>
  <c r="AV47" i="9"/>
  <c r="L47" i="9" s="1"/>
  <c r="AR48" i="9"/>
  <c r="AV50" i="9"/>
  <c r="L50" i="9" s="1"/>
  <c r="AR51" i="9"/>
  <c r="AV53" i="9"/>
  <c r="L53" i="9" s="1"/>
  <c r="AR54" i="9"/>
  <c r="AV56" i="9"/>
  <c r="L56" i="9" s="1"/>
  <c r="AR57" i="9"/>
  <c r="AV59" i="9"/>
  <c r="L59" i="9" s="1"/>
  <c r="AR60" i="9"/>
  <c r="AV62" i="9"/>
  <c r="L62" i="9" s="1"/>
  <c r="AR63" i="9"/>
  <c r="AV65" i="9"/>
  <c r="L65" i="9" s="1"/>
  <c r="AR66" i="9"/>
  <c r="AV68" i="9"/>
  <c r="L68" i="9" s="1"/>
  <c r="AR69" i="9"/>
  <c r="AV71" i="9"/>
  <c r="L71" i="9" s="1"/>
  <c r="AR72" i="9"/>
  <c r="AV74" i="9"/>
  <c r="L74" i="9" s="1"/>
  <c r="AR75" i="9"/>
  <c r="AV77" i="9"/>
  <c r="L77" i="9" s="1"/>
  <c r="AR78" i="9"/>
  <c r="AV80" i="9"/>
  <c r="L80" i="9" s="1"/>
  <c r="AR81" i="9"/>
  <c r="AV83" i="9"/>
  <c r="L83" i="9" s="1"/>
  <c r="AR84" i="9"/>
  <c r="AV86" i="9"/>
  <c r="L86" i="9" s="1"/>
  <c r="AR87" i="9"/>
  <c r="AV89" i="9"/>
  <c r="L89" i="9" s="1"/>
  <c r="AR90" i="9"/>
  <c r="AV92" i="9"/>
  <c r="L92" i="9" s="1"/>
  <c r="AR93" i="9"/>
  <c r="AO13" i="9"/>
  <c r="AP13" i="9"/>
  <c r="F13" i="9" s="1"/>
  <c r="AQ13" i="9"/>
  <c r="AU15" i="9"/>
  <c r="K15" i="9" s="1"/>
  <c r="AQ16" i="9"/>
  <c r="AU18" i="9"/>
  <c r="K18" i="9" s="1"/>
  <c r="AQ19" i="9"/>
  <c r="AU21" i="9"/>
  <c r="K21" i="9" s="1"/>
  <c r="AQ22" i="9"/>
  <c r="AU24" i="9"/>
  <c r="K24" i="9" s="1"/>
  <c r="AQ25" i="9"/>
  <c r="AU27" i="9"/>
  <c r="K27" i="9" s="1"/>
  <c r="AQ28" i="9"/>
  <c r="AU30" i="9"/>
  <c r="K30" i="9" s="1"/>
  <c r="AQ31" i="9"/>
  <c r="AU33" i="9"/>
  <c r="K33" i="9" s="1"/>
  <c r="AQ34" i="9"/>
  <c r="AU36" i="9"/>
  <c r="K36" i="9" s="1"/>
  <c r="AQ37" i="9"/>
  <c r="AU39" i="9"/>
  <c r="K39" i="9" s="1"/>
  <c r="AQ40" i="9"/>
  <c r="AU42" i="9"/>
  <c r="K42" i="9" s="1"/>
  <c r="AQ43" i="9"/>
  <c r="AU45" i="9"/>
  <c r="K45" i="9" s="1"/>
  <c r="AQ46" i="9"/>
  <c r="AU48" i="9"/>
  <c r="K48" i="9" s="1"/>
  <c r="AQ49" i="9"/>
  <c r="AU51" i="9"/>
  <c r="K51" i="9" s="1"/>
  <c r="AQ52" i="9"/>
  <c r="AU54" i="9"/>
  <c r="K54" i="9" s="1"/>
  <c r="AQ55" i="9"/>
  <c r="AU57" i="9"/>
  <c r="K57" i="9" s="1"/>
  <c r="AQ58" i="9"/>
  <c r="AU60" i="9"/>
  <c r="K60" i="9" s="1"/>
  <c r="AQ61" i="9"/>
  <c r="AU63" i="9"/>
  <c r="K63" i="9" s="1"/>
  <c r="AQ64" i="9"/>
  <c r="AU66" i="9"/>
  <c r="K66" i="9" s="1"/>
  <c r="AQ67" i="9"/>
  <c r="AU69" i="9"/>
  <c r="K69" i="9" s="1"/>
  <c r="AQ70" i="9"/>
  <c r="AU72" i="9"/>
  <c r="K72" i="9" s="1"/>
  <c r="AQ73" i="9"/>
  <c r="AU75" i="9"/>
  <c r="K75" i="9" s="1"/>
  <c r="AQ76" i="9"/>
  <c r="AU78" i="9"/>
  <c r="K78" i="9" s="1"/>
  <c r="AQ79" i="9"/>
  <c r="AU81" i="9"/>
  <c r="K81" i="9" s="1"/>
  <c r="AQ82" i="9"/>
  <c r="AU84" i="9"/>
  <c r="K84" i="9" s="1"/>
  <c r="AQ85" i="9"/>
  <c r="AU87" i="9"/>
  <c r="K87" i="9" s="1"/>
  <c r="AQ88" i="9"/>
  <c r="AU90" i="9"/>
  <c r="K90" i="9" s="1"/>
  <c r="AQ91" i="9"/>
  <c r="AU93" i="9"/>
  <c r="K93" i="9" s="1"/>
  <c r="AQ94" i="9"/>
  <c r="AU96" i="9"/>
  <c r="K96" i="9" s="1"/>
  <c r="AQ97" i="9"/>
  <c r="AU99" i="9"/>
  <c r="K99" i="9" s="1"/>
  <c r="AQ100" i="9"/>
  <c r="AU102" i="9"/>
  <c r="K102" i="9" s="1"/>
  <c r="AQ103" i="9"/>
  <c r="AU105" i="9"/>
  <c r="K105" i="9" s="1"/>
  <c r="AQ106" i="9"/>
  <c r="AU108" i="9"/>
  <c r="K108" i="9" s="1"/>
  <c r="AQ109" i="9"/>
  <c r="AU111" i="9"/>
  <c r="K111" i="9" s="1"/>
  <c r="AQ112" i="9"/>
  <c r="AU114" i="9"/>
  <c r="K114" i="9" s="1"/>
  <c r="AR13" i="9"/>
  <c r="AV15" i="9"/>
  <c r="L15" i="9" s="1"/>
  <c r="AR16" i="9"/>
  <c r="AV18" i="9"/>
  <c r="L18" i="9" s="1"/>
  <c r="AR19" i="9"/>
  <c r="AV21" i="9"/>
  <c r="L21" i="9" s="1"/>
  <c r="AR22" i="9"/>
  <c r="AV24" i="9"/>
  <c r="L24" i="9" s="1"/>
  <c r="AR25" i="9"/>
  <c r="AV27" i="9"/>
  <c r="L27" i="9" s="1"/>
  <c r="AR28" i="9"/>
  <c r="AV30" i="9"/>
  <c r="L30" i="9" s="1"/>
  <c r="AR31" i="9"/>
  <c r="AV33" i="9"/>
  <c r="L33" i="9" s="1"/>
  <c r="AR34" i="9"/>
  <c r="AV36" i="9"/>
  <c r="L36" i="9" s="1"/>
  <c r="AR37" i="9"/>
  <c r="AV39" i="9"/>
  <c r="L39" i="9" s="1"/>
  <c r="AR40" i="9"/>
  <c r="AV42" i="9"/>
  <c r="L42" i="9" s="1"/>
  <c r="AR43" i="9"/>
  <c r="AV45" i="9"/>
  <c r="L45" i="9" s="1"/>
  <c r="AR46" i="9"/>
  <c r="AV48" i="9"/>
  <c r="L48" i="9" s="1"/>
  <c r="AR49" i="9"/>
  <c r="AV51" i="9"/>
  <c r="L51" i="9" s="1"/>
  <c r="AR52" i="9"/>
  <c r="AV54" i="9"/>
  <c r="L54" i="9" s="1"/>
  <c r="AR55" i="9"/>
  <c r="AV57" i="9"/>
  <c r="L57" i="9" s="1"/>
  <c r="AR58" i="9"/>
  <c r="AV60" i="9"/>
  <c r="L60" i="9" s="1"/>
  <c r="AR61" i="9"/>
  <c r="AV63" i="9"/>
  <c r="L63" i="9" s="1"/>
  <c r="AR64" i="9"/>
  <c r="AV66" i="9"/>
  <c r="L66" i="9" s="1"/>
  <c r="AR67" i="9"/>
  <c r="AV69" i="9"/>
  <c r="L69" i="9" s="1"/>
  <c r="AR70" i="9"/>
  <c r="AV72" i="9"/>
  <c r="L72" i="9" s="1"/>
  <c r="AR73" i="9"/>
  <c r="AV75" i="9"/>
  <c r="L75" i="9" s="1"/>
  <c r="AR76" i="9"/>
  <c r="AV78" i="9"/>
  <c r="L78" i="9" s="1"/>
  <c r="AR79" i="9"/>
  <c r="AV81" i="9"/>
  <c r="L81" i="9" s="1"/>
  <c r="AR82" i="9"/>
  <c r="AV84" i="9"/>
  <c r="L84" i="9" s="1"/>
  <c r="AR85" i="9"/>
  <c r="AV87" i="9"/>
  <c r="L87" i="9" s="1"/>
  <c r="AR88" i="9"/>
  <c r="AV90" i="9"/>
  <c r="L90" i="9" s="1"/>
  <c r="AR91" i="9"/>
  <c r="AV93" i="9"/>
  <c r="L93" i="9" s="1"/>
  <c r="AR94" i="9"/>
  <c r="AV96" i="9"/>
  <c r="L96" i="9" s="1"/>
  <c r="AR97" i="9"/>
  <c r="AV99" i="9"/>
  <c r="L99" i="9" s="1"/>
  <c r="AR100" i="9"/>
  <c r="AV102" i="9"/>
  <c r="L102" i="9" s="1"/>
  <c r="AR103" i="9"/>
  <c r="AV105" i="9"/>
  <c r="L105" i="9" s="1"/>
  <c r="AR106" i="9"/>
  <c r="AV108" i="9"/>
  <c r="L108" i="9" s="1"/>
  <c r="AR109" i="9"/>
  <c r="AV111" i="9"/>
  <c r="L111" i="9" s="1"/>
  <c r="AR112" i="9"/>
  <c r="AV114" i="9"/>
  <c r="L114" i="9" s="1"/>
  <c r="AT18" i="9"/>
  <c r="AU19" i="9"/>
  <c r="K19" i="9" s="1"/>
  <c r="AR20" i="9"/>
  <c r="AO21" i="9"/>
  <c r="AU13" i="9"/>
  <c r="K13" i="9" s="1"/>
  <c r="AR14" i="9"/>
  <c r="AO15" i="9"/>
  <c r="AT21" i="9"/>
  <c r="AU22" i="9"/>
  <c r="K22" i="9" s="1"/>
  <c r="AR23" i="9"/>
  <c r="AO24" i="9"/>
  <c r="AT30" i="9"/>
  <c r="AU31" i="9"/>
  <c r="K31" i="9" s="1"/>
  <c r="AR32" i="9"/>
  <c r="AO33" i="9"/>
  <c r="AT39" i="9"/>
  <c r="AU40" i="9"/>
  <c r="K40" i="9" s="1"/>
  <c r="AR41" i="9"/>
  <c r="AO42" i="9"/>
  <c r="AT48" i="9"/>
  <c r="AU49" i="9"/>
  <c r="K49" i="9" s="1"/>
  <c r="AR50" i="9"/>
  <c r="AO51" i="9"/>
  <c r="AT57" i="9"/>
  <c r="AU58" i="9"/>
  <c r="K58" i="9" s="1"/>
  <c r="AR59" i="9"/>
  <c r="AO60" i="9"/>
  <c r="AT66" i="9"/>
  <c r="AU67" i="9"/>
  <c r="K67" i="9" s="1"/>
  <c r="AR68" i="9"/>
  <c r="AO69" i="9"/>
  <c r="AT75" i="9"/>
  <c r="AU76" i="9"/>
  <c r="K76" i="9" s="1"/>
  <c r="AR77" i="9"/>
  <c r="AO78" i="9"/>
  <c r="AT84" i="9"/>
  <c r="AU85" i="9"/>
  <c r="K85" i="9" s="1"/>
  <c r="AR86" i="9"/>
  <c r="AO87" i="9"/>
  <c r="AT93" i="9"/>
  <c r="AU94" i="9"/>
  <c r="K94" i="9" s="1"/>
  <c r="AR95" i="9"/>
  <c r="AV98" i="9"/>
  <c r="L98" i="9" s="1"/>
  <c r="AR99" i="9"/>
  <c r="AP100" i="9"/>
  <c r="F100" i="9" s="1"/>
  <c r="AV103" i="9"/>
  <c r="L103" i="9" s="1"/>
  <c r="AR104" i="9"/>
  <c r="AV107" i="9"/>
  <c r="L107" i="9" s="1"/>
  <c r="AR108" i="9"/>
  <c r="AP109" i="9"/>
  <c r="F109" i="9" s="1"/>
  <c r="AV112" i="9"/>
  <c r="L112" i="9" s="1"/>
  <c r="AR113" i="9"/>
  <c r="AT14" i="9"/>
  <c r="AQ15" i="9"/>
  <c r="AP16" i="9"/>
  <c r="F16" i="9" s="1"/>
  <c r="AP17" i="9"/>
  <c r="F17" i="9" s="1"/>
  <c r="AT23" i="9"/>
  <c r="AQ24" i="9"/>
  <c r="AP25" i="9"/>
  <c r="F25" i="9" s="1"/>
  <c r="AP26" i="9"/>
  <c r="F26" i="9" s="1"/>
  <c r="AT32" i="9"/>
  <c r="AQ33" i="9"/>
  <c r="AP34" i="9"/>
  <c r="F34" i="9" s="1"/>
  <c r="AP35" i="9"/>
  <c r="F35" i="9" s="1"/>
  <c r="AT41" i="9"/>
  <c r="AQ42" i="9"/>
  <c r="AP43" i="9"/>
  <c r="F43" i="9" s="1"/>
  <c r="AP44" i="9"/>
  <c r="F44" i="9" s="1"/>
  <c r="AT50" i="9"/>
  <c r="AQ51" i="9"/>
  <c r="AP52" i="9"/>
  <c r="F52" i="9" s="1"/>
  <c r="AP53" i="9"/>
  <c r="F53" i="9" s="1"/>
  <c r="AT59" i="9"/>
  <c r="AQ60" i="9"/>
  <c r="AP61" i="9"/>
  <c r="F61" i="9" s="1"/>
  <c r="AP62" i="9"/>
  <c r="F62" i="9" s="1"/>
  <c r="AT68" i="9"/>
  <c r="AQ69" i="9"/>
  <c r="AP70" i="9"/>
  <c r="F70" i="9" s="1"/>
  <c r="AP71" i="9"/>
  <c r="F71" i="9" s="1"/>
  <c r="AT77" i="9"/>
  <c r="AQ78" i="9"/>
  <c r="AP79" i="9"/>
  <c r="F79" i="9" s="1"/>
  <c r="AP80" i="9"/>
  <c r="F80" i="9" s="1"/>
  <c r="AT86" i="9"/>
  <c r="AQ87" i="9"/>
  <c r="AP88" i="9"/>
  <c r="F88" i="9" s="1"/>
  <c r="AP89" i="9"/>
  <c r="F89" i="9" s="1"/>
  <c r="AT95" i="9"/>
  <c r="AP96" i="9"/>
  <c r="F96" i="9" s="1"/>
  <c r="AT99" i="9"/>
  <c r="AT100" i="9"/>
  <c r="AP101" i="9"/>
  <c r="F101" i="9" s="1"/>
  <c r="AT104" i="9"/>
  <c r="AP105" i="9"/>
  <c r="F105" i="9" s="1"/>
  <c r="AT108" i="9"/>
  <c r="AT109" i="9"/>
  <c r="AP110" i="9"/>
  <c r="F110" i="9" s="1"/>
  <c r="AT113" i="9"/>
  <c r="AP114" i="9"/>
  <c r="F114" i="9" s="1"/>
  <c r="AT29" i="9"/>
  <c r="AQ30" i="9"/>
  <c r="AT31" i="9"/>
  <c r="AS32" i="9"/>
  <c r="AT33" i="9"/>
  <c r="AV34" i="9"/>
  <c r="L34" i="9" s="1"/>
  <c r="AT35" i="9"/>
  <c r="AQ36" i="9"/>
  <c r="AP37" i="9"/>
  <c r="F37" i="9" s="1"/>
  <c r="AP38" i="9"/>
  <c r="F38" i="9" s="1"/>
  <c r="AT56" i="9"/>
  <c r="AQ57" i="9"/>
  <c r="AT58" i="9"/>
  <c r="AS59" i="9"/>
  <c r="AT60" i="9"/>
  <c r="AV61" i="9"/>
  <c r="L61" i="9" s="1"/>
  <c r="AT62" i="9"/>
  <c r="AQ63" i="9"/>
  <c r="AP64" i="9"/>
  <c r="F64" i="9" s="1"/>
  <c r="AP65" i="9"/>
  <c r="F65" i="9" s="1"/>
  <c r="AU29" i="9"/>
  <c r="K29" i="9" s="1"/>
  <c r="M29" i="9" s="1"/>
  <c r="D71" i="14" s="1"/>
  <c r="I71" i="14" s="1"/>
  <c r="AS30" i="9"/>
  <c r="AV31" i="9"/>
  <c r="L31" i="9" s="1"/>
  <c r="AU32" i="9"/>
  <c r="K32" i="9" s="1"/>
  <c r="M32" i="9" s="1"/>
  <c r="D74" i="14" s="1"/>
  <c r="I74" i="14" s="1"/>
  <c r="AU35" i="9"/>
  <c r="K35" i="9" s="1"/>
  <c r="M35" i="9" s="1"/>
  <c r="D77" i="14" s="1"/>
  <c r="I77" i="14" s="1"/>
  <c r="AS36" i="9"/>
  <c r="AT37" i="9"/>
  <c r="AQ38" i="9"/>
  <c r="AO43" i="9"/>
  <c r="AQ44" i="9"/>
  <c r="AU56" i="9"/>
  <c r="K56" i="9" s="1"/>
  <c r="M56" i="9" s="1"/>
  <c r="D98" i="14" s="1"/>
  <c r="I98" i="14" s="1"/>
  <c r="AS57" i="9"/>
  <c r="AV58" i="9"/>
  <c r="L58" i="9" s="1"/>
  <c r="AU59" i="9"/>
  <c r="K59" i="9" s="1"/>
  <c r="M59" i="9" s="1"/>
  <c r="D101" i="14" s="1"/>
  <c r="I101" i="14" s="1"/>
  <c r="AO16" i="9"/>
  <c r="AQ17" i="9"/>
  <c r="AO25" i="9"/>
  <c r="AQ26" i="9"/>
  <c r="AU38" i="9"/>
  <c r="K38" i="9" s="1"/>
  <c r="M38" i="9" s="1"/>
  <c r="D80" i="14" s="1"/>
  <c r="I80" i="14" s="1"/>
  <c r="AS39" i="9"/>
  <c r="AQ14" i="9"/>
  <c r="AS15" i="9"/>
  <c r="AU16" i="9"/>
  <c r="K16" i="9" s="1"/>
  <c r="AS17" i="9"/>
  <c r="AP18" i="9"/>
  <c r="F18" i="9" s="1"/>
  <c r="AP19" i="9"/>
  <c r="F19" i="9" s="1"/>
  <c r="AQ20" i="9"/>
  <c r="AP21" i="9"/>
  <c r="F21" i="9" s="1"/>
  <c r="AP22" i="9"/>
  <c r="F22" i="9" s="1"/>
  <c r="AQ23" i="9"/>
  <c r="AS24" i="9"/>
  <c r="AU25" i="9"/>
  <c r="K25" i="9" s="1"/>
  <c r="AS26" i="9"/>
  <c r="AP27" i="9"/>
  <c r="F27" i="9" s="1"/>
  <c r="AO28" i="9"/>
  <c r="AV46" i="9"/>
  <c r="L46" i="9" s="1"/>
  <c r="AS47" i="9"/>
  <c r="AP48" i="9"/>
  <c r="F48" i="9" s="1"/>
  <c r="AP49" i="9"/>
  <c r="F49" i="9" s="1"/>
  <c r="AQ50" i="9"/>
  <c r="AS51" i="9"/>
  <c r="AU52" i="9"/>
  <c r="K52" i="9" s="1"/>
  <c r="AS53" i="9"/>
  <c r="AP54" i="9"/>
  <c r="F54" i="9" s="1"/>
  <c r="AO55" i="9"/>
  <c r="AU20" i="9"/>
  <c r="K20" i="9" s="1"/>
  <c r="M20" i="9" s="1"/>
  <c r="D62" i="14" s="1"/>
  <c r="I62" i="14" s="1"/>
  <c r="AT27" i="9"/>
  <c r="AU28" i="9"/>
  <c r="K28" i="9" s="1"/>
  <c r="M28" i="9" s="1"/>
  <c r="D70" i="14" s="1"/>
  <c r="I70" i="14" s="1"/>
  <c r="AR29" i="9"/>
  <c r="AO30" i="9"/>
  <c r="AO31" i="9"/>
  <c r="AP32" i="9"/>
  <c r="F32" i="9" s="1"/>
  <c r="AP33" i="9"/>
  <c r="F33" i="9" s="1"/>
  <c r="AT34" i="9"/>
  <c r="AR35" i="9"/>
  <c r="AO36" i="9"/>
  <c r="AT54" i="9"/>
  <c r="AU55" i="9"/>
  <c r="K55" i="9" s="1"/>
  <c r="AR56" i="9"/>
  <c r="AO57" i="9"/>
  <c r="AO58" i="9"/>
  <c r="AP59" i="9"/>
  <c r="F59" i="9" s="1"/>
  <c r="AP60" i="9"/>
  <c r="F60" i="9" s="1"/>
  <c r="AT61" i="9"/>
  <c r="AR62" i="9"/>
  <c r="AO63" i="9"/>
  <c r="AT81" i="9"/>
  <c r="AU82" i="9"/>
  <c r="K82" i="9" s="1"/>
  <c r="M82" i="9" s="1"/>
  <c r="D124" i="14" s="1"/>
  <c r="I124" i="14" s="1"/>
  <c r="AR83" i="9"/>
  <c r="AO84" i="9"/>
  <c r="AO85" i="9"/>
  <c r="AP86" i="9"/>
  <c r="F86" i="9" s="1"/>
  <c r="AP87" i="9"/>
  <c r="F87" i="9" s="1"/>
  <c r="AT88" i="9"/>
  <c r="AR89" i="9"/>
  <c r="AO90" i="9"/>
  <c r="AS98" i="9"/>
  <c r="AP99" i="9"/>
  <c r="F99" i="9" s="1"/>
  <c r="AS100" i="9"/>
  <c r="AQ101" i="9"/>
  <c r="AU106" i="9"/>
  <c r="K106" i="9" s="1"/>
  <c r="AQ107" i="9"/>
  <c r="AV113" i="9"/>
  <c r="L113" i="9" s="1"/>
  <c r="AS114" i="9"/>
  <c r="AV28" i="9"/>
  <c r="L28" i="9" s="1"/>
  <c r="AS29" i="9"/>
  <c r="AP30" i="9"/>
  <c r="F30" i="9" s="1"/>
  <c r="AP31" i="9"/>
  <c r="F31" i="9" s="1"/>
  <c r="AQ32" i="9"/>
  <c r="AS33" i="9"/>
  <c r="AU34" i="9"/>
  <c r="K34" i="9" s="1"/>
  <c r="M34" i="9" s="1"/>
  <c r="D76" i="14" s="1"/>
  <c r="I76" i="14" s="1"/>
  <c r="AS35" i="9"/>
  <c r="AP36" i="9"/>
  <c r="F36" i="9" s="1"/>
  <c r="AO37" i="9"/>
  <c r="AV55" i="9"/>
  <c r="L55" i="9" s="1"/>
  <c r="AS56" i="9"/>
  <c r="AP57" i="9"/>
  <c r="F57" i="9" s="1"/>
  <c r="AP58" i="9"/>
  <c r="F58" i="9" s="1"/>
  <c r="AQ59" i="9"/>
  <c r="AS60" i="9"/>
  <c r="AU61" i="9"/>
  <c r="K61" i="9" s="1"/>
  <c r="M61" i="9" s="1"/>
  <c r="D103" i="14" s="1"/>
  <c r="I103" i="14" s="1"/>
  <c r="AS62" i="9"/>
  <c r="AP63" i="9"/>
  <c r="F63" i="9" s="1"/>
  <c r="AO64" i="9"/>
  <c r="AV82" i="9"/>
  <c r="L82" i="9" s="1"/>
  <c r="AS83" i="9"/>
  <c r="AP84" i="9"/>
  <c r="F84" i="9" s="1"/>
  <c r="AP85" i="9"/>
  <c r="F85" i="9" s="1"/>
  <c r="AQ86" i="9"/>
  <c r="AS87" i="9"/>
  <c r="AU88" i="9"/>
  <c r="K88" i="9" s="1"/>
  <c r="AS89" i="9"/>
  <c r="AP90" i="9"/>
  <c r="F90" i="9" s="1"/>
  <c r="AO91" i="9"/>
  <c r="AT98" i="9"/>
  <c r="AQ99" i="9"/>
  <c r="AU100" i="9"/>
  <c r="K100" i="9" s="1"/>
  <c r="AR101" i="9"/>
  <c r="AV106" i="9"/>
  <c r="L106" i="9" s="1"/>
  <c r="AR107" i="9"/>
  <c r="AO108" i="9"/>
  <c r="AO109" i="9"/>
  <c r="AO110" i="9"/>
  <c r="AT114" i="9"/>
  <c r="AR17" i="9"/>
  <c r="AQ18" i="9"/>
  <c r="AV19" i="9"/>
  <c r="L19" i="9" s="1"/>
  <c r="AR26" i="9"/>
  <c r="AQ27" i="9"/>
  <c r="AT43" i="9"/>
  <c r="AS44" i="9"/>
  <c r="AP45" i="9"/>
  <c r="F45" i="9" s="1"/>
  <c r="AO46" i="9"/>
  <c r="AP47" i="9"/>
  <c r="F47" i="9" s="1"/>
  <c r="AO49" i="9"/>
  <c r="AS50" i="9"/>
  <c r="AT87" i="9"/>
  <c r="AP15" i="9"/>
  <c r="F15" i="9" s="1"/>
  <c r="AP24" i="9"/>
  <c r="F24" i="9" s="1"/>
  <c r="AS38" i="9"/>
  <c r="AQ39" i="9"/>
  <c r="AV40" i="9"/>
  <c r="L40" i="9" s="1"/>
  <c r="AU41" i="9"/>
  <c r="K41" i="9" s="1"/>
  <c r="M41" i="9" s="1"/>
  <c r="D83" i="14" s="1"/>
  <c r="I83" i="14" s="1"/>
  <c r="AU47" i="9"/>
  <c r="K47" i="9" s="1"/>
  <c r="M47" i="9" s="1"/>
  <c r="D89" i="14" s="1"/>
  <c r="I89" i="14" s="1"/>
  <c r="AP56" i="9"/>
  <c r="F56" i="9" s="1"/>
  <c r="AU64" i="9"/>
  <c r="K64" i="9" s="1"/>
  <c r="M64" i="9" s="1"/>
  <c r="D106" i="14" s="1"/>
  <c r="I106" i="14" s="1"/>
  <c r="AS65" i="9"/>
  <c r="AP66" i="9"/>
  <c r="F66" i="9" s="1"/>
  <c r="AP67" i="9"/>
  <c r="F67" i="9" s="1"/>
  <c r="AQ68" i="9"/>
  <c r="AS69" i="9"/>
  <c r="AU70" i="9"/>
  <c r="K70" i="9" s="1"/>
  <c r="AS71" i="9"/>
  <c r="AP72" i="9"/>
  <c r="F72" i="9" s="1"/>
  <c r="AO73" i="9"/>
  <c r="AP14" i="9"/>
  <c r="F14" i="9" s="1"/>
  <c r="AT15" i="9"/>
  <c r="AP23" i="9"/>
  <c r="F23" i="9" s="1"/>
  <c r="AT24" i="9"/>
  <c r="AU37" i="9"/>
  <c r="K37" i="9" s="1"/>
  <c r="M37" i="9" s="1"/>
  <c r="D79" i="14" s="1"/>
  <c r="I79" i="14" s="1"/>
  <c r="AT38" i="9"/>
  <c r="AQ56" i="9"/>
  <c r="AS63" i="9"/>
  <c r="AV64" i="9"/>
  <c r="L64" i="9" s="1"/>
  <c r="AT65" i="9"/>
  <c r="AQ66" i="9"/>
  <c r="AT67" i="9"/>
  <c r="AS68" i="9"/>
  <c r="AT69" i="9"/>
  <c r="AV70" i="9"/>
  <c r="L70" i="9" s="1"/>
  <c r="AT71" i="9"/>
  <c r="AQ72" i="9"/>
  <c r="AP73" i="9"/>
  <c r="F73" i="9" s="1"/>
  <c r="AP74" i="9"/>
  <c r="F74" i="9" s="1"/>
  <c r="AS14" i="9"/>
  <c r="AO22" i="9"/>
  <c r="AS23" i="9"/>
  <c r="AV37" i="9"/>
  <c r="L37" i="9" s="1"/>
  <c r="AP55" i="9"/>
  <c r="F55" i="9" s="1"/>
  <c r="AT63" i="9"/>
  <c r="AU65" i="9"/>
  <c r="K65" i="9" s="1"/>
  <c r="M65" i="9" s="1"/>
  <c r="D107" i="14" s="1"/>
  <c r="I107" i="14" s="1"/>
  <c r="AS66" i="9"/>
  <c r="AV67" i="9"/>
  <c r="L67" i="9" s="1"/>
  <c r="AU68" i="9"/>
  <c r="K68" i="9" s="1"/>
  <c r="M68" i="9" s="1"/>
  <c r="D110" i="14" s="1"/>
  <c r="I110" i="14" s="1"/>
  <c r="AU71" i="9"/>
  <c r="K71" i="9" s="1"/>
  <c r="M71" i="9" s="1"/>
  <c r="D113" i="14" s="1"/>
  <c r="I113" i="14" s="1"/>
  <c r="AS72" i="9"/>
  <c r="AT73" i="9"/>
  <c r="AQ74" i="9"/>
  <c r="AO79" i="9"/>
  <c r="AQ80" i="9"/>
  <c r="AP83" i="9"/>
  <c r="F83" i="9" s="1"/>
  <c r="AQ84" i="9"/>
  <c r="AQ90" i="9"/>
  <c r="AT91" i="9"/>
  <c r="AQ92" i="9"/>
  <c r="AT105" i="9"/>
  <c r="AT106" i="9"/>
  <c r="AT107" i="9"/>
  <c r="AS108" i="9"/>
  <c r="AU110" i="9"/>
  <c r="K110" i="9" s="1"/>
  <c r="AQ111" i="9"/>
  <c r="AO112" i="9"/>
  <c r="AT13" i="9"/>
  <c r="AU14" i="9"/>
  <c r="K14" i="9" s="1"/>
  <c r="M14" i="9" s="1"/>
  <c r="D56" i="14" s="1"/>
  <c r="I56" i="14" s="1"/>
  <c r="AT22" i="9"/>
  <c r="AU23" i="9"/>
  <c r="K23" i="9" s="1"/>
  <c r="M23" i="9" s="1"/>
  <c r="D65" i="14" s="1"/>
  <c r="I65" i="14" s="1"/>
  <c r="AQ53" i="9"/>
  <c r="AO54" i="9"/>
  <c r="AT55" i="9"/>
  <c r="AQ62" i="9"/>
  <c r="AT72" i="9"/>
  <c r="AU73" i="9"/>
  <c r="K73" i="9" s="1"/>
  <c r="M73" i="9" s="1"/>
  <c r="D115" i="14" s="1"/>
  <c r="I115" i="14" s="1"/>
  <c r="AR74" i="9"/>
  <c r="AO75" i="9"/>
  <c r="AO76" i="9"/>
  <c r="AP77" i="9"/>
  <c r="F77" i="9" s="1"/>
  <c r="AP78" i="9"/>
  <c r="F78" i="9" s="1"/>
  <c r="AT79" i="9"/>
  <c r="AR80" i="9"/>
  <c r="AO81" i="9"/>
  <c r="AO82" i="9"/>
  <c r="AQ83" i="9"/>
  <c r="AS84" i="9"/>
  <c r="AQ89" i="9"/>
  <c r="AS90" i="9"/>
  <c r="AU91" i="9"/>
  <c r="K91" i="9" s="1"/>
  <c r="AR92" i="9"/>
  <c r="AO93" i="9"/>
  <c r="AO94" i="9"/>
  <c r="AP95" i="9"/>
  <c r="F95" i="9" s="1"/>
  <c r="AU107" i="9"/>
  <c r="K107" i="9" s="1"/>
  <c r="M107" i="9" s="1"/>
  <c r="D149" i="14" s="1"/>
  <c r="I149" i="14" s="1"/>
  <c r="AV110" i="9"/>
  <c r="L110" i="9" s="1"/>
  <c r="AR111" i="9"/>
  <c r="AP112" i="9"/>
  <c r="F112" i="9" s="1"/>
  <c r="AO113" i="9"/>
  <c r="AV13" i="9"/>
  <c r="L13" i="9" s="1"/>
  <c r="AQ21" i="9"/>
  <c r="AV22" i="9"/>
  <c r="L22" i="9" s="1"/>
  <c r="AP29" i="9"/>
  <c r="F29" i="9" s="1"/>
  <c r="AT36" i="9"/>
  <c r="AO52" i="9"/>
  <c r="AR53" i="9"/>
  <c r="AQ54" i="9"/>
  <c r="AU62" i="9"/>
  <c r="K62" i="9" s="1"/>
  <c r="M62" i="9" s="1"/>
  <c r="D104" i="14" s="1"/>
  <c r="I104" i="14" s="1"/>
  <c r="AV73" i="9"/>
  <c r="L73" i="9" s="1"/>
  <c r="AS74" i="9"/>
  <c r="AP75" i="9"/>
  <c r="F75" i="9" s="1"/>
  <c r="AP76" i="9"/>
  <c r="F76" i="9" s="1"/>
  <c r="AQ77" i="9"/>
  <c r="AS78" i="9"/>
  <c r="AU79" i="9"/>
  <c r="K79" i="9" s="1"/>
  <c r="AS80" i="9"/>
  <c r="AP81" i="9"/>
  <c r="F81" i="9" s="1"/>
  <c r="AP82" i="9"/>
  <c r="F82" i="9" s="1"/>
  <c r="AT83" i="9"/>
  <c r="AT89" i="9"/>
  <c r="AT90" i="9"/>
  <c r="AV91" i="9"/>
  <c r="L91" i="9" s="1"/>
  <c r="AS92" i="9"/>
  <c r="AP93" i="9"/>
  <c r="F93" i="9" s="1"/>
  <c r="AP94" i="9"/>
  <c r="F94" i="9" s="1"/>
  <c r="AQ95" i="9"/>
  <c r="AO96" i="9"/>
  <c r="AO101" i="9"/>
  <c r="AS111" i="9"/>
  <c r="AS112" i="9"/>
  <c r="AP113" i="9"/>
  <c r="F113" i="9" s="1"/>
  <c r="AO114" i="9"/>
  <c r="AP20" i="9"/>
  <c r="F20" i="9" s="1"/>
  <c r="AS21" i="9"/>
  <c r="AQ29" i="9"/>
  <c r="AT52" i="9"/>
  <c r="AT53" i="9"/>
  <c r="AS54" i="9"/>
  <c r="AT74" i="9"/>
  <c r="AQ75" i="9"/>
  <c r="AT76" i="9"/>
  <c r="AS77" i="9"/>
  <c r="AT78" i="9"/>
  <c r="AV79" i="9"/>
  <c r="L79" i="9" s="1"/>
  <c r="AT80" i="9"/>
  <c r="AQ81" i="9"/>
  <c r="AO19" i="9"/>
  <c r="AS20" i="9"/>
  <c r="AP28" i="9"/>
  <c r="F28" i="9" s="1"/>
  <c r="AP51" i="9"/>
  <c r="F51" i="9" s="1"/>
  <c r="AV52" i="9"/>
  <c r="L52" i="9" s="1"/>
  <c r="AU53" i="9"/>
  <c r="K53" i="9" s="1"/>
  <c r="M53" i="9" s="1"/>
  <c r="D95" i="14" s="1"/>
  <c r="I95" i="14" s="1"/>
  <c r="AO61" i="9"/>
  <c r="AU74" i="9"/>
  <c r="K74" i="9" s="1"/>
  <c r="M74" i="9" s="1"/>
  <c r="D116" i="14" s="1"/>
  <c r="I116" i="14" s="1"/>
  <c r="AS75" i="9"/>
  <c r="AV76" i="9"/>
  <c r="L76" i="9" s="1"/>
  <c r="AU77" i="9"/>
  <c r="K77" i="9" s="1"/>
  <c r="M77" i="9" s="1"/>
  <c r="D119" i="14" s="1"/>
  <c r="I119" i="14" s="1"/>
  <c r="AU80" i="9"/>
  <c r="K80" i="9" s="1"/>
  <c r="M80" i="9" s="1"/>
  <c r="D122" i="14" s="1"/>
  <c r="I122" i="14" s="1"/>
  <c r="AS81" i="9"/>
  <c r="AV88" i="9"/>
  <c r="L88" i="9" s="1"/>
  <c r="AU92" i="9"/>
  <c r="K92" i="9" s="1"/>
  <c r="M92" i="9" s="1"/>
  <c r="D134" i="14" s="1"/>
  <c r="I134" i="14" s="1"/>
  <c r="AS93" i="9"/>
  <c r="AV94" i="9"/>
  <c r="L94" i="9" s="1"/>
  <c r="AU95" i="9"/>
  <c r="K95" i="9" s="1"/>
  <c r="AR96" i="9"/>
  <c r="AP97" i="9"/>
  <c r="F97" i="9" s="1"/>
  <c r="AO100" i="9"/>
  <c r="AT101" i="9"/>
  <c r="AP102" i="9"/>
  <c r="F102" i="9" s="1"/>
  <c r="AU112" i="9"/>
  <c r="K112" i="9" s="1"/>
  <c r="M112" i="9" s="1"/>
  <c r="D154" i="14" s="1"/>
  <c r="I154" i="14" s="1"/>
  <c r="AS113" i="9"/>
  <c r="AR114" i="9"/>
  <c r="AO27" i="9"/>
  <c r="AT44" i="9"/>
  <c r="AS45" i="9"/>
  <c r="AU46" i="9"/>
  <c r="K46" i="9" s="1"/>
  <c r="M46" i="9" s="1"/>
  <c r="D88" i="14" s="1"/>
  <c r="I88" i="14" s="1"/>
  <c r="AT64" i="9"/>
  <c r="AT82" i="9"/>
  <c r="AS86" i="9"/>
  <c r="AT94" i="9"/>
  <c r="AT112" i="9"/>
  <c r="AS18" i="9"/>
  <c r="AV25" i="9"/>
  <c r="L25" i="9" s="1"/>
  <c r="AP40" i="9"/>
  <c r="F40" i="9" s="1"/>
  <c r="AS41" i="9"/>
  <c r="AP50" i="9"/>
  <c r="F50" i="9" s="1"/>
  <c r="AQ71" i="9"/>
  <c r="AP92" i="9"/>
  <c r="F92" i="9" s="1"/>
  <c r="AV101" i="9"/>
  <c r="L101" i="9" s="1"/>
  <c r="AS102" i="9"/>
  <c r="AS103" i="9"/>
  <c r="AP104" i="9"/>
  <c r="F104" i="9" s="1"/>
  <c r="AO107" i="9"/>
  <c r="AQ108" i="9"/>
  <c r="AT17" i="9"/>
  <c r="AO39" i="9"/>
  <c r="AU17" i="9"/>
  <c r="K17" i="9" s="1"/>
  <c r="M17" i="9" s="1"/>
  <c r="D59" i="14" s="1"/>
  <c r="I59" i="14" s="1"/>
  <c r="AP39" i="9"/>
  <c r="F39" i="9" s="1"/>
  <c r="AT49" i="9"/>
  <c r="AO66" i="9"/>
  <c r="AO70" i="9"/>
  <c r="AQ96" i="9"/>
  <c r="AS97" i="9"/>
  <c r="AO98" i="9"/>
  <c r="AU103" i="9"/>
  <c r="K103" i="9" s="1"/>
  <c r="M103" i="9" s="1"/>
  <c r="D145" i="14" s="1"/>
  <c r="I145" i="14" s="1"/>
  <c r="AS104" i="9"/>
  <c r="AQ105" i="9"/>
  <c r="AP106" i="9"/>
  <c r="F106" i="9" s="1"/>
  <c r="AS107" i="9"/>
  <c r="AQ114" i="9"/>
  <c r="AV16" i="9"/>
  <c r="L16" i="9" s="1"/>
  <c r="AR38" i="9"/>
  <c r="AQ47" i="9"/>
  <c r="AQ48" i="9"/>
  <c r="AQ65" i="9"/>
  <c r="AU83" i="9"/>
  <c r="K83" i="9" s="1"/>
  <c r="M83" i="9" s="1"/>
  <c r="D125" i="14" s="1"/>
  <c r="I125" i="14" s="1"/>
  <c r="AS95" i="9"/>
  <c r="AT96" i="9"/>
  <c r="AU97" i="9"/>
  <c r="K97" i="9" s="1"/>
  <c r="AQ98" i="9"/>
  <c r="AS99" i="9"/>
  <c r="AV104" i="9"/>
  <c r="L104" i="9" s="1"/>
  <c r="AS105" i="9"/>
  <c r="AQ113" i="9"/>
  <c r="AT28" i="9"/>
  <c r="AO45" i="9"/>
  <c r="AP46" i="9"/>
  <c r="F46" i="9" s="1"/>
  <c r="AR47" i="9"/>
  <c r="AS48" i="9"/>
  <c r="AR65" i="9"/>
  <c r="AP69" i="9"/>
  <c r="F69" i="9" s="1"/>
  <c r="AV95" i="9"/>
  <c r="L95" i="9" s="1"/>
  <c r="AV97" i="9"/>
  <c r="L97" i="9" s="1"/>
  <c r="AR98" i="9"/>
  <c r="AU113" i="9"/>
  <c r="K113" i="9" s="1"/>
  <c r="M113" i="9" s="1"/>
  <c r="D155" i="14" s="1"/>
  <c r="I155" i="14" s="1"/>
  <c r="AT20" i="9"/>
  <c r="AO34" i="9"/>
  <c r="AR44" i="9"/>
  <c r="AQ45" i="9"/>
  <c r="AT46" i="9"/>
  <c r="AT47" i="9"/>
  <c r="AU98" i="9"/>
  <c r="K98" i="9" s="1"/>
  <c r="M98" i="9" s="1"/>
  <c r="D140" i="14" s="1"/>
  <c r="I140" i="14" s="1"/>
  <c r="AP42" i="9"/>
  <c r="F42" i="9" s="1"/>
  <c r="AV43" i="9"/>
  <c r="L43" i="9" s="1"/>
  <c r="AT85" i="9"/>
  <c r="AU89" i="9"/>
  <c r="K89" i="9" s="1"/>
  <c r="M89" i="9" s="1"/>
  <c r="D131" i="14" s="1"/>
  <c r="I131" i="14" s="1"/>
  <c r="AS96" i="9"/>
  <c r="AO18" i="9"/>
  <c r="AS42" i="9"/>
  <c r="AU50" i="9"/>
  <c r="K50" i="9" s="1"/>
  <c r="M50" i="9" s="1"/>
  <c r="D92" i="14" s="1"/>
  <c r="I92" i="14" s="1"/>
  <c r="AV85" i="9"/>
  <c r="L85" i="9" s="1"/>
  <c r="AV100" i="9"/>
  <c r="L100" i="9" s="1"/>
  <c r="AP41" i="9"/>
  <c r="F41" i="9" s="1"/>
  <c r="AT42" i="9"/>
  <c r="AT92" i="9"/>
  <c r="AP107" i="9"/>
  <c r="F107" i="9" s="1"/>
  <c r="AQ41" i="9"/>
  <c r="AO72" i="9"/>
  <c r="AO88" i="9"/>
  <c r="AO106" i="9"/>
  <c r="AO40" i="9"/>
  <c r="AV49" i="9"/>
  <c r="L49" i="9" s="1"/>
  <c r="AP68" i="9"/>
  <c r="F68" i="9" s="1"/>
  <c r="AO99" i="9"/>
  <c r="AT40" i="9"/>
  <c r="AP91" i="9"/>
  <c r="F91" i="9" s="1"/>
  <c r="AS106" i="9"/>
  <c r="AS27" i="9"/>
  <c r="AT45" i="9"/>
  <c r="AR71" i="9"/>
  <c r="AO105" i="9"/>
  <c r="AO48" i="9"/>
  <c r="AO67" i="9"/>
  <c r="AP98" i="9"/>
  <c r="F98" i="9" s="1"/>
  <c r="AO104" i="9"/>
  <c r="AR105" i="9"/>
  <c r="AQ110" i="9"/>
  <c r="AO111" i="9"/>
  <c r="AT16" i="9"/>
  <c r="AT26" i="9"/>
  <c r="AO102" i="9"/>
  <c r="AO103" i="9"/>
  <c r="AQ104" i="9"/>
  <c r="AS109" i="9"/>
  <c r="AR110" i="9"/>
  <c r="AP111" i="9"/>
  <c r="F111" i="9" s="1"/>
  <c r="AO97" i="9"/>
  <c r="AP103" i="9"/>
  <c r="F103" i="9" s="1"/>
  <c r="AU26" i="9"/>
  <c r="K26" i="9" s="1"/>
  <c r="M26" i="9" s="1"/>
  <c r="D68" i="14" s="1"/>
  <c r="I68" i="14" s="1"/>
  <c r="AU44" i="9"/>
  <c r="K44" i="9" s="1"/>
  <c r="M44" i="9" s="1"/>
  <c r="D86" i="14" s="1"/>
  <c r="I86" i="14" s="1"/>
  <c r="AT70" i="9"/>
  <c r="AQ102" i="9"/>
  <c r="AU104" i="9"/>
  <c r="K104" i="9" s="1"/>
  <c r="M104" i="9" s="1"/>
  <c r="D146" i="14" s="1"/>
  <c r="I146" i="14" s="1"/>
  <c r="AU109" i="9"/>
  <c r="K109" i="9" s="1"/>
  <c r="AS110" i="9"/>
  <c r="AT111" i="9"/>
  <c r="AT19" i="9"/>
  <c r="AT51" i="9"/>
  <c r="AU86" i="9"/>
  <c r="K86" i="9" s="1"/>
  <c r="M86" i="9" s="1"/>
  <c r="D128" i="14" s="1"/>
  <c r="I128" i="14" s="1"/>
  <c r="AT97" i="9"/>
  <c r="AS101" i="9"/>
  <c r="AR102" i="9"/>
  <c r="AT103" i="9"/>
  <c r="AV109" i="9"/>
  <c r="L109" i="9" s="1"/>
  <c r="AT110" i="9"/>
  <c r="AT25" i="9"/>
  <c r="AQ35" i="9"/>
  <c r="AU43" i="9"/>
  <c r="K43" i="9" s="1"/>
  <c r="M43" i="9" s="1"/>
  <c r="D85" i="14" s="1"/>
  <c r="I85" i="14" s="1"/>
  <c r="AQ93" i="9"/>
  <c r="AU101" i="9"/>
  <c r="K101" i="9" s="1"/>
  <c r="M101" i="9" s="1"/>
  <c r="D143" i="14" s="1"/>
  <c r="I143" i="14" s="1"/>
  <c r="AT102" i="9"/>
  <c r="AP108" i="9"/>
  <c r="F108" i="9" s="1"/>
  <c r="H14" i="25"/>
  <c r="W71" i="25" s="1"/>
  <c r="X71" i="25" s="1"/>
  <c r="D257" i="37"/>
  <c r="D271" i="37"/>
  <c r="D270" i="37"/>
  <c r="D256" i="37"/>
  <c r="D235" i="37"/>
  <c r="D234" i="37"/>
  <c r="D258" i="37"/>
  <c r="D272" i="37"/>
  <c r="D236" i="37"/>
  <c r="O56" i="25"/>
  <c r="P56" i="25" s="1"/>
  <c r="J44" i="25"/>
  <c r="I44" i="25"/>
  <c r="K44" i="25"/>
  <c r="H44" i="25"/>
  <c r="W60" i="25"/>
  <c r="X60" i="25" s="1"/>
  <c r="W64" i="25"/>
  <c r="X64" i="25" s="1"/>
  <c r="O55" i="25"/>
  <c r="N55" i="25"/>
  <c r="N56" i="25"/>
  <c r="E57" i="25"/>
  <c r="W34" i="25"/>
  <c r="X34" i="25" s="1"/>
  <c r="W28" i="25"/>
  <c r="X28" i="25" s="1"/>
  <c r="W26" i="25"/>
  <c r="X26" i="25" s="1"/>
  <c r="W37" i="25"/>
  <c r="X37" i="25" s="1"/>
  <c r="W32" i="25"/>
  <c r="X32" i="25" s="1"/>
  <c r="W31" i="25"/>
  <c r="X31" i="25" s="1"/>
  <c r="W25" i="25"/>
  <c r="X25" i="25" s="1"/>
  <c r="W40" i="25"/>
  <c r="X40" i="25" s="1"/>
  <c r="W35" i="25"/>
  <c r="X35" i="25" s="1"/>
  <c r="O26" i="25"/>
  <c r="N25" i="25"/>
  <c r="O25" i="25"/>
  <c r="N26" i="25"/>
  <c r="G11" i="33"/>
  <c r="K16" i="33" s="1"/>
  <c r="L19" i="10"/>
  <c r="L17" i="10"/>
  <c r="F27" i="11"/>
  <c r="I24" i="11"/>
  <c r="L24" i="11"/>
  <c r="O69" i="1" s="1"/>
  <c r="D63" i="5"/>
  <c r="D72" i="5" s="1"/>
  <c r="D74" i="5" s="1"/>
  <c r="D65" i="5"/>
  <c r="D76" i="5" s="1"/>
  <c r="F65" i="5"/>
  <c r="P73" i="1"/>
  <c r="R73" i="1"/>
  <c r="G43" i="1"/>
  <c r="F128" i="1" s="1"/>
  <c r="G128" i="1" s="1"/>
  <c r="I38" i="1"/>
  <c r="G38" i="1"/>
  <c r="I42" i="1"/>
  <c r="G42" i="1"/>
  <c r="I41" i="1"/>
  <c r="G41" i="1"/>
  <c r="G45" i="1"/>
  <c r="D21" i="11"/>
  <c r="E14" i="27" s="1"/>
  <c r="O35" i="30"/>
  <c r="P35" i="30"/>
  <c r="O37" i="30"/>
  <c r="P37" i="30"/>
  <c r="O36" i="30"/>
  <c r="E36" i="30" s="1"/>
  <c r="P36" i="30"/>
  <c r="H36" i="30" s="1"/>
  <c r="D222" i="37"/>
  <c r="E200" i="37"/>
  <c r="A200" i="37" s="1"/>
  <c r="F70" i="31"/>
  <c r="E199" i="37"/>
  <c r="F25" i="29"/>
  <c r="K25" i="29" s="1"/>
  <c r="E157" i="7"/>
  <c r="D220" i="37"/>
  <c r="G24" i="36"/>
  <c r="G25" i="36" s="1"/>
  <c r="D221" i="37"/>
  <c r="E201" i="37"/>
  <c r="E33" i="7"/>
  <c r="G29" i="7"/>
  <c r="M29" i="7" s="1"/>
  <c r="D54" i="29"/>
  <c r="D55" i="29" s="1"/>
  <c r="D24" i="10"/>
  <c r="O84" i="5"/>
  <c r="G84" i="5" s="1"/>
  <c r="G46" i="1"/>
  <c r="F157" i="1" s="1"/>
  <c r="F158" i="1" s="1"/>
  <c r="F159" i="1" s="1"/>
  <c r="F160" i="1" s="1"/>
  <c r="F161" i="1" s="1"/>
  <c r="F24" i="29"/>
  <c r="K24" i="29" s="1"/>
  <c r="H24" i="29"/>
  <c r="H26" i="29"/>
  <c r="H25" i="29"/>
  <c r="F26" i="29"/>
  <c r="L26" i="29" s="1"/>
  <c r="H27" i="29"/>
  <c r="D131" i="1"/>
  <c r="N34" i="5" s="1"/>
  <c r="C16" i="23"/>
  <c r="A16" i="23" s="1"/>
  <c r="B16" i="24"/>
  <c r="A16" i="24" s="1"/>
  <c r="O32" i="5"/>
  <c r="G32" i="5" s="1"/>
  <c r="N33" i="5"/>
  <c r="D287" i="40"/>
  <c r="A287" i="40" s="1"/>
  <c r="J22" i="40"/>
  <c r="J23" i="40" s="1"/>
  <c r="I49" i="40" s="1"/>
  <c r="L19" i="11"/>
  <c r="O77" i="32"/>
  <c r="G71" i="32" s="1"/>
  <c r="Q77" i="31"/>
  <c r="O79" i="31"/>
  <c r="G73" i="31" s="1"/>
  <c r="Q80" i="31"/>
  <c r="Q78" i="32"/>
  <c r="Q76" i="32"/>
  <c r="D21" i="10"/>
  <c r="E19" i="37"/>
  <c r="C45" i="37" s="1"/>
  <c r="A181" i="40"/>
  <c r="L77" i="10"/>
  <c r="I182" i="40"/>
  <c r="A182" i="40" s="1"/>
  <c r="D80" i="10"/>
  <c r="D81" i="10" s="1"/>
  <c r="A21" i="40"/>
  <c r="Q79" i="31"/>
  <c r="D79" i="10"/>
  <c r="A18" i="37"/>
  <c r="I44" i="37"/>
  <c r="C98" i="37" s="1"/>
  <c r="A98" i="37" s="1"/>
  <c r="J107" i="1"/>
  <c r="D14" i="23"/>
  <c r="E40" i="7"/>
  <c r="T40" i="7" s="1"/>
  <c r="D56" i="7"/>
  <c r="J108" i="1"/>
  <c r="Q105" i="1" s="1"/>
  <c r="R112" i="1" s="1"/>
  <c r="F71" i="31"/>
  <c r="O80" i="31"/>
  <c r="G74" i="31" s="1"/>
  <c r="O78" i="31"/>
  <c r="G72" i="31" s="1"/>
  <c r="A47" i="40"/>
  <c r="D25" i="7"/>
  <c r="F27" i="25"/>
  <c r="E27" i="25"/>
  <c r="A27" i="25"/>
  <c r="D28" i="25"/>
  <c r="F57" i="25"/>
  <c r="D58" i="25"/>
  <c r="A57" i="25"/>
  <c r="I71" i="31"/>
  <c r="E32" i="16"/>
  <c r="E29" i="16"/>
  <c r="E30" i="16"/>
  <c r="E31" i="16"/>
  <c r="N85" i="5"/>
  <c r="I70" i="31"/>
  <c r="F81" i="1"/>
  <c r="I129" i="1"/>
  <c r="F17" i="37" s="1"/>
  <c r="G17" i="37" s="1"/>
  <c r="D60" i="7"/>
  <c r="D184" i="7" s="1"/>
  <c r="D224" i="7" s="1"/>
  <c r="C14" i="24"/>
  <c r="E14" i="24" s="1"/>
  <c r="F16" i="37"/>
  <c r="AJ21" i="16"/>
  <c r="M50" i="16" s="1"/>
  <c r="AK17" i="16"/>
  <c r="I110" i="1"/>
  <c r="J110" i="1" s="1"/>
  <c r="Q107" i="1" s="1"/>
  <c r="R110" i="1" s="1"/>
  <c r="AK13" i="16"/>
  <c r="AG13" i="16"/>
  <c r="I42" i="16" s="1"/>
  <c r="P72" i="1"/>
  <c r="Q72" i="1"/>
  <c r="I82" i="1" s="1"/>
  <c r="P65" i="1"/>
  <c r="R72" i="1"/>
  <c r="O73" i="1"/>
  <c r="N61" i="1"/>
  <c r="O72" i="1"/>
  <c r="E82" i="1" s="1"/>
  <c r="Q73" i="1"/>
  <c r="D23" i="40"/>
  <c r="C48" i="40"/>
  <c r="A46" i="40"/>
  <c r="C74" i="40"/>
  <c r="AJ17" i="16"/>
  <c r="M18" i="16" s="1"/>
  <c r="AI20" i="16"/>
  <c r="L21" i="16" s="1"/>
  <c r="AG15" i="16"/>
  <c r="I16" i="16" s="1"/>
  <c r="F41" i="36" s="1"/>
  <c r="H41" i="36" s="1"/>
  <c r="AJ19" i="16"/>
  <c r="M20" i="16" s="1"/>
  <c r="AJ15" i="16"/>
  <c r="M16" i="16" s="1"/>
  <c r="AK21" i="16"/>
  <c r="AG19" i="16"/>
  <c r="I48" i="16" s="1"/>
  <c r="AI16" i="16"/>
  <c r="L17" i="16" s="1"/>
  <c r="AJ13" i="16"/>
  <c r="M42" i="16" s="1"/>
  <c r="AJ20" i="16"/>
  <c r="M21" i="16" s="1"/>
  <c r="AJ18" i="16"/>
  <c r="M19" i="16" s="1"/>
  <c r="AJ16" i="16"/>
  <c r="M17" i="16" s="1"/>
  <c r="AJ14" i="16"/>
  <c r="M15" i="16" s="1"/>
  <c r="AJ12" i="16"/>
  <c r="M13" i="16" s="1"/>
  <c r="AG21" i="16"/>
  <c r="I22" i="16" s="1"/>
  <c r="F47" i="36" s="1"/>
  <c r="H47" i="36" s="1"/>
  <c r="AK19" i="16"/>
  <c r="AI18" i="16"/>
  <c r="L47" i="16" s="1"/>
  <c r="AG17" i="16"/>
  <c r="I18" i="16" s="1"/>
  <c r="F43" i="36" s="1"/>
  <c r="H43" i="36" s="1"/>
  <c r="AK15" i="16"/>
  <c r="AI14" i="16"/>
  <c r="L15" i="16" s="1"/>
  <c r="AK12" i="16"/>
  <c r="I45" i="37"/>
  <c r="C99" i="37" s="1"/>
  <c r="K20" i="37"/>
  <c r="C72" i="37"/>
  <c r="J109" i="1"/>
  <c r="Q106" i="1" s="1"/>
  <c r="R111" i="1" s="1"/>
  <c r="L77" i="11"/>
  <c r="D79" i="11"/>
  <c r="F77" i="11"/>
  <c r="D80" i="11"/>
  <c r="D81" i="11" s="1"/>
  <c r="AH21" i="16"/>
  <c r="J50" i="16" s="1"/>
  <c r="AH20" i="16"/>
  <c r="J49" i="16" s="1"/>
  <c r="AH19" i="16"/>
  <c r="J48" i="16" s="1"/>
  <c r="AH18" i="16"/>
  <c r="J47" i="16" s="1"/>
  <c r="AH17" i="16"/>
  <c r="J46" i="16" s="1"/>
  <c r="AH16" i="16"/>
  <c r="J17" i="16" s="1"/>
  <c r="AH15" i="16"/>
  <c r="J44" i="16" s="1"/>
  <c r="AH14" i="16"/>
  <c r="J15" i="16" s="1"/>
  <c r="AI13" i="16"/>
  <c r="L42" i="16" s="1"/>
  <c r="AH12" i="16"/>
  <c r="J41" i="16" s="1"/>
  <c r="AI21" i="16"/>
  <c r="L50" i="16" s="1"/>
  <c r="AK20" i="16"/>
  <c r="AG20" i="16"/>
  <c r="I49" i="16" s="1"/>
  <c r="AI19" i="16"/>
  <c r="L20" i="16" s="1"/>
  <c r="AK18" i="16"/>
  <c r="AG18" i="16"/>
  <c r="I19" i="16" s="1"/>
  <c r="F44" i="36" s="1"/>
  <c r="H44" i="36" s="1"/>
  <c r="AI17" i="16"/>
  <c r="L46" i="16" s="1"/>
  <c r="AK16" i="16"/>
  <c r="AG16" i="16"/>
  <c r="I45" i="16" s="1"/>
  <c r="AI15" i="16"/>
  <c r="L44" i="16" s="1"/>
  <c r="AK14" i="16"/>
  <c r="AG14" i="16"/>
  <c r="I15" i="16" s="1"/>
  <c r="F40" i="36" s="1"/>
  <c r="H40" i="36" s="1"/>
  <c r="AH13" i="16"/>
  <c r="J42" i="16" s="1"/>
  <c r="AI12" i="16"/>
  <c r="L41" i="16" s="1"/>
  <c r="T164" i="7"/>
  <c r="L156" i="1"/>
  <c r="L27" i="29"/>
  <c r="K27" i="29"/>
  <c r="H130" i="1"/>
  <c r="A130" i="1"/>
  <c r="A41" i="23"/>
  <c r="H48" i="37"/>
  <c r="F76" i="24"/>
  <c r="G76" i="24"/>
  <c r="D209" i="40"/>
  <c r="L17" i="37"/>
  <c r="K20" i="40"/>
  <c r="L20" i="40" s="1"/>
  <c r="J157" i="1"/>
  <c r="C41" i="24"/>
  <c r="D40" i="23"/>
  <c r="G83" i="5"/>
  <c r="AU12" i="9"/>
  <c r="K12" i="9" s="1"/>
  <c r="AV12" i="9"/>
  <c r="L12" i="9" s="1"/>
  <c r="AT12" i="9"/>
  <c r="AS12" i="9"/>
  <c r="AR12" i="9"/>
  <c r="AQ12" i="9"/>
  <c r="AO12" i="9"/>
  <c r="AP12" i="9"/>
  <c r="F12" i="9" s="1"/>
  <c r="D266" i="40"/>
  <c r="A208" i="40"/>
  <c r="A75" i="40"/>
  <c r="C120" i="40"/>
  <c r="A120" i="40" s="1"/>
  <c r="E112" i="1"/>
  <c r="D111" i="1"/>
  <c r="A111" i="1" s="1"/>
  <c r="E80" i="7"/>
  <c r="D204" i="7"/>
  <c r="D244" i="7" s="1"/>
  <c r="D120" i="7"/>
  <c r="E40" i="24"/>
  <c r="M16" i="37"/>
  <c r="A42" i="24"/>
  <c r="H158" i="1"/>
  <c r="I158" i="1" s="1"/>
  <c r="A158" i="1"/>
  <c r="C42" i="23"/>
  <c r="D160" i="1"/>
  <c r="C159" i="1"/>
  <c r="K159" i="1" s="1"/>
  <c r="B43" i="24"/>
  <c r="B48" i="37"/>
  <c r="C183" i="40"/>
  <c r="B184" i="40"/>
  <c r="B185" i="40" s="1"/>
  <c r="B186" i="40" s="1"/>
  <c r="B187" i="40" s="1"/>
  <c r="B188" i="40" s="1"/>
  <c r="B189" i="40" s="1"/>
  <c r="B190" i="40" s="1"/>
  <c r="B191" i="40" s="1"/>
  <c r="B192" i="40" s="1"/>
  <c r="B193" i="40" s="1"/>
  <c r="B194" i="40" s="1"/>
  <c r="B195" i="40" s="1"/>
  <c r="B196" i="40" s="1"/>
  <c r="B197" i="40" s="1"/>
  <c r="B198" i="40" s="1"/>
  <c r="B199" i="40" s="1"/>
  <c r="I41" i="16"/>
  <c r="I13" i="16"/>
  <c r="F38" i="36" s="1"/>
  <c r="H38" i="36" s="1"/>
  <c r="BK100" i="14" l="1"/>
  <c r="M114" i="9"/>
  <c r="M96" i="9"/>
  <c r="D138" i="14" s="1"/>
  <c r="I138" i="14" s="1"/>
  <c r="M78" i="9"/>
  <c r="D120" i="14" s="1"/>
  <c r="I120" i="14" s="1"/>
  <c r="M60" i="9"/>
  <c r="D102" i="14" s="1"/>
  <c r="I102" i="14" s="1"/>
  <c r="M42" i="9"/>
  <c r="D84" i="14" s="1"/>
  <c r="I84" i="14" s="1"/>
  <c r="M24" i="9"/>
  <c r="D66" i="14" s="1"/>
  <c r="I66" i="14" s="1"/>
  <c r="M88" i="9"/>
  <c r="D130" i="14" s="1"/>
  <c r="I130" i="14" s="1"/>
  <c r="M19" i="9"/>
  <c r="D61" i="14" s="1"/>
  <c r="I61" i="14" s="1"/>
  <c r="M111" i="9"/>
  <c r="D153" i="14" s="1"/>
  <c r="I153" i="14" s="1"/>
  <c r="M93" i="9"/>
  <c r="D135" i="14" s="1"/>
  <c r="I135" i="14" s="1"/>
  <c r="M75" i="9"/>
  <c r="D117" i="14" s="1"/>
  <c r="I117" i="14" s="1"/>
  <c r="M57" i="9"/>
  <c r="D99" i="14" s="1"/>
  <c r="I99" i="14" s="1"/>
  <c r="M39" i="9"/>
  <c r="D81" i="14" s="1"/>
  <c r="I81" i="14" s="1"/>
  <c r="M21" i="9"/>
  <c r="D63" i="14" s="1"/>
  <c r="I63" i="14" s="1"/>
  <c r="M85" i="9"/>
  <c r="D127" i="14" s="1"/>
  <c r="I127" i="14" s="1"/>
  <c r="M58" i="9"/>
  <c r="D100" i="14" s="1"/>
  <c r="I100" i="14" s="1"/>
  <c r="M31" i="9"/>
  <c r="D73" i="14" s="1"/>
  <c r="I73" i="14" s="1"/>
  <c r="M95" i="9"/>
  <c r="D137" i="14" s="1"/>
  <c r="I137" i="14" s="1"/>
  <c r="M108" i="9"/>
  <c r="D150" i="14" s="1"/>
  <c r="I150" i="14" s="1"/>
  <c r="M90" i="9"/>
  <c r="D132" i="14" s="1"/>
  <c r="I132" i="14" s="1"/>
  <c r="M72" i="9"/>
  <c r="D114" i="14" s="1"/>
  <c r="I114" i="14" s="1"/>
  <c r="M54" i="9"/>
  <c r="D96" i="14" s="1"/>
  <c r="I96" i="14" s="1"/>
  <c r="M36" i="9"/>
  <c r="D78" i="14" s="1"/>
  <c r="I78" i="14" s="1"/>
  <c r="M18" i="9"/>
  <c r="D60" i="14" s="1"/>
  <c r="I60" i="14" s="1"/>
  <c r="M79" i="9"/>
  <c r="D121" i="14" s="1"/>
  <c r="I121" i="14" s="1"/>
  <c r="M16" i="9"/>
  <c r="D58" i="14" s="1"/>
  <c r="I58" i="14" s="1"/>
  <c r="M91" i="9"/>
  <c r="D133" i="14" s="1"/>
  <c r="I133" i="14" s="1"/>
  <c r="M55" i="9"/>
  <c r="D97" i="14" s="1"/>
  <c r="I97" i="14" s="1"/>
  <c r="M105" i="9"/>
  <c r="D147" i="14" s="1"/>
  <c r="I147" i="14" s="1"/>
  <c r="M87" i="9"/>
  <c r="D129" i="14" s="1"/>
  <c r="I129" i="14" s="1"/>
  <c r="M69" i="9"/>
  <c r="D111" i="14" s="1"/>
  <c r="I111" i="14" s="1"/>
  <c r="M51" i="9"/>
  <c r="D93" i="14" s="1"/>
  <c r="I93" i="14" s="1"/>
  <c r="M33" i="9"/>
  <c r="D75" i="14" s="1"/>
  <c r="I75" i="14" s="1"/>
  <c r="M15" i="9"/>
  <c r="D57" i="14" s="1"/>
  <c r="I57" i="14" s="1"/>
  <c r="M109" i="9"/>
  <c r="D151" i="14" s="1"/>
  <c r="I151" i="14" s="1"/>
  <c r="M100" i="9"/>
  <c r="D142" i="14" s="1"/>
  <c r="I142" i="14" s="1"/>
  <c r="M106" i="9"/>
  <c r="D148" i="14" s="1"/>
  <c r="I148" i="14" s="1"/>
  <c r="M76" i="9"/>
  <c r="D118" i="14" s="1"/>
  <c r="I118" i="14" s="1"/>
  <c r="M49" i="9"/>
  <c r="D91" i="14" s="1"/>
  <c r="I91" i="14" s="1"/>
  <c r="M22" i="9"/>
  <c r="D64" i="14" s="1"/>
  <c r="I64" i="14" s="1"/>
  <c r="M110" i="9"/>
  <c r="D152" i="14" s="1"/>
  <c r="I152" i="14" s="1"/>
  <c r="M70" i="9"/>
  <c r="D112" i="14" s="1"/>
  <c r="I112" i="14" s="1"/>
  <c r="M25" i="9"/>
  <c r="D67" i="14" s="1"/>
  <c r="I67" i="14" s="1"/>
  <c r="M102" i="9"/>
  <c r="D144" i="14" s="1"/>
  <c r="I144" i="14" s="1"/>
  <c r="M84" i="9"/>
  <c r="D126" i="14" s="1"/>
  <c r="I126" i="14" s="1"/>
  <c r="M66" i="9"/>
  <c r="D108" i="14" s="1"/>
  <c r="I108" i="14" s="1"/>
  <c r="M48" i="9"/>
  <c r="D90" i="14" s="1"/>
  <c r="I90" i="14" s="1"/>
  <c r="M30" i="9"/>
  <c r="D72" i="14" s="1"/>
  <c r="I72" i="14" s="1"/>
  <c r="M97" i="9"/>
  <c r="D139" i="14" s="1"/>
  <c r="I139" i="14" s="1"/>
  <c r="M52" i="9"/>
  <c r="D94" i="14" s="1"/>
  <c r="I94" i="14" s="1"/>
  <c r="M99" i="9"/>
  <c r="D141" i="14" s="1"/>
  <c r="I141" i="14" s="1"/>
  <c r="M81" i="9"/>
  <c r="D123" i="14" s="1"/>
  <c r="I123" i="14" s="1"/>
  <c r="M63" i="9"/>
  <c r="D105" i="14" s="1"/>
  <c r="I105" i="14" s="1"/>
  <c r="M45" i="9"/>
  <c r="D87" i="14" s="1"/>
  <c r="I87" i="14" s="1"/>
  <c r="M27" i="9"/>
  <c r="D69" i="14" s="1"/>
  <c r="I69" i="14" s="1"/>
  <c r="M94" i="9"/>
  <c r="D136" i="14" s="1"/>
  <c r="I136" i="14" s="1"/>
  <c r="M67" i="9"/>
  <c r="D109" i="14" s="1"/>
  <c r="I109" i="14" s="1"/>
  <c r="M40" i="9"/>
  <c r="D82" i="14" s="1"/>
  <c r="I82" i="14" s="1"/>
  <c r="M13" i="9"/>
  <c r="D55" i="14" s="1"/>
  <c r="I55" i="14" s="1"/>
  <c r="W38" i="25"/>
  <c r="X38" i="25" s="1"/>
  <c r="W72" i="25"/>
  <c r="X72" i="25" s="1"/>
  <c r="W61" i="25"/>
  <c r="X61" i="25" s="1"/>
  <c r="W39" i="25"/>
  <c r="X39" i="25" s="1"/>
  <c r="W73" i="25"/>
  <c r="X73" i="25" s="1"/>
  <c r="W43" i="25"/>
  <c r="X43" i="25" s="1"/>
  <c r="W62" i="25"/>
  <c r="X62" i="25" s="1"/>
  <c r="W36" i="25"/>
  <c r="X36" i="25" s="1"/>
  <c r="W41" i="25"/>
  <c r="X41" i="25" s="1"/>
  <c r="W63" i="25"/>
  <c r="X63" i="25" s="1"/>
  <c r="W44" i="25"/>
  <c r="X44" i="25" s="1"/>
  <c r="W42" i="25"/>
  <c r="X42" i="25" s="1"/>
  <c r="W66" i="25"/>
  <c r="X66" i="25" s="1"/>
  <c r="W29" i="25"/>
  <c r="X29" i="25" s="1"/>
  <c r="W27" i="25"/>
  <c r="X27" i="25" s="1"/>
  <c r="W55" i="25"/>
  <c r="X55" i="25" s="1"/>
  <c r="W33" i="25"/>
  <c r="X33" i="25" s="1"/>
  <c r="W30" i="25"/>
  <c r="X30" i="25" s="1"/>
  <c r="W67" i="25"/>
  <c r="X67" i="25" s="1"/>
  <c r="W56" i="25"/>
  <c r="X56" i="25" s="1"/>
  <c r="W57" i="25"/>
  <c r="X57" i="25" s="1"/>
  <c r="W69" i="25"/>
  <c r="X69" i="25" s="1"/>
  <c r="W68" i="25"/>
  <c r="X68" i="25" s="1"/>
  <c r="W70" i="25"/>
  <c r="X70" i="25" s="1"/>
  <c r="W58" i="25"/>
  <c r="X58" i="25" s="1"/>
  <c r="W74" i="25"/>
  <c r="X74" i="25" s="1"/>
  <c r="W59" i="25"/>
  <c r="X59" i="25" s="1"/>
  <c r="W65" i="25"/>
  <c r="X65" i="25" s="1"/>
  <c r="D241" i="37"/>
  <c r="A236" i="37"/>
  <c r="A272" i="37"/>
  <c r="D277" i="37"/>
  <c r="D263" i="37"/>
  <c r="A258" i="37"/>
  <c r="A234" i="37"/>
  <c r="D239" i="37"/>
  <c r="A239" i="37" s="1"/>
  <c r="A235" i="37"/>
  <c r="D240" i="37"/>
  <c r="A256" i="37"/>
  <c r="D261" i="37"/>
  <c r="A261" i="37" s="1"/>
  <c r="A270" i="37"/>
  <c r="D275" i="37"/>
  <c r="A275" i="37" s="1"/>
  <c r="D276" i="37"/>
  <c r="A271" i="37"/>
  <c r="A257" i="37"/>
  <c r="D262" i="37"/>
  <c r="C19" i="33"/>
  <c r="E16" i="33"/>
  <c r="C16" i="33"/>
  <c r="I16" i="33"/>
  <c r="I19" i="33"/>
  <c r="K19" i="33"/>
  <c r="G16" i="33"/>
  <c r="K11" i="33"/>
  <c r="E19" i="33"/>
  <c r="G19" i="33"/>
  <c r="N57" i="25"/>
  <c r="O57" i="25"/>
  <c r="Q56" i="25"/>
  <c r="S56" i="25"/>
  <c r="P55" i="25"/>
  <c r="S55" i="25" s="1"/>
  <c r="S26" i="25"/>
  <c r="Q26" i="25"/>
  <c r="P26" i="25"/>
  <c r="P25" i="25"/>
  <c r="Q25" i="25" s="1"/>
  <c r="N27" i="25"/>
  <c r="O27" i="25"/>
  <c r="F129" i="1"/>
  <c r="F130" i="1" s="1"/>
  <c r="F131" i="1" s="1"/>
  <c r="F132" i="1" s="1"/>
  <c r="F133" i="1" s="1"/>
  <c r="E45" i="16"/>
  <c r="E17" i="16"/>
  <c r="E46" i="16"/>
  <c r="E18" i="16"/>
  <c r="E47" i="16"/>
  <c r="E19" i="16"/>
  <c r="E44" i="16"/>
  <c r="E16" i="16"/>
  <c r="E50" i="16"/>
  <c r="E22" i="16"/>
  <c r="E49" i="16"/>
  <c r="E21" i="16"/>
  <c r="E48" i="16"/>
  <c r="E20" i="16"/>
  <c r="E43" i="16"/>
  <c r="E15" i="16"/>
  <c r="F302" i="37"/>
  <c r="J302" i="37" s="1"/>
  <c r="F331" i="40"/>
  <c r="F76" i="5"/>
  <c r="F74" i="5"/>
  <c r="A199" i="37"/>
  <c r="F199" i="37"/>
  <c r="A222" i="37"/>
  <c r="A201" i="37"/>
  <c r="E42" i="16"/>
  <c r="E14" i="16"/>
  <c r="E41" i="16"/>
  <c r="E13" i="16"/>
  <c r="G16" i="37"/>
  <c r="E14" i="14"/>
  <c r="E56" i="7"/>
  <c r="E180" i="7" s="1"/>
  <c r="D57" i="7"/>
  <c r="D181" i="7" s="1"/>
  <c r="I73" i="31"/>
  <c r="F72" i="31"/>
  <c r="F74" i="31"/>
  <c r="F71" i="32"/>
  <c r="F70" i="32"/>
  <c r="E53" i="29"/>
  <c r="L24" i="29"/>
  <c r="E31" i="27"/>
  <c r="F27" i="10"/>
  <c r="L24" i="10"/>
  <c r="Q69" i="1" s="1"/>
  <c r="I24" i="10"/>
  <c r="L16" i="8"/>
  <c r="H25" i="8" s="1"/>
  <c r="L14" i="8"/>
  <c r="F14" i="8"/>
  <c r="H15" i="8" s="1"/>
  <c r="F15" i="5"/>
  <c r="D13" i="5"/>
  <c r="D22" i="5" s="1"/>
  <c r="F13" i="5"/>
  <c r="D15" i="5"/>
  <c r="D27" i="10"/>
  <c r="D28" i="10" s="1"/>
  <c r="D27" i="11"/>
  <c r="D28" i="11" s="1"/>
  <c r="D29" i="11" s="1"/>
  <c r="H59" i="30"/>
  <c r="E59" i="30"/>
  <c r="E62" i="30" s="1"/>
  <c r="H58" i="30"/>
  <c r="E58" i="30"/>
  <c r="I48" i="30"/>
  <c r="I47" i="30"/>
  <c r="F47" i="30"/>
  <c r="F48" i="30"/>
  <c r="F46" i="30"/>
  <c r="I46" i="30"/>
  <c r="I49" i="30"/>
  <c r="F49" i="30"/>
  <c r="L79" i="11"/>
  <c r="L82" i="11" s="1"/>
  <c r="L79" i="10"/>
  <c r="D227" i="37"/>
  <c r="E54" i="29"/>
  <c r="L25" i="29"/>
  <c r="A220" i="37"/>
  <c r="N29" i="7"/>
  <c r="J29" i="7"/>
  <c r="L29" i="7"/>
  <c r="K29" i="7"/>
  <c r="N38" i="7"/>
  <c r="N162" i="7" s="1"/>
  <c r="E36" i="7"/>
  <c r="G36" i="7" s="1"/>
  <c r="G160" i="7" s="1"/>
  <c r="D226" i="37"/>
  <c r="A221" i="37"/>
  <c r="D225" i="37"/>
  <c r="G19" i="31"/>
  <c r="F85" i="31" s="1"/>
  <c r="F79" i="10"/>
  <c r="F79" i="11"/>
  <c r="F16" i="8"/>
  <c r="F17" i="8" s="1"/>
  <c r="K26" i="29"/>
  <c r="G45" i="32" s="1"/>
  <c r="O33" i="5"/>
  <c r="G33" i="5" s="1"/>
  <c r="D132" i="1"/>
  <c r="N35" i="5" s="1"/>
  <c r="C17" i="23"/>
  <c r="A17" i="23" s="1"/>
  <c r="B17" i="24"/>
  <c r="A17" i="24" s="1"/>
  <c r="C131" i="1"/>
  <c r="K131" i="1" s="1"/>
  <c r="F73" i="31"/>
  <c r="X98" i="37"/>
  <c r="A22" i="40"/>
  <c r="J24" i="40"/>
  <c r="J25" i="40" s="1"/>
  <c r="I183" i="40"/>
  <c r="D232" i="40" s="1"/>
  <c r="I48" i="40"/>
  <c r="I76" i="40" s="1"/>
  <c r="C148" i="40" s="1"/>
  <c r="A148" i="40" s="1"/>
  <c r="I72" i="31"/>
  <c r="C167" i="37"/>
  <c r="A167" i="37" s="1"/>
  <c r="A19" i="37"/>
  <c r="N98" i="37"/>
  <c r="A44" i="37"/>
  <c r="D231" i="40"/>
  <c r="D288" i="40" s="1"/>
  <c r="E20" i="37"/>
  <c r="E21" i="37" s="1"/>
  <c r="M45" i="16"/>
  <c r="L128" i="1"/>
  <c r="D58" i="7"/>
  <c r="E43" i="7"/>
  <c r="K107" i="1" s="1"/>
  <c r="Q104" i="1"/>
  <c r="R113" i="1" s="1"/>
  <c r="F43" i="7"/>
  <c r="F167" i="7" s="1"/>
  <c r="I44" i="16"/>
  <c r="D180" i="7"/>
  <c r="I74" i="31"/>
  <c r="I20" i="16"/>
  <c r="F45" i="36" s="1"/>
  <c r="H45" i="36" s="1"/>
  <c r="M14" i="16"/>
  <c r="I46" i="16"/>
  <c r="M44" i="16"/>
  <c r="L14" i="16"/>
  <c r="L18" i="16"/>
  <c r="J22" i="16"/>
  <c r="E37" i="16"/>
  <c r="I21" i="16"/>
  <c r="F46" i="36" s="1"/>
  <c r="H46" i="36" s="1"/>
  <c r="J18" i="16"/>
  <c r="M47" i="16"/>
  <c r="M22" i="16"/>
  <c r="I43" i="16"/>
  <c r="L16" i="16"/>
  <c r="L48" i="16"/>
  <c r="J45" i="16"/>
  <c r="J19" i="16"/>
  <c r="L45" i="16"/>
  <c r="I50" i="16"/>
  <c r="E55" i="29"/>
  <c r="D56" i="29"/>
  <c r="D15" i="23"/>
  <c r="L13" i="16"/>
  <c r="I47" i="16"/>
  <c r="J13" i="16"/>
  <c r="J43" i="16"/>
  <c r="J21" i="16"/>
  <c r="I14" i="16"/>
  <c r="F39" i="36" s="1"/>
  <c r="H39" i="36" s="1"/>
  <c r="L19" i="16"/>
  <c r="L49" i="16"/>
  <c r="M43" i="16"/>
  <c r="M48" i="16"/>
  <c r="J14" i="16"/>
  <c r="I17" i="16"/>
  <c r="F42" i="36" s="1"/>
  <c r="H42" i="36" s="1"/>
  <c r="L22" i="16"/>
  <c r="J16" i="16"/>
  <c r="J20" i="16"/>
  <c r="L43" i="16"/>
  <c r="M41" i="16"/>
  <c r="M46" i="16"/>
  <c r="M49" i="16"/>
  <c r="D100" i="7"/>
  <c r="E28" i="25"/>
  <c r="A28" i="25"/>
  <c r="F28" i="25"/>
  <c r="D29" i="25"/>
  <c r="E60" i="7"/>
  <c r="E184" i="7" s="1"/>
  <c r="E224" i="7" s="1"/>
  <c r="I130" i="1"/>
  <c r="F18" i="37" s="1"/>
  <c r="E58" i="25"/>
  <c r="D59" i="25"/>
  <c r="F58" i="25"/>
  <c r="A58" i="25"/>
  <c r="I184" i="40"/>
  <c r="D233" i="40" s="1"/>
  <c r="B9" i="16"/>
  <c r="B9" i="42"/>
  <c r="M12" i="9"/>
  <c r="O85" i="5"/>
  <c r="G85" i="5" s="1"/>
  <c r="N86" i="5"/>
  <c r="E20" i="40"/>
  <c r="F20" i="40" s="1"/>
  <c r="J129" i="1"/>
  <c r="C15" i="24"/>
  <c r="E15" i="24" s="1"/>
  <c r="C119" i="40"/>
  <c r="A119" i="40" s="1"/>
  <c r="A74" i="40"/>
  <c r="C76" i="40"/>
  <c r="D24" i="40"/>
  <c r="C184" i="40"/>
  <c r="C49" i="40"/>
  <c r="A23" i="40"/>
  <c r="D81" i="7"/>
  <c r="E81" i="7" s="1"/>
  <c r="I77" i="40"/>
  <c r="C149" i="40" s="1"/>
  <c r="A149" i="40" s="1"/>
  <c r="F164" i="7"/>
  <c r="L157" i="1" s="1"/>
  <c r="I46" i="37"/>
  <c r="K21" i="37"/>
  <c r="C168" i="37"/>
  <c r="A168" i="37" s="1"/>
  <c r="A99" i="37"/>
  <c r="N99" i="37"/>
  <c r="X99" i="37"/>
  <c r="C73" i="37"/>
  <c r="A45" i="37"/>
  <c r="A72" i="37"/>
  <c r="C140" i="37"/>
  <c r="A140" i="37" s="1"/>
  <c r="X72" i="37"/>
  <c r="N72" i="37"/>
  <c r="H43" i="7"/>
  <c r="G43" i="7"/>
  <c r="L18" i="37"/>
  <c r="K21" i="40"/>
  <c r="L21" i="40" s="1"/>
  <c r="D41" i="23"/>
  <c r="C42" i="24"/>
  <c r="J158" i="1"/>
  <c r="A43" i="24"/>
  <c r="E113" i="1"/>
  <c r="D112" i="1"/>
  <c r="A112" i="1" s="1"/>
  <c r="Q82" i="5"/>
  <c r="G40" i="24" s="1"/>
  <c r="J42" i="37"/>
  <c r="U96" i="37" s="1"/>
  <c r="J96" i="37" s="1"/>
  <c r="J45" i="40"/>
  <c r="B49" i="37"/>
  <c r="H159" i="1"/>
  <c r="I159" i="1" s="1"/>
  <c r="A159" i="1"/>
  <c r="A42" i="23"/>
  <c r="E41" i="24"/>
  <c r="C40" i="7"/>
  <c r="D267" i="40"/>
  <c r="A209" i="40"/>
  <c r="C164" i="7"/>
  <c r="I111" i="1"/>
  <c r="D210" i="40"/>
  <c r="D161" i="1"/>
  <c r="C43" i="23"/>
  <c r="B44" i="24"/>
  <c r="C160" i="1"/>
  <c r="K160" i="1" s="1"/>
  <c r="E120" i="7"/>
  <c r="E204" i="7"/>
  <c r="E244" i="7" s="1"/>
  <c r="A266" i="40"/>
  <c r="M17" i="37"/>
  <c r="R82" i="5"/>
  <c r="H40" i="24" s="1"/>
  <c r="K42" i="37"/>
  <c r="AE96" i="37" s="1"/>
  <c r="K96" i="37" s="1"/>
  <c r="K45" i="40"/>
  <c r="H49" i="37"/>
  <c r="W79" i="14" l="1"/>
  <c r="X79" i="14" s="1"/>
  <c r="W87" i="14"/>
  <c r="X87" i="14" s="1"/>
  <c r="W102" i="14"/>
  <c r="X102" i="14" s="1"/>
  <c r="W108" i="14"/>
  <c r="X108" i="14" s="1"/>
  <c r="W116" i="14"/>
  <c r="X116" i="14" s="1"/>
  <c r="W123" i="14"/>
  <c r="X123" i="14" s="1"/>
  <c r="W129" i="14"/>
  <c r="X129" i="14" s="1"/>
  <c r="W99" i="14"/>
  <c r="X99" i="14" s="1"/>
  <c r="W127" i="14"/>
  <c r="X127" i="14" s="1"/>
  <c r="W135" i="14"/>
  <c r="X135" i="14" s="1"/>
  <c r="W57" i="14"/>
  <c r="X57" i="14" s="1"/>
  <c r="W67" i="14"/>
  <c r="X67" i="14" s="1"/>
  <c r="W85" i="14"/>
  <c r="X85" i="14" s="1"/>
  <c r="W146" i="14"/>
  <c r="X146" i="14" s="1"/>
  <c r="W70" i="14"/>
  <c r="X70" i="14" s="1"/>
  <c r="W120" i="14"/>
  <c r="X120" i="14" s="1"/>
  <c r="W55" i="14"/>
  <c r="X55" i="14" s="1"/>
  <c r="W61" i="14"/>
  <c r="X61" i="14" s="1"/>
  <c r="W97" i="14"/>
  <c r="X97" i="14" s="1"/>
  <c r="W106" i="14"/>
  <c r="X106" i="14" s="1"/>
  <c r="W109" i="14"/>
  <c r="X109" i="14" s="1"/>
  <c r="W114" i="14"/>
  <c r="X114" i="14" s="1"/>
  <c r="W138" i="14"/>
  <c r="X138" i="14" s="1"/>
  <c r="W144" i="14"/>
  <c r="X144" i="14" s="1"/>
  <c r="W58" i="14"/>
  <c r="X58" i="14" s="1"/>
  <c r="W80" i="14"/>
  <c r="X80" i="14" s="1"/>
  <c r="W112" i="14"/>
  <c r="X112" i="14" s="1"/>
  <c r="W142" i="14"/>
  <c r="X142" i="14" s="1"/>
  <c r="W155" i="14"/>
  <c r="X155" i="14" s="1"/>
  <c r="W71" i="14"/>
  <c r="X71" i="14" s="1"/>
  <c r="W92" i="14"/>
  <c r="X92" i="14" s="1"/>
  <c r="W150" i="14"/>
  <c r="X150" i="14" s="1"/>
  <c r="W65" i="14"/>
  <c r="X65" i="14" s="1"/>
  <c r="W78" i="14"/>
  <c r="X78" i="14" s="1"/>
  <c r="W84" i="14"/>
  <c r="X84" i="14" s="1"/>
  <c r="W101" i="14"/>
  <c r="X101" i="14" s="1"/>
  <c r="W104" i="14"/>
  <c r="X104" i="14" s="1"/>
  <c r="W68" i="14"/>
  <c r="X68" i="14" s="1"/>
  <c r="W86" i="14"/>
  <c r="X86" i="14" s="1"/>
  <c r="W95" i="14"/>
  <c r="X95" i="14" s="1"/>
  <c r="W107" i="14"/>
  <c r="X107" i="14" s="1"/>
  <c r="W131" i="14"/>
  <c r="X131" i="14" s="1"/>
  <c r="W134" i="14"/>
  <c r="X134" i="14" s="1"/>
  <c r="W139" i="14"/>
  <c r="X139" i="14" s="1"/>
  <c r="W110" i="14"/>
  <c r="X110" i="14" s="1"/>
  <c r="W56" i="14"/>
  <c r="X56" i="14" s="1"/>
  <c r="W105" i="14"/>
  <c r="X105" i="14" s="1"/>
  <c r="W76" i="14"/>
  <c r="X76" i="14" s="1"/>
  <c r="W81" i="14"/>
  <c r="X81" i="14" s="1"/>
  <c r="W143" i="14"/>
  <c r="X143" i="14" s="1"/>
  <c r="W154" i="14"/>
  <c r="X154" i="14" s="1"/>
  <c r="W132" i="14"/>
  <c r="X132" i="14" s="1"/>
  <c r="W145" i="14"/>
  <c r="X145" i="14" s="1"/>
  <c r="W63" i="14"/>
  <c r="X63" i="14" s="1"/>
  <c r="W128" i="14"/>
  <c r="X128" i="14" s="1"/>
  <c r="W75" i="14"/>
  <c r="X75" i="14" s="1"/>
  <c r="W91" i="14"/>
  <c r="X91" i="14" s="1"/>
  <c r="W125" i="14"/>
  <c r="X125" i="14" s="1"/>
  <c r="W96" i="14"/>
  <c r="X96" i="14" s="1"/>
  <c r="W83" i="14"/>
  <c r="X83" i="14" s="1"/>
  <c r="W151" i="14"/>
  <c r="X151" i="14" s="1"/>
  <c r="W118" i="14"/>
  <c r="X118" i="14" s="1"/>
  <c r="W141" i="14"/>
  <c r="X141" i="14" s="1"/>
  <c r="W126" i="14"/>
  <c r="X126" i="14" s="1"/>
  <c r="W111" i="14"/>
  <c r="X111" i="14" s="1"/>
  <c r="W60" i="14"/>
  <c r="X60" i="14" s="1"/>
  <c r="W137" i="14"/>
  <c r="X137" i="14" s="1"/>
  <c r="W153" i="14"/>
  <c r="X153" i="14" s="1"/>
  <c r="W149" i="14"/>
  <c r="X149" i="14" s="1"/>
  <c r="W93" i="14"/>
  <c r="X93" i="14" s="1"/>
  <c r="W136" i="14"/>
  <c r="X136" i="14" s="1"/>
  <c r="W103" i="14"/>
  <c r="X103" i="14" s="1"/>
  <c r="W62" i="14"/>
  <c r="X62" i="14" s="1"/>
  <c r="W121" i="14"/>
  <c r="X121" i="14" s="1"/>
  <c r="W115" i="14"/>
  <c r="X115" i="14" s="1"/>
  <c r="W82" i="14"/>
  <c r="X82" i="14" s="1"/>
  <c r="W77" i="14"/>
  <c r="X77" i="14" s="1"/>
  <c r="W122" i="14"/>
  <c r="X122" i="14" s="1"/>
  <c r="W130" i="14"/>
  <c r="X130" i="14" s="1"/>
  <c r="W66" i="14"/>
  <c r="X66" i="14" s="1"/>
  <c r="W113" i="14"/>
  <c r="X113" i="14" s="1"/>
  <c r="W100" i="14"/>
  <c r="X100" i="14" s="1"/>
  <c r="W119" i="14"/>
  <c r="X119" i="14" s="1"/>
  <c r="W90" i="14"/>
  <c r="X90" i="14" s="1"/>
  <c r="W69" i="14"/>
  <c r="X69" i="14" s="1"/>
  <c r="W72" i="14"/>
  <c r="X72" i="14" s="1"/>
  <c r="W152" i="14"/>
  <c r="X152" i="14" s="1"/>
  <c r="W147" i="14"/>
  <c r="X147" i="14" s="1"/>
  <c r="W124" i="14"/>
  <c r="X124" i="14" s="1"/>
  <c r="W74" i="14"/>
  <c r="X74" i="14" s="1"/>
  <c r="W148" i="14"/>
  <c r="X148" i="14" s="1"/>
  <c r="W133" i="14"/>
  <c r="X133" i="14" s="1"/>
  <c r="W89" i="14"/>
  <c r="X89" i="14" s="1"/>
  <c r="W64" i="14"/>
  <c r="X64" i="14" s="1"/>
  <c r="W98" i="14"/>
  <c r="X98" i="14" s="1"/>
  <c r="W94" i="14"/>
  <c r="X94" i="14" s="1"/>
  <c r="W140" i="14"/>
  <c r="X140" i="14" s="1"/>
  <c r="W88" i="14"/>
  <c r="X88" i="14" s="1"/>
  <c r="W59" i="14"/>
  <c r="X59" i="14" s="1"/>
  <c r="W73" i="14"/>
  <c r="X73" i="14" s="1"/>
  <c r="W117" i="14"/>
  <c r="X117" i="14" s="1"/>
  <c r="BK101" i="14"/>
  <c r="S57" i="25"/>
  <c r="A262" i="37"/>
  <c r="A277" i="37"/>
  <c r="A240" i="37"/>
  <c r="A276" i="37"/>
  <c r="A241" i="37"/>
  <c r="A263" i="37"/>
  <c r="A225" i="37"/>
  <c r="F200" i="37"/>
  <c r="F201" i="37" s="1"/>
  <c r="G25" i="25"/>
  <c r="Q57" i="25"/>
  <c r="N58" i="25"/>
  <c r="N28" i="25"/>
  <c r="O58" i="25"/>
  <c r="P57" i="25"/>
  <c r="Q55" i="25"/>
  <c r="Q27" i="25"/>
  <c r="S27" i="25"/>
  <c r="S25" i="25"/>
  <c r="P27" i="25"/>
  <c r="O28" i="25"/>
  <c r="M36" i="7"/>
  <c r="M160" i="7" s="1"/>
  <c r="L36" i="7"/>
  <c r="L160" i="7" s="1"/>
  <c r="N36" i="7"/>
  <c r="N160" i="7" s="1"/>
  <c r="G175" i="1"/>
  <c r="D100" i="5"/>
  <c r="I302" i="37"/>
  <c r="E51" i="16"/>
  <c r="E56" i="16"/>
  <c r="E23" i="16"/>
  <c r="O65" i="1" s="1"/>
  <c r="I331" i="40"/>
  <c r="J331" i="40"/>
  <c r="E57" i="16"/>
  <c r="K212" i="37"/>
  <c r="G157" i="1"/>
  <c r="E83" i="5" s="1"/>
  <c r="F83" i="5" s="1"/>
  <c r="E59" i="7"/>
  <c r="E183" i="7" s="1"/>
  <c r="L56" i="7"/>
  <c r="T56" i="7" s="1"/>
  <c r="C56" i="7" s="1"/>
  <c r="D182" i="7"/>
  <c r="E58" i="7"/>
  <c r="L58" i="7" s="1"/>
  <c r="F21" i="8"/>
  <c r="G49" i="25" s="1"/>
  <c r="F25" i="8"/>
  <c r="H22" i="8"/>
  <c r="H26" i="8"/>
  <c r="F73" i="32"/>
  <c r="F74" i="32"/>
  <c r="F72" i="32"/>
  <c r="D32" i="5"/>
  <c r="I32" i="5" s="1"/>
  <c r="G130" i="1"/>
  <c r="E33" i="5" s="1"/>
  <c r="F33" i="5" s="1"/>
  <c r="H21" i="8"/>
  <c r="F22" i="8"/>
  <c r="F26" i="8"/>
  <c r="F15" i="8"/>
  <c r="F18" i="8" s="1"/>
  <c r="H20" i="8"/>
  <c r="H24" i="8"/>
  <c r="J338" i="40"/>
  <c r="F20" i="8"/>
  <c r="F24" i="8"/>
  <c r="G47" i="33"/>
  <c r="G129" i="1"/>
  <c r="E32" i="5" s="1"/>
  <c r="F32" i="5" s="1"/>
  <c r="A131" i="1"/>
  <c r="F26" i="5"/>
  <c r="D26" i="5"/>
  <c r="D24" i="5"/>
  <c r="F24" i="5"/>
  <c r="O77" i="1"/>
  <c r="L82" i="10"/>
  <c r="Q78" i="1" s="1"/>
  <c r="E85" i="30"/>
  <c r="G95" i="30" s="1"/>
  <c r="L95" i="30" s="1"/>
  <c r="E102" i="30"/>
  <c r="F113" i="30" s="1"/>
  <c r="K113" i="30" s="1"/>
  <c r="AE77" i="31" s="1"/>
  <c r="G95" i="31" s="1"/>
  <c r="E69" i="30"/>
  <c r="E65" i="30"/>
  <c r="H69" i="30"/>
  <c r="H65" i="30"/>
  <c r="G132" i="30"/>
  <c r="L132" i="30" s="1"/>
  <c r="AG77" i="32" s="1"/>
  <c r="H95" i="32" s="1"/>
  <c r="A227" i="37"/>
  <c r="F131" i="30"/>
  <c r="K131" i="30" s="1"/>
  <c r="AE76" i="32" s="1"/>
  <c r="G94" i="32" s="1"/>
  <c r="F134" i="30"/>
  <c r="K134" i="30" s="1"/>
  <c r="AE79" i="32" s="1"/>
  <c r="G97" i="32" s="1"/>
  <c r="G135" i="30"/>
  <c r="L135" i="30" s="1"/>
  <c r="AG80" i="32" s="1"/>
  <c r="H98" i="32" s="1"/>
  <c r="E121" i="30"/>
  <c r="G134" i="30"/>
  <c r="L134" i="30" s="1"/>
  <c r="AG79" i="32" s="1"/>
  <c r="H97" i="32" s="1"/>
  <c r="F133" i="30"/>
  <c r="K133" i="30" s="1"/>
  <c r="AE78" i="32" s="1"/>
  <c r="G96" i="32" s="1"/>
  <c r="G133" i="30"/>
  <c r="L133" i="30" s="1"/>
  <c r="AG78" i="32" s="1"/>
  <c r="H96" i="32" s="1"/>
  <c r="F132" i="30"/>
  <c r="K132" i="30" s="1"/>
  <c r="AE77" i="32" s="1"/>
  <c r="G95" i="32" s="1"/>
  <c r="F135" i="30"/>
  <c r="K135" i="30" s="1"/>
  <c r="AE80" i="32" s="1"/>
  <c r="G98" i="32" s="1"/>
  <c r="G131" i="30"/>
  <c r="L131" i="30" s="1"/>
  <c r="AG76" i="32" s="1"/>
  <c r="H94" i="32" s="1"/>
  <c r="J36" i="7"/>
  <c r="J160" i="7" s="1"/>
  <c r="K36" i="7"/>
  <c r="K160" i="7" s="1"/>
  <c r="H36" i="7"/>
  <c r="G38" i="7" s="1"/>
  <c r="G162" i="7" s="1"/>
  <c r="I36" i="7"/>
  <c r="I160" i="7" s="1"/>
  <c r="F38" i="7"/>
  <c r="F162" i="7" s="1"/>
  <c r="F36" i="7"/>
  <c r="F160" i="7" s="1"/>
  <c r="E160" i="7"/>
  <c r="A226" i="37"/>
  <c r="D29" i="10"/>
  <c r="G45" i="31"/>
  <c r="F45" i="31" s="1"/>
  <c r="G19" i="32"/>
  <c r="F86" i="32" s="1"/>
  <c r="F86" i="31"/>
  <c r="F87" i="31"/>
  <c r="G21" i="31"/>
  <c r="O34" i="5"/>
  <c r="G34" i="5" s="1"/>
  <c r="G158" i="1"/>
  <c r="E84" i="5" s="1"/>
  <c r="F84" i="5" s="1"/>
  <c r="I47" i="33"/>
  <c r="I45" i="33"/>
  <c r="G45" i="33"/>
  <c r="G46" i="33" s="1"/>
  <c r="D83" i="5"/>
  <c r="I83" i="5" s="1"/>
  <c r="H17" i="8"/>
  <c r="G131" i="1"/>
  <c r="D33" i="5"/>
  <c r="I33" i="5" s="1"/>
  <c r="B18" i="24"/>
  <c r="A18" i="24" s="1"/>
  <c r="H131" i="1"/>
  <c r="I131" i="1" s="1"/>
  <c r="F19" i="37" s="1"/>
  <c r="D133" i="1"/>
  <c r="C132" i="1"/>
  <c r="K132" i="1" s="1"/>
  <c r="C18" i="23"/>
  <c r="A18" i="23" s="1"/>
  <c r="A183" i="40"/>
  <c r="A48" i="40"/>
  <c r="A231" i="40"/>
  <c r="I185" i="40"/>
  <c r="D234" i="40" s="1"/>
  <c r="I50" i="40"/>
  <c r="I78" i="40" s="1"/>
  <c r="A24" i="40"/>
  <c r="A20" i="37"/>
  <c r="C46" i="37"/>
  <c r="A46" i="37" s="1"/>
  <c r="Q77" i="1"/>
  <c r="M56" i="16"/>
  <c r="K108" i="1"/>
  <c r="E167" i="7"/>
  <c r="N87" i="5"/>
  <c r="J130" i="1"/>
  <c r="L56" i="16"/>
  <c r="I56" i="16"/>
  <c r="J57" i="16"/>
  <c r="D57" i="29"/>
  <c r="E56" i="29"/>
  <c r="I57" i="16"/>
  <c r="D16" i="23"/>
  <c r="L57" i="16"/>
  <c r="M57" i="16"/>
  <c r="J56" i="16"/>
  <c r="E100" i="7"/>
  <c r="D121" i="7"/>
  <c r="E21" i="40"/>
  <c r="F21" i="40" s="1"/>
  <c r="C16" i="24"/>
  <c r="E16" i="24" s="1"/>
  <c r="D30" i="25"/>
  <c r="F29" i="25"/>
  <c r="E29" i="25"/>
  <c r="A29" i="25"/>
  <c r="D60" i="25"/>
  <c r="F59" i="25"/>
  <c r="E59" i="25"/>
  <c r="A59" i="25"/>
  <c r="D54" i="14"/>
  <c r="E11" i="14"/>
  <c r="O86" i="5"/>
  <c r="G86" i="5" s="1"/>
  <c r="D205" i="7"/>
  <c r="D245" i="7" s="1"/>
  <c r="K73" i="40"/>
  <c r="E145" i="40" s="1"/>
  <c r="M73" i="40"/>
  <c r="H145" i="40" s="1"/>
  <c r="J73" i="40"/>
  <c r="D145" i="40" s="1"/>
  <c r="L73" i="40"/>
  <c r="G145" i="40" s="1"/>
  <c r="H167" i="7"/>
  <c r="K110" i="1"/>
  <c r="G167" i="7"/>
  <c r="K109" i="1"/>
  <c r="D61" i="7"/>
  <c r="F40" i="7"/>
  <c r="L129" i="1" s="1"/>
  <c r="Y40" i="24"/>
  <c r="W40" i="24"/>
  <c r="C77" i="40"/>
  <c r="A49" i="40"/>
  <c r="C50" i="40"/>
  <c r="C185" i="40"/>
  <c r="D25" i="40"/>
  <c r="A25" i="40" s="1"/>
  <c r="C121" i="40"/>
  <c r="A121" i="40" s="1"/>
  <c r="A76" i="40"/>
  <c r="A184" i="40"/>
  <c r="D211" i="40"/>
  <c r="I45" i="32"/>
  <c r="J26" i="40"/>
  <c r="I51" i="40"/>
  <c r="I186" i="40"/>
  <c r="A233" i="40"/>
  <c r="D290" i="40"/>
  <c r="K22" i="37"/>
  <c r="I47" i="37"/>
  <c r="C100" i="37"/>
  <c r="N73" i="37"/>
  <c r="X73" i="37"/>
  <c r="A73" i="37"/>
  <c r="C141" i="37"/>
  <c r="A141" i="37" s="1"/>
  <c r="A21" i="37"/>
  <c r="E22" i="37"/>
  <c r="C47" i="37"/>
  <c r="D42" i="23"/>
  <c r="J159" i="1"/>
  <c r="O78" i="1"/>
  <c r="Y96" i="37"/>
  <c r="H160" i="1"/>
  <c r="I160" i="1" s="1"/>
  <c r="A160" i="1"/>
  <c r="A43" i="23"/>
  <c r="D268" i="40"/>
  <c r="A210" i="40"/>
  <c r="A267" i="40"/>
  <c r="D289" i="40"/>
  <c r="A232" i="40"/>
  <c r="L42" i="37"/>
  <c r="O96" i="37"/>
  <c r="E114" i="1"/>
  <c r="D113" i="1"/>
  <c r="A113" i="1" s="1"/>
  <c r="G18" i="37"/>
  <c r="E42" i="24"/>
  <c r="M18" i="37"/>
  <c r="G164" i="7"/>
  <c r="L158" i="1" s="1"/>
  <c r="A288" i="40"/>
  <c r="E205" i="7"/>
  <c r="E245" i="7" s="1"/>
  <c r="E121" i="7"/>
  <c r="H50" i="37"/>
  <c r="I39" i="23"/>
  <c r="P120" i="7"/>
  <c r="A44" i="24"/>
  <c r="D162" i="1"/>
  <c r="C44" i="23"/>
  <c r="B45" i="24"/>
  <c r="C161" i="1"/>
  <c r="K161" i="1" s="1"/>
  <c r="I112" i="1"/>
  <c r="J111" i="1"/>
  <c r="Q108" i="1" s="1"/>
  <c r="L19" i="37"/>
  <c r="K22" i="40"/>
  <c r="L22" i="40" s="1"/>
  <c r="B50" i="37"/>
  <c r="L45" i="40"/>
  <c r="H39" i="23"/>
  <c r="L80" i="7"/>
  <c r="C43" i="24"/>
  <c r="D82" i="7"/>
  <c r="AE94" i="14" l="1"/>
  <c r="AQ94" i="14" s="1"/>
  <c r="AD94" i="14"/>
  <c r="AP94" i="14" s="1"/>
  <c r="AE90" i="14"/>
  <c r="AQ90" i="14" s="1"/>
  <c r="AD90" i="14"/>
  <c r="AP90" i="14" s="1"/>
  <c r="AE103" i="14"/>
  <c r="AQ103" i="14" s="1"/>
  <c r="AD103" i="14"/>
  <c r="AP103" i="14" s="1"/>
  <c r="AD83" i="14"/>
  <c r="AP83" i="14" s="1"/>
  <c r="AE83" i="14"/>
  <c r="AQ83" i="14" s="1"/>
  <c r="AD76" i="14"/>
  <c r="AP76" i="14" s="1"/>
  <c r="AE76" i="14"/>
  <c r="AQ76" i="14" s="1"/>
  <c r="AD101" i="14"/>
  <c r="AP101" i="14" s="1"/>
  <c r="AE101" i="14"/>
  <c r="AQ101" i="14" s="1"/>
  <c r="AE144" i="14"/>
  <c r="AQ144" i="14" s="1"/>
  <c r="AD144" i="14"/>
  <c r="AP144" i="14" s="1"/>
  <c r="AE67" i="14"/>
  <c r="AQ67" i="14" s="1"/>
  <c r="AD67" i="14"/>
  <c r="AP67" i="14" s="1"/>
  <c r="AD98" i="14"/>
  <c r="AP98" i="14" s="1"/>
  <c r="AE98" i="14"/>
  <c r="AQ98" i="14" s="1"/>
  <c r="AD119" i="14"/>
  <c r="AP119" i="14" s="1"/>
  <c r="AE119" i="14"/>
  <c r="AQ119" i="14" s="1"/>
  <c r="AD136" i="14"/>
  <c r="AP136" i="14" s="1"/>
  <c r="AE136" i="14"/>
  <c r="AQ136" i="14" s="1"/>
  <c r="AE96" i="14"/>
  <c r="AQ96" i="14" s="1"/>
  <c r="AD96" i="14"/>
  <c r="AP96" i="14" s="1"/>
  <c r="AE105" i="14"/>
  <c r="AQ105" i="14" s="1"/>
  <c r="AD105" i="14"/>
  <c r="AP105" i="14" s="1"/>
  <c r="AD84" i="14"/>
  <c r="AP84" i="14" s="1"/>
  <c r="AE84" i="14"/>
  <c r="AQ84" i="14" s="1"/>
  <c r="AD138" i="14"/>
  <c r="AP138" i="14" s="1"/>
  <c r="AE138" i="14"/>
  <c r="AQ138" i="14" s="1"/>
  <c r="AD57" i="14"/>
  <c r="AP57" i="14" s="1"/>
  <c r="AE57" i="14"/>
  <c r="AQ57" i="14" s="1"/>
  <c r="AE64" i="14"/>
  <c r="AQ64" i="14" s="1"/>
  <c r="AD64" i="14"/>
  <c r="AP64" i="14" s="1"/>
  <c r="AE100" i="14"/>
  <c r="AQ100" i="14" s="1"/>
  <c r="AD100" i="14"/>
  <c r="AP100" i="14" s="1"/>
  <c r="AE93" i="14"/>
  <c r="AQ93" i="14" s="1"/>
  <c r="AD93" i="14"/>
  <c r="AP93" i="14" s="1"/>
  <c r="AD125" i="14"/>
  <c r="AP125" i="14" s="1"/>
  <c r="AE125" i="14"/>
  <c r="AQ125" i="14" s="1"/>
  <c r="AD56" i="14"/>
  <c r="AP56" i="14" s="1"/>
  <c r="AE56" i="14"/>
  <c r="AQ56" i="14" s="1"/>
  <c r="AD78" i="14"/>
  <c r="AP78" i="14" s="1"/>
  <c r="AE78" i="14"/>
  <c r="AQ78" i="14" s="1"/>
  <c r="AD114" i="14"/>
  <c r="AP114" i="14" s="1"/>
  <c r="AE114" i="14"/>
  <c r="AQ114" i="14" s="1"/>
  <c r="AD135" i="14"/>
  <c r="AP135" i="14" s="1"/>
  <c r="AE135" i="14"/>
  <c r="AQ135" i="14" s="1"/>
  <c r="AE89" i="14"/>
  <c r="AQ89" i="14" s="1"/>
  <c r="AD89" i="14"/>
  <c r="AP89" i="14" s="1"/>
  <c r="AD113" i="14"/>
  <c r="AP113" i="14" s="1"/>
  <c r="AE113" i="14"/>
  <c r="AQ113" i="14" s="1"/>
  <c r="AD149" i="14"/>
  <c r="AP149" i="14" s="1"/>
  <c r="AE149" i="14"/>
  <c r="AQ149" i="14" s="1"/>
  <c r="AD91" i="14"/>
  <c r="AP91" i="14" s="1"/>
  <c r="AE91" i="14"/>
  <c r="AQ91" i="14" s="1"/>
  <c r="AD110" i="14"/>
  <c r="AP110" i="14" s="1"/>
  <c r="AE110" i="14"/>
  <c r="AQ110" i="14" s="1"/>
  <c r="AD65" i="14"/>
  <c r="AP65" i="14" s="1"/>
  <c r="AE65" i="14"/>
  <c r="AQ65" i="14" s="1"/>
  <c r="AE109" i="14"/>
  <c r="AQ109" i="14" s="1"/>
  <c r="AD109" i="14"/>
  <c r="AP109" i="14" s="1"/>
  <c r="AE127" i="14"/>
  <c r="AQ127" i="14" s="1"/>
  <c r="AD127" i="14"/>
  <c r="AP127" i="14" s="1"/>
  <c r="AD133" i="14"/>
  <c r="AP133" i="14" s="1"/>
  <c r="AE133" i="14"/>
  <c r="AQ133" i="14" s="1"/>
  <c r="AD66" i="14"/>
  <c r="AP66" i="14" s="1"/>
  <c r="AE66" i="14"/>
  <c r="AQ66" i="14" s="1"/>
  <c r="AD153" i="14"/>
  <c r="AP153" i="14" s="1"/>
  <c r="AE153" i="14"/>
  <c r="AQ153" i="14" s="1"/>
  <c r="AD75" i="14"/>
  <c r="AP75" i="14" s="1"/>
  <c r="AE75" i="14"/>
  <c r="AQ75" i="14" s="1"/>
  <c r="AD139" i="14"/>
  <c r="AP139" i="14" s="1"/>
  <c r="AE139" i="14"/>
  <c r="AQ139" i="14" s="1"/>
  <c r="AD150" i="14"/>
  <c r="AP150" i="14" s="1"/>
  <c r="AE150" i="14"/>
  <c r="AQ150" i="14" s="1"/>
  <c r="AE106" i="14"/>
  <c r="AQ106" i="14" s="1"/>
  <c r="AD106" i="14"/>
  <c r="AP106" i="14" s="1"/>
  <c r="AE99" i="14"/>
  <c r="AQ99" i="14" s="1"/>
  <c r="AD99" i="14"/>
  <c r="AP99" i="14" s="1"/>
  <c r="AD148" i="14"/>
  <c r="AP148" i="14" s="1"/>
  <c r="AE148" i="14"/>
  <c r="AQ148" i="14" s="1"/>
  <c r="AD130" i="14"/>
  <c r="AP130" i="14" s="1"/>
  <c r="AE130" i="14"/>
  <c r="AQ130" i="14" s="1"/>
  <c r="AD137" i="14"/>
  <c r="AP137" i="14" s="1"/>
  <c r="AE137" i="14"/>
  <c r="AQ137" i="14" s="1"/>
  <c r="AE128" i="14"/>
  <c r="AQ128" i="14" s="1"/>
  <c r="AD128" i="14"/>
  <c r="AP128" i="14" s="1"/>
  <c r="AE134" i="14"/>
  <c r="AQ134" i="14" s="1"/>
  <c r="AD134" i="14"/>
  <c r="AP134" i="14" s="1"/>
  <c r="AD92" i="14"/>
  <c r="AP92" i="14" s="1"/>
  <c r="AE92" i="14"/>
  <c r="AQ92" i="14" s="1"/>
  <c r="AD97" i="14"/>
  <c r="AP97" i="14" s="1"/>
  <c r="AE97" i="14"/>
  <c r="AQ97" i="14" s="1"/>
  <c r="AE129" i="14"/>
  <c r="AQ129" i="14" s="1"/>
  <c r="AD129" i="14"/>
  <c r="AP129" i="14" s="1"/>
  <c r="AE74" i="14"/>
  <c r="AQ74" i="14" s="1"/>
  <c r="AD74" i="14"/>
  <c r="AP74" i="14" s="1"/>
  <c r="AE122" i="14"/>
  <c r="AQ122" i="14" s="1"/>
  <c r="AD122" i="14"/>
  <c r="AP122" i="14" s="1"/>
  <c r="AE60" i="14"/>
  <c r="AQ60" i="14" s="1"/>
  <c r="AD60" i="14"/>
  <c r="AP60" i="14" s="1"/>
  <c r="AD63" i="14"/>
  <c r="AP63" i="14" s="1"/>
  <c r="AE63" i="14"/>
  <c r="AQ63" i="14" s="1"/>
  <c r="AD131" i="14"/>
  <c r="AP131" i="14" s="1"/>
  <c r="AE131" i="14"/>
  <c r="AQ131" i="14" s="1"/>
  <c r="AE71" i="14"/>
  <c r="AQ71" i="14" s="1"/>
  <c r="AD71" i="14"/>
  <c r="AP71" i="14" s="1"/>
  <c r="AE61" i="14"/>
  <c r="AQ61" i="14" s="1"/>
  <c r="AD61" i="14"/>
  <c r="AP61" i="14" s="1"/>
  <c r="AD123" i="14"/>
  <c r="AP123" i="14" s="1"/>
  <c r="AE123" i="14"/>
  <c r="AQ123" i="14" s="1"/>
  <c r="AD117" i="14"/>
  <c r="AP117" i="14" s="1"/>
  <c r="AE117" i="14"/>
  <c r="AQ117" i="14" s="1"/>
  <c r="AE124" i="14"/>
  <c r="AQ124" i="14" s="1"/>
  <c r="AD124" i="14"/>
  <c r="AP124" i="14" s="1"/>
  <c r="AD77" i="14"/>
  <c r="AP77" i="14" s="1"/>
  <c r="AE77" i="14"/>
  <c r="AQ77" i="14" s="1"/>
  <c r="AD111" i="14"/>
  <c r="AP111" i="14" s="1"/>
  <c r="AE111" i="14"/>
  <c r="AQ111" i="14" s="1"/>
  <c r="AE145" i="14"/>
  <c r="AQ145" i="14" s="1"/>
  <c r="AD145" i="14"/>
  <c r="AP145" i="14" s="1"/>
  <c r="AE107" i="14"/>
  <c r="AQ107" i="14" s="1"/>
  <c r="AD107" i="14"/>
  <c r="AP107" i="14" s="1"/>
  <c r="AD155" i="14"/>
  <c r="AP155" i="14" s="1"/>
  <c r="AE155" i="14"/>
  <c r="AQ155" i="14" s="1"/>
  <c r="AD55" i="14"/>
  <c r="AP55" i="14" s="1"/>
  <c r="AE55" i="14"/>
  <c r="AQ55" i="14" s="1"/>
  <c r="AE116" i="14"/>
  <c r="AQ116" i="14" s="1"/>
  <c r="AD116" i="14"/>
  <c r="AP116" i="14" s="1"/>
  <c r="AD73" i="14"/>
  <c r="AP73" i="14" s="1"/>
  <c r="AE73" i="14"/>
  <c r="AQ73" i="14" s="1"/>
  <c r="AD147" i="14"/>
  <c r="AP147" i="14" s="1"/>
  <c r="AE147" i="14"/>
  <c r="AQ147" i="14" s="1"/>
  <c r="AE82" i="14"/>
  <c r="AQ82" i="14" s="1"/>
  <c r="AD82" i="14"/>
  <c r="AP82" i="14" s="1"/>
  <c r="AD126" i="14"/>
  <c r="AP126" i="14" s="1"/>
  <c r="AE126" i="14"/>
  <c r="AQ126" i="14" s="1"/>
  <c r="AE132" i="14"/>
  <c r="AQ132" i="14" s="1"/>
  <c r="AD132" i="14"/>
  <c r="AP132" i="14" s="1"/>
  <c r="AE95" i="14"/>
  <c r="AQ95" i="14" s="1"/>
  <c r="AD95" i="14"/>
  <c r="AP95" i="14" s="1"/>
  <c r="AE142" i="14"/>
  <c r="AQ142" i="14" s="1"/>
  <c r="AD142" i="14"/>
  <c r="AP142" i="14" s="1"/>
  <c r="AD120" i="14"/>
  <c r="AP120" i="14" s="1"/>
  <c r="AE120" i="14"/>
  <c r="AQ120" i="14" s="1"/>
  <c r="AD108" i="14"/>
  <c r="AP108" i="14" s="1"/>
  <c r="AE108" i="14"/>
  <c r="AQ108" i="14" s="1"/>
  <c r="AE59" i="14"/>
  <c r="AQ59" i="14" s="1"/>
  <c r="AD59" i="14"/>
  <c r="AP59" i="14" s="1"/>
  <c r="AD152" i="14"/>
  <c r="AP152" i="14" s="1"/>
  <c r="AE152" i="14"/>
  <c r="AQ152" i="14" s="1"/>
  <c r="AD115" i="14"/>
  <c r="AP115" i="14" s="1"/>
  <c r="AE115" i="14"/>
  <c r="AQ115" i="14" s="1"/>
  <c r="AE141" i="14"/>
  <c r="AQ141" i="14" s="1"/>
  <c r="AD141" i="14"/>
  <c r="AP141" i="14" s="1"/>
  <c r="AD154" i="14"/>
  <c r="AP154" i="14" s="1"/>
  <c r="AE154" i="14"/>
  <c r="AQ154" i="14" s="1"/>
  <c r="AD86" i="14"/>
  <c r="AP86" i="14" s="1"/>
  <c r="AE86" i="14"/>
  <c r="AQ86" i="14" s="1"/>
  <c r="AD112" i="14"/>
  <c r="AP112" i="14" s="1"/>
  <c r="AE112" i="14"/>
  <c r="AQ112" i="14" s="1"/>
  <c r="AE70" i="14"/>
  <c r="AQ70" i="14" s="1"/>
  <c r="AD70" i="14"/>
  <c r="AP70" i="14" s="1"/>
  <c r="AE102" i="14"/>
  <c r="AQ102" i="14" s="1"/>
  <c r="AD102" i="14"/>
  <c r="AP102" i="14" s="1"/>
  <c r="AD88" i="14"/>
  <c r="AP88" i="14" s="1"/>
  <c r="AE88" i="14"/>
  <c r="AQ88" i="14" s="1"/>
  <c r="AD72" i="14"/>
  <c r="AP72" i="14" s="1"/>
  <c r="AE72" i="14"/>
  <c r="AQ72" i="14" s="1"/>
  <c r="AD121" i="14"/>
  <c r="AP121" i="14" s="1"/>
  <c r="AE121" i="14"/>
  <c r="AQ121" i="14" s="1"/>
  <c r="AD118" i="14"/>
  <c r="AP118" i="14" s="1"/>
  <c r="AE118" i="14"/>
  <c r="AQ118" i="14" s="1"/>
  <c r="AD143" i="14"/>
  <c r="AP143" i="14" s="1"/>
  <c r="AE143" i="14"/>
  <c r="AQ143" i="14" s="1"/>
  <c r="AD68" i="14"/>
  <c r="AP68" i="14" s="1"/>
  <c r="AE68" i="14"/>
  <c r="AQ68" i="14" s="1"/>
  <c r="AE80" i="14"/>
  <c r="AQ80" i="14" s="1"/>
  <c r="AD80" i="14"/>
  <c r="AP80" i="14" s="1"/>
  <c r="AD146" i="14"/>
  <c r="AP146" i="14" s="1"/>
  <c r="AE146" i="14"/>
  <c r="AQ146" i="14" s="1"/>
  <c r="AD87" i="14"/>
  <c r="AP87" i="14" s="1"/>
  <c r="AE87" i="14"/>
  <c r="AQ87" i="14" s="1"/>
  <c r="AE140" i="14"/>
  <c r="AQ140" i="14" s="1"/>
  <c r="AD140" i="14"/>
  <c r="AP140" i="14" s="1"/>
  <c r="AD69" i="14"/>
  <c r="AP69" i="14" s="1"/>
  <c r="AE69" i="14"/>
  <c r="AQ69" i="14" s="1"/>
  <c r="AD62" i="14"/>
  <c r="AP62" i="14" s="1"/>
  <c r="AE62" i="14"/>
  <c r="AQ62" i="14" s="1"/>
  <c r="AD151" i="14"/>
  <c r="AP151" i="14" s="1"/>
  <c r="AE151" i="14"/>
  <c r="AQ151" i="14" s="1"/>
  <c r="AE81" i="14"/>
  <c r="AQ81" i="14" s="1"/>
  <c r="AD81" i="14"/>
  <c r="AP81" i="14" s="1"/>
  <c r="AD104" i="14"/>
  <c r="AP104" i="14" s="1"/>
  <c r="AE104" i="14"/>
  <c r="AQ104" i="14" s="1"/>
  <c r="AE58" i="14"/>
  <c r="AQ58" i="14" s="1"/>
  <c r="AD58" i="14"/>
  <c r="AP58" i="14" s="1"/>
  <c r="AE85" i="14"/>
  <c r="AQ85" i="14" s="1"/>
  <c r="AD85" i="14"/>
  <c r="AP85" i="14" s="1"/>
  <c r="AD79" i="14"/>
  <c r="AP79" i="14" s="1"/>
  <c r="AE79" i="14"/>
  <c r="AQ79" i="14" s="1"/>
  <c r="BK102" i="14"/>
  <c r="N59" i="25"/>
  <c r="O59" i="25"/>
  <c r="P59" i="25" s="1"/>
  <c r="H71" i="31"/>
  <c r="J71" i="31" s="1"/>
  <c r="H45" i="31"/>
  <c r="J45" i="31" s="1"/>
  <c r="G56" i="25"/>
  <c r="G55" i="25"/>
  <c r="P58" i="25"/>
  <c r="Q58" i="25" s="1"/>
  <c r="G26" i="25"/>
  <c r="P28" i="25"/>
  <c r="S28" i="25" s="1"/>
  <c r="O29" i="25"/>
  <c r="N29" i="25"/>
  <c r="K38" i="7"/>
  <c r="K162" i="7" s="1"/>
  <c r="M38" i="7"/>
  <c r="M162" i="7" s="1"/>
  <c r="L38" i="7"/>
  <c r="L162" i="7" s="1"/>
  <c r="J100" i="5"/>
  <c r="I100" i="5"/>
  <c r="I42" i="33"/>
  <c r="H18" i="8"/>
  <c r="I44" i="33"/>
  <c r="L180" i="7"/>
  <c r="T180" i="7" s="1"/>
  <c r="C180" i="7" s="1"/>
  <c r="G44" i="33"/>
  <c r="G51" i="33" s="1"/>
  <c r="J53" i="31" s="1"/>
  <c r="E48" i="25"/>
  <c r="G48" i="25"/>
  <c r="I55" i="33"/>
  <c r="E49" i="25"/>
  <c r="H212" i="37"/>
  <c r="D59" i="7"/>
  <c r="D183" i="7" s="1"/>
  <c r="H32" i="5"/>
  <c r="AC96" i="37"/>
  <c r="I96" i="37" s="1"/>
  <c r="AA96" i="37"/>
  <c r="G96" i="37" s="1"/>
  <c r="S96" i="37"/>
  <c r="H96" i="37" s="1"/>
  <c r="Q96" i="37"/>
  <c r="F96" i="37" s="1"/>
  <c r="J32" i="5"/>
  <c r="G22" i="25"/>
  <c r="F338" i="40"/>
  <c r="L32" i="5"/>
  <c r="G42" i="33"/>
  <c r="G43" i="33" s="1"/>
  <c r="I48" i="33" s="1"/>
  <c r="H41" i="29"/>
  <c r="F41" i="29"/>
  <c r="F42" i="29" s="1"/>
  <c r="L42" i="29" s="1"/>
  <c r="H35" i="29"/>
  <c r="F35" i="29"/>
  <c r="F38" i="29" s="1"/>
  <c r="G55" i="33"/>
  <c r="G57" i="33" s="1"/>
  <c r="J62" i="32" s="1"/>
  <c r="F32" i="33"/>
  <c r="F56" i="31" s="1"/>
  <c r="G19" i="25"/>
  <c r="H28" i="8"/>
  <c r="E19" i="25"/>
  <c r="I25" i="25" s="1"/>
  <c r="G180" i="40" s="1"/>
  <c r="I56" i="33"/>
  <c r="F337" i="40"/>
  <c r="G21" i="25"/>
  <c r="G338" i="40"/>
  <c r="G56" i="33"/>
  <c r="G60" i="33" s="1"/>
  <c r="J56" i="31" s="1"/>
  <c r="E51" i="25"/>
  <c r="G51" i="25"/>
  <c r="G337" i="40"/>
  <c r="E18" i="25"/>
  <c r="E52" i="25"/>
  <c r="E21" i="25"/>
  <c r="J25" i="25" s="1"/>
  <c r="D180" i="40" s="1"/>
  <c r="F31" i="33"/>
  <c r="F62" i="31" s="1"/>
  <c r="G18" i="25"/>
  <c r="G52" i="25"/>
  <c r="F28" i="8"/>
  <c r="F23" i="33" s="1"/>
  <c r="F53" i="31" s="1"/>
  <c r="G211" i="37"/>
  <c r="F211" i="37"/>
  <c r="E212" i="37"/>
  <c r="H33" i="5"/>
  <c r="H211" i="37"/>
  <c r="F212" i="37"/>
  <c r="E211" i="37"/>
  <c r="G212" i="37"/>
  <c r="H132" i="1"/>
  <c r="I132" i="1" s="1"/>
  <c r="E23" i="40" s="1"/>
  <c r="F23" i="40" s="1"/>
  <c r="D42" i="37"/>
  <c r="Q31" i="5"/>
  <c r="G14" i="24" s="1"/>
  <c r="W14" i="24" s="1"/>
  <c r="D45" i="40"/>
  <c r="F73" i="40" s="1"/>
  <c r="G118" i="40" s="1"/>
  <c r="R31" i="5"/>
  <c r="H14" i="24" s="1"/>
  <c r="Y14" i="24" s="1"/>
  <c r="E42" i="37"/>
  <c r="E45" i="40"/>
  <c r="J97" i="32"/>
  <c r="J98" i="32"/>
  <c r="I97" i="32"/>
  <c r="I98" i="32"/>
  <c r="I94" i="32"/>
  <c r="I95" i="31"/>
  <c r="J94" i="32"/>
  <c r="I95" i="32"/>
  <c r="I96" i="32"/>
  <c r="J96" i="32"/>
  <c r="J95" i="32"/>
  <c r="E31" i="14"/>
  <c r="F112" i="30"/>
  <c r="K112" i="30" s="1"/>
  <c r="AE76" i="31" s="1"/>
  <c r="G94" i="31" s="1"/>
  <c r="G115" i="30"/>
  <c r="L115" i="30" s="1"/>
  <c r="AG79" i="31" s="1"/>
  <c r="H97" i="31" s="1"/>
  <c r="F114" i="30"/>
  <c r="K114" i="30" s="1"/>
  <c r="AE78" i="31" s="1"/>
  <c r="G96" i="31" s="1"/>
  <c r="F116" i="30"/>
  <c r="K116" i="30" s="1"/>
  <c r="AE80" i="31" s="1"/>
  <c r="G98" i="31" s="1"/>
  <c r="G112" i="30"/>
  <c r="L112" i="30" s="1"/>
  <c r="AG76" i="31" s="1"/>
  <c r="H94" i="31" s="1"/>
  <c r="G116" i="30"/>
  <c r="L116" i="30" s="1"/>
  <c r="AG80" i="31" s="1"/>
  <c r="H98" i="31" s="1"/>
  <c r="F93" i="30"/>
  <c r="K93" i="30" s="1"/>
  <c r="AA76" i="32" s="1"/>
  <c r="G113" i="30"/>
  <c r="L113" i="30" s="1"/>
  <c r="AG77" i="31" s="1"/>
  <c r="H95" i="31" s="1"/>
  <c r="F115" i="30"/>
  <c r="K115" i="30" s="1"/>
  <c r="AE79" i="31" s="1"/>
  <c r="G97" i="31" s="1"/>
  <c r="G114" i="30"/>
  <c r="L114" i="30" s="1"/>
  <c r="AG78" i="31" s="1"/>
  <c r="H96" i="31" s="1"/>
  <c r="F94" i="30"/>
  <c r="K94" i="30" s="1"/>
  <c r="AA77" i="31" s="1"/>
  <c r="G97" i="30"/>
  <c r="L97" i="30" s="1"/>
  <c r="AC80" i="31" s="1"/>
  <c r="G94" i="30"/>
  <c r="L94" i="30" s="1"/>
  <c r="AC77" i="31" s="1"/>
  <c r="F96" i="30"/>
  <c r="K96" i="30" s="1"/>
  <c r="AA79" i="31" s="1"/>
  <c r="F95" i="30"/>
  <c r="K95" i="30" s="1"/>
  <c r="AA78" i="32" s="1"/>
  <c r="F97" i="30"/>
  <c r="K97" i="30" s="1"/>
  <c r="AA80" i="32" s="1"/>
  <c r="G93" i="30"/>
  <c r="L93" i="30" s="1"/>
  <c r="AC76" i="31" s="1"/>
  <c r="G96" i="30"/>
  <c r="L96" i="30" s="1"/>
  <c r="AC79" i="32" s="1"/>
  <c r="AC78" i="31"/>
  <c r="AC78" i="32"/>
  <c r="F78" i="30"/>
  <c r="E76" i="30"/>
  <c r="F77" i="30"/>
  <c r="E77" i="30"/>
  <c r="F74" i="30"/>
  <c r="F75" i="30"/>
  <c r="E74" i="30"/>
  <c r="E78" i="30"/>
  <c r="E75" i="30"/>
  <c r="F76" i="30"/>
  <c r="G74" i="30"/>
  <c r="H75" i="30"/>
  <c r="H78" i="30"/>
  <c r="G75" i="30"/>
  <c r="G78" i="30"/>
  <c r="G77" i="30"/>
  <c r="H74" i="30"/>
  <c r="G76" i="30"/>
  <c r="H76" i="30"/>
  <c r="H77" i="30"/>
  <c r="H38" i="7"/>
  <c r="H162" i="7" s="1"/>
  <c r="H160" i="7"/>
  <c r="J38" i="7"/>
  <c r="J162" i="7" s="1"/>
  <c r="I38" i="7"/>
  <c r="I162" i="7" s="1"/>
  <c r="I45" i="31"/>
  <c r="E38" i="7"/>
  <c r="E162" i="7" s="1"/>
  <c r="O35" i="5"/>
  <c r="G35" i="5" s="1"/>
  <c r="N36" i="5"/>
  <c r="G21" i="32"/>
  <c r="F85" i="32"/>
  <c r="F87" i="32"/>
  <c r="H74" i="31"/>
  <c r="H73" i="31"/>
  <c r="H70" i="31"/>
  <c r="H72" i="31"/>
  <c r="G132" i="1"/>
  <c r="E35" i="5" s="1"/>
  <c r="F35" i="5" s="1"/>
  <c r="D34" i="5"/>
  <c r="I46" i="33"/>
  <c r="C133" i="1"/>
  <c r="K133" i="1" s="1"/>
  <c r="G159" i="1"/>
  <c r="E85" i="5" s="1"/>
  <c r="F85" i="5" s="1"/>
  <c r="D84" i="5"/>
  <c r="H83" i="5"/>
  <c r="J83" i="5"/>
  <c r="L83" i="5"/>
  <c r="J33" i="5"/>
  <c r="F22" i="33"/>
  <c r="F59" i="31" s="1"/>
  <c r="L33" i="5"/>
  <c r="A132" i="1"/>
  <c r="C19" i="23"/>
  <c r="A19" i="23" s="1"/>
  <c r="B19" i="24"/>
  <c r="A19" i="24" s="1"/>
  <c r="D134" i="1"/>
  <c r="O36" i="5" s="1"/>
  <c r="A50" i="40"/>
  <c r="A185" i="40"/>
  <c r="C74" i="37"/>
  <c r="X74" i="37" s="1"/>
  <c r="E182" i="7"/>
  <c r="G40" i="7"/>
  <c r="L130" i="1" s="1"/>
  <c r="D62" i="7"/>
  <c r="E62" i="7" s="1"/>
  <c r="N88" i="5"/>
  <c r="O87" i="5"/>
  <c r="G87" i="5" s="1"/>
  <c r="E22" i="40"/>
  <c r="F22" i="40" s="1"/>
  <c r="I145" i="40"/>
  <c r="F145" i="40"/>
  <c r="E57" i="29"/>
  <c r="C17" i="24"/>
  <c r="E17" i="24" s="1"/>
  <c r="H164" i="7"/>
  <c r="L159" i="1" s="1"/>
  <c r="D17" i="23"/>
  <c r="J131" i="1"/>
  <c r="E30" i="25"/>
  <c r="F30" i="25"/>
  <c r="D31" i="25"/>
  <c r="A30" i="25"/>
  <c r="E60" i="25"/>
  <c r="F60" i="25"/>
  <c r="D61" i="25"/>
  <c r="A60" i="25"/>
  <c r="I54" i="14"/>
  <c r="W54" i="14"/>
  <c r="X54" i="14" s="1"/>
  <c r="BJ50" i="14"/>
  <c r="BP53" i="14" s="1"/>
  <c r="V23" i="14"/>
  <c r="W23" i="14" s="1"/>
  <c r="E21" i="14"/>
  <c r="G33" i="14" s="1"/>
  <c r="E18" i="14"/>
  <c r="K23" i="40"/>
  <c r="L23" i="40" s="1"/>
  <c r="L20" i="37"/>
  <c r="J160" i="1"/>
  <c r="D43" i="23"/>
  <c r="C44" i="24"/>
  <c r="D35" i="5"/>
  <c r="I35" i="5" s="1"/>
  <c r="E34" i="5"/>
  <c r="F34" i="5" s="1"/>
  <c r="E61" i="7"/>
  <c r="D185" i="7"/>
  <c r="D225" i="7" s="1"/>
  <c r="D101" i="7"/>
  <c r="L92" i="1"/>
  <c r="R78" i="1"/>
  <c r="D269" i="40"/>
  <c r="A211" i="40"/>
  <c r="C186" i="40"/>
  <c r="A186" i="40" s="1"/>
  <c r="D26" i="40"/>
  <c r="A26" i="40" s="1"/>
  <c r="C51" i="40"/>
  <c r="A51" i="40" s="1"/>
  <c r="C78" i="40"/>
  <c r="C123" i="40" s="1"/>
  <c r="A123" i="40" s="1"/>
  <c r="D212" i="40"/>
  <c r="C122" i="40"/>
  <c r="A122" i="40" s="1"/>
  <c r="A77" i="40"/>
  <c r="C150" i="40"/>
  <c r="A150" i="40" s="1"/>
  <c r="A290" i="40"/>
  <c r="A234" i="40"/>
  <c r="D291" i="40"/>
  <c r="J27" i="40"/>
  <c r="I52" i="40"/>
  <c r="I187" i="40"/>
  <c r="T58" i="7"/>
  <c r="C58" i="7" s="1"/>
  <c r="L182" i="7"/>
  <c r="T182" i="7" s="1"/>
  <c r="C182" i="7" s="1"/>
  <c r="D235" i="40"/>
  <c r="I79" i="40"/>
  <c r="D83" i="7"/>
  <c r="D123" i="7" s="1"/>
  <c r="C101" i="37"/>
  <c r="N100" i="37"/>
  <c r="X100" i="37"/>
  <c r="A100" i="37"/>
  <c r="C169" i="37"/>
  <c r="A169" i="37" s="1"/>
  <c r="K23" i="37"/>
  <c r="I48" i="37"/>
  <c r="E23" i="37"/>
  <c r="C48" i="37"/>
  <c r="A22" i="37"/>
  <c r="I43" i="7"/>
  <c r="C75" i="37"/>
  <c r="A47" i="37"/>
  <c r="B51" i="37"/>
  <c r="M19" i="37"/>
  <c r="I113" i="1"/>
  <c r="J112" i="1"/>
  <c r="Q109" i="1" s="1"/>
  <c r="A45" i="24"/>
  <c r="D163" i="1"/>
  <c r="C45" i="23"/>
  <c r="B46" i="24"/>
  <c r="C162" i="1"/>
  <c r="K162" i="1" s="1"/>
  <c r="K39" i="23"/>
  <c r="E115" i="1"/>
  <c r="D114" i="1"/>
  <c r="A114" i="1" s="1"/>
  <c r="D96" i="37"/>
  <c r="E96" i="37"/>
  <c r="G19" i="37"/>
  <c r="E82" i="7"/>
  <c r="D206" i="7"/>
  <c r="D246" i="7" s="1"/>
  <c r="D122" i="7"/>
  <c r="E43" i="24"/>
  <c r="L204" i="7"/>
  <c r="T204" i="7" s="1"/>
  <c r="C204" i="7" s="1"/>
  <c r="T80" i="7"/>
  <c r="C80" i="7" s="1"/>
  <c r="J39" i="23"/>
  <c r="R109" i="1"/>
  <c r="H161" i="1"/>
  <c r="I161" i="1" s="1"/>
  <c r="A161" i="1"/>
  <c r="A44" i="23"/>
  <c r="P244" i="7"/>
  <c r="T244" i="7" s="1"/>
  <c r="C244" i="7" s="1"/>
  <c r="T120" i="7"/>
  <c r="C120" i="7" s="1"/>
  <c r="H51" i="37"/>
  <c r="A289" i="40"/>
  <c r="A268" i="40"/>
  <c r="Q28" i="25" l="1"/>
  <c r="S58" i="25"/>
  <c r="BK103" i="14"/>
  <c r="S59" i="25"/>
  <c r="E227" i="37"/>
  <c r="G227" i="37" s="1"/>
  <c r="G263" i="37" s="1"/>
  <c r="F236" i="37"/>
  <c r="F222" i="37"/>
  <c r="H222" i="37" s="1"/>
  <c r="H258" i="37" s="1"/>
  <c r="E236" i="37"/>
  <c r="F241" i="37"/>
  <c r="E241" i="37"/>
  <c r="E219" i="37"/>
  <c r="G219" i="37" s="1"/>
  <c r="G255" i="37" s="1"/>
  <c r="E222" i="37"/>
  <c r="G222" i="37" s="1"/>
  <c r="G258" i="37" s="1"/>
  <c r="F227" i="37"/>
  <c r="H227" i="37" s="1"/>
  <c r="H263" i="37" s="1"/>
  <c r="E226" i="37"/>
  <c r="G226" i="37" s="1"/>
  <c r="G262" i="37" s="1"/>
  <c r="F221" i="37"/>
  <c r="H221" i="37" s="1"/>
  <c r="H257" i="37" s="1"/>
  <c r="E235" i="37"/>
  <c r="F240" i="37"/>
  <c r="F235" i="37"/>
  <c r="E240" i="37"/>
  <c r="E221" i="37"/>
  <c r="G221" i="37" s="1"/>
  <c r="G257" i="37" s="1"/>
  <c r="F226" i="37"/>
  <c r="H226" i="37" s="1"/>
  <c r="H262" i="37" s="1"/>
  <c r="F219" i="37"/>
  <c r="F220" i="37"/>
  <c r="E233" i="37"/>
  <c r="E234" i="37"/>
  <c r="F238" i="37"/>
  <c r="F239" i="37"/>
  <c r="E224" i="37"/>
  <c r="E225" i="37"/>
  <c r="E238" i="37"/>
  <c r="E239" i="37"/>
  <c r="E220" i="37"/>
  <c r="F224" i="37"/>
  <c r="H224" i="37" s="1"/>
  <c r="H260" i="37" s="1"/>
  <c r="F225" i="37"/>
  <c r="F233" i="37"/>
  <c r="F234" i="37"/>
  <c r="J56" i="25"/>
  <c r="J181" i="40" s="1"/>
  <c r="G230" i="40" s="1"/>
  <c r="G287" i="40" s="1"/>
  <c r="H56" i="25"/>
  <c r="L181" i="40" s="1"/>
  <c r="K230" i="40" s="1"/>
  <c r="K287" i="40" s="1"/>
  <c r="Q59" i="25"/>
  <c r="I56" i="25"/>
  <c r="M181" i="40" s="1"/>
  <c r="L230" i="40" s="1"/>
  <c r="L287" i="40" s="1"/>
  <c r="H71" i="32"/>
  <c r="J71" i="32" s="1"/>
  <c r="H45" i="32"/>
  <c r="J45" i="32" s="1"/>
  <c r="H26" i="25"/>
  <c r="F181" i="40" s="1"/>
  <c r="K208" i="40" s="1"/>
  <c r="K266" i="40" s="1"/>
  <c r="H55" i="25"/>
  <c r="L180" i="40" s="1"/>
  <c r="K229" i="40" s="1"/>
  <c r="K286" i="40" s="1"/>
  <c r="O60" i="25"/>
  <c r="G57" i="25"/>
  <c r="I57" i="25" s="1"/>
  <c r="M182" i="40" s="1"/>
  <c r="L231" i="40" s="1"/>
  <c r="L288" i="40" s="1"/>
  <c r="N60" i="25"/>
  <c r="I26" i="25"/>
  <c r="G181" i="40" s="1"/>
  <c r="L208" i="40" s="1"/>
  <c r="L266" i="40" s="1"/>
  <c r="G27" i="25"/>
  <c r="I27" i="25" s="1"/>
  <c r="G182" i="40" s="1"/>
  <c r="N30" i="25"/>
  <c r="P29" i="25"/>
  <c r="S29" i="25" s="1"/>
  <c r="O30" i="25"/>
  <c r="I55" i="25"/>
  <c r="M180" i="40" s="1"/>
  <c r="J229" i="40" s="1"/>
  <c r="J286" i="40" s="1"/>
  <c r="G48" i="33"/>
  <c r="J59" i="32" s="1"/>
  <c r="Y70" i="37"/>
  <c r="E70" i="37" s="1"/>
  <c r="AE70" i="37"/>
  <c r="K70" i="37" s="1"/>
  <c r="O70" i="37"/>
  <c r="U70" i="37"/>
  <c r="J70" i="37" s="1"/>
  <c r="F56" i="32"/>
  <c r="F44" i="29"/>
  <c r="L44" i="29" s="1"/>
  <c r="F45" i="29"/>
  <c r="K45" i="29" s="1"/>
  <c r="F43" i="29"/>
  <c r="G54" i="29" s="1"/>
  <c r="H45" i="29"/>
  <c r="H42" i="29"/>
  <c r="H44" i="29"/>
  <c r="H43" i="29"/>
  <c r="I51" i="33"/>
  <c r="J62" i="31"/>
  <c r="I57" i="33"/>
  <c r="L59" i="7"/>
  <c r="T59" i="7" s="1"/>
  <c r="C59" i="7" s="1"/>
  <c r="K32" i="5"/>
  <c r="D46" i="40" s="1"/>
  <c r="F74" i="40" s="1"/>
  <c r="G119" i="40" s="1"/>
  <c r="G339" i="40"/>
  <c r="J55" i="25"/>
  <c r="J180" i="40" s="1"/>
  <c r="E229" i="40" s="1"/>
  <c r="E286" i="40" s="1"/>
  <c r="I43" i="33"/>
  <c r="F29" i="8"/>
  <c r="F32" i="8" s="1"/>
  <c r="F34" i="8" s="1"/>
  <c r="H29" i="8"/>
  <c r="H32" i="8" s="1"/>
  <c r="J56" i="32"/>
  <c r="I60" i="33"/>
  <c r="F37" i="29"/>
  <c r="K37" i="29" s="1"/>
  <c r="F36" i="29"/>
  <c r="F53" i="29" s="1"/>
  <c r="H38" i="29"/>
  <c r="J72" i="31"/>
  <c r="H36" i="29"/>
  <c r="J70" i="31"/>
  <c r="H39" i="29"/>
  <c r="J73" i="31"/>
  <c r="H37" i="29"/>
  <c r="F62" i="32"/>
  <c r="J74" i="31"/>
  <c r="F39" i="29"/>
  <c r="F56" i="29" s="1"/>
  <c r="F45" i="32"/>
  <c r="G53" i="29"/>
  <c r="K42" i="29"/>
  <c r="F55" i="29"/>
  <c r="K38" i="29"/>
  <c r="I14" i="24"/>
  <c r="AA14" i="24" s="1"/>
  <c r="J26" i="25"/>
  <c r="I15" i="24" s="1"/>
  <c r="AA15" i="24" s="1"/>
  <c r="E22" i="25"/>
  <c r="L207" i="40"/>
  <c r="L265" i="40" s="1"/>
  <c r="J207" i="40"/>
  <c r="J265" i="40" s="1"/>
  <c r="G340" i="40"/>
  <c r="G308" i="37"/>
  <c r="K55" i="25"/>
  <c r="K180" i="40" s="1"/>
  <c r="H229" i="40" s="1"/>
  <c r="H286" i="40" s="1"/>
  <c r="K56" i="25"/>
  <c r="K181" i="40" s="1"/>
  <c r="H230" i="40" s="1"/>
  <c r="H287" i="40" s="1"/>
  <c r="G307" i="37"/>
  <c r="H25" i="25"/>
  <c r="F180" i="40" s="1"/>
  <c r="I207" i="40" s="1"/>
  <c r="I265" i="40" s="1"/>
  <c r="F53" i="32"/>
  <c r="E73" i="40"/>
  <c r="E118" i="40" s="1"/>
  <c r="G73" i="40"/>
  <c r="H118" i="40" s="1"/>
  <c r="I118" i="40" s="1"/>
  <c r="H84" i="5"/>
  <c r="I84" i="5"/>
  <c r="L34" i="5"/>
  <c r="I34" i="5"/>
  <c r="H133" i="1"/>
  <c r="I133" i="1" s="1"/>
  <c r="F21" i="37" s="1"/>
  <c r="I14" i="23"/>
  <c r="K14" i="23" s="1"/>
  <c r="P100" i="7"/>
  <c r="D73" i="40"/>
  <c r="D118" i="40" s="1"/>
  <c r="F45" i="40"/>
  <c r="H14" i="23"/>
  <c r="J14" i="23" s="1"/>
  <c r="L60" i="7"/>
  <c r="F42" i="37"/>
  <c r="L229" i="40"/>
  <c r="L286" i="40" s="1"/>
  <c r="J52" i="14"/>
  <c r="R108" i="1"/>
  <c r="J96" i="31"/>
  <c r="J97" i="31"/>
  <c r="I97" i="31"/>
  <c r="I94" i="31"/>
  <c r="J95" i="31"/>
  <c r="I96" i="31"/>
  <c r="J98" i="31"/>
  <c r="I98" i="31"/>
  <c r="J94" i="31"/>
  <c r="I74" i="30"/>
  <c r="AA78" i="31"/>
  <c r="AA76" i="31"/>
  <c r="AC80" i="32"/>
  <c r="AA80" i="31"/>
  <c r="AC77" i="32"/>
  <c r="AA77" i="32"/>
  <c r="AC76" i="32"/>
  <c r="AA79" i="32"/>
  <c r="AC79" i="31"/>
  <c r="L74" i="30"/>
  <c r="K74" i="30"/>
  <c r="K76" i="30"/>
  <c r="L76" i="30"/>
  <c r="J77" i="30"/>
  <c r="I77" i="30"/>
  <c r="L77" i="30"/>
  <c r="K77" i="30"/>
  <c r="J76" i="30"/>
  <c r="I76" i="30"/>
  <c r="K78" i="30"/>
  <c r="L78" i="30"/>
  <c r="J75" i="30"/>
  <c r="I75" i="30"/>
  <c r="K75" i="30"/>
  <c r="L75" i="30"/>
  <c r="J78" i="30"/>
  <c r="I78" i="30"/>
  <c r="J74" i="30"/>
  <c r="G133" i="1"/>
  <c r="E36" i="5" s="1"/>
  <c r="F36" i="5" s="1"/>
  <c r="L84" i="5"/>
  <c r="D85" i="5"/>
  <c r="G36" i="5"/>
  <c r="H74" i="32"/>
  <c r="J74" i="32" s="1"/>
  <c r="N37" i="5"/>
  <c r="H35" i="5"/>
  <c r="N89" i="5"/>
  <c r="D135" i="1"/>
  <c r="C135" i="1" s="1"/>
  <c r="K135" i="1" s="1"/>
  <c r="H34" i="5"/>
  <c r="H70" i="32"/>
  <c r="J70" i="32" s="1"/>
  <c r="H72" i="32"/>
  <c r="J72" i="32" s="1"/>
  <c r="H73" i="32"/>
  <c r="J73" i="32" s="1"/>
  <c r="G160" i="1"/>
  <c r="E86" i="5" s="1"/>
  <c r="F86" i="5" s="1"/>
  <c r="J34" i="5"/>
  <c r="A133" i="1"/>
  <c r="J84" i="5"/>
  <c r="K83" i="5"/>
  <c r="G57" i="29"/>
  <c r="J53" i="32"/>
  <c r="K33" i="5"/>
  <c r="F59" i="32"/>
  <c r="B20" i="24"/>
  <c r="A20" i="24" s="1"/>
  <c r="C134" i="1"/>
  <c r="K134" i="1" s="1"/>
  <c r="C20" i="23"/>
  <c r="A20" i="23" s="1"/>
  <c r="C142" i="37"/>
  <c r="A142" i="37" s="1"/>
  <c r="N74" i="37"/>
  <c r="A74" i="37"/>
  <c r="D102" i="7"/>
  <c r="D186" i="7"/>
  <c r="D226" i="7" s="1"/>
  <c r="D36" i="5"/>
  <c r="I36" i="5" s="1"/>
  <c r="H40" i="7"/>
  <c r="L131" i="1" s="1"/>
  <c r="O88" i="5"/>
  <c r="G88" i="5" s="1"/>
  <c r="D63" i="7"/>
  <c r="D187" i="7" s="1"/>
  <c r="D227" i="7" s="1"/>
  <c r="D18" i="23"/>
  <c r="F20" i="37"/>
  <c r="G20" i="37" s="1"/>
  <c r="C18" i="24"/>
  <c r="E18" i="24" s="1"/>
  <c r="J132" i="1"/>
  <c r="D84" i="7"/>
  <c r="E84" i="7" s="1"/>
  <c r="E43" i="37"/>
  <c r="P43" i="37" s="1"/>
  <c r="R32" i="5"/>
  <c r="E46" i="40"/>
  <c r="F57" i="29"/>
  <c r="D32" i="25"/>
  <c r="F31" i="25"/>
  <c r="E31" i="25"/>
  <c r="A31" i="25"/>
  <c r="E61" i="25"/>
  <c r="A61" i="25"/>
  <c r="D62" i="25"/>
  <c r="F61" i="25"/>
  <c r="I164" i="7"/>
  <c r="L160" i="1" s="1"/>
  <c r="AD23" i="14"/>
  <c r="AP23" i="14" s="1"/>
  <c r="E22" i="14"/>
  <c r="E33" i="14"/>
  <c r="Z48" i="14" s="1"/>
  <c r="AE54" i="14"/>
  <c r="AQ54" i="14" s="1"/>
  <c r="AD54" i="14"/>
  <c r="AP54" i="14" s="1"/>
  <c r="L35" i="5"/>
  <c r="K24" i="40"/>
  <c r="L24" i="40" s="1"/>
  <c r="L21" i="37"/>
  <c r="C45" i="24"/>
  <c r="J161" i="1"/>
  <c r="D44" i="23"/>
  <c r="E44" i="24"/>
  <c r="M20" i="37"/>
  <c r="A78" i="40"/>
  <c r="J35" i="5"/>
  <c r="E207" i="40"/>
  <c r="E265" i="40" s="1"/>
  <c r="G207" i="40"/>
  <c r="G265" i="40" s="1"/>
  <c r="I167" i="7"/>
  <c r="K111" i="1"/>
  <c r="E185" i="7"/>
  <c r="E225" i="7" s="1"/>
  <c r="E101" i="7"/>
  <c r="C79" i="40"/>
  <c r="C124" i="40" s="1"/>
  <c r="A124" i="40" s="1"/>
  <c r="A212" i="40"/>
  <c r="D270" i="40"/>
  <c r="C52" i="40"/>
  <c r="A52" i="40" s="1"/>
  <c r="C187" i="40"/>
  <c r="A187" i="40" s="1"/>
  <c r="D27" i="40"/>
  <c r="A27" i="40" s="1"/>
  <c r="D213" i="40"/>
  <c r="A269" i="40"/>
  <c r="E83" i="7"/>
  <c r="E123" i="7" s="1"/>
  <c r="D207" i="7"/>
  <c r="D247" i="7" s="1"/>
  <c r="C151" i="40"/>
  <c r="A151" i="40" s="1"/>
  <c r="D236" i="40"/>
  <c r="I80" i="40"/>
  <c r="A291" i="40"/>
  <c r="A235" i="40"/>
  <c r="D292" i="40"/>
  <c r="J28" i="40"/>
  <c r="I53" i="40"/>
  <c r="I188" i="40"/>
  <c r="J43" i="7"/>
  <c r="C102" i="37"/>
  <c r="X101" i="37"/>
  <c r="A101" i="37"/>
  <c r="N101" i="37"/>
  <c r="C170" i="37"/>
  <c r="A170" i="37" s="1"/>
  <c r="K24" i="37"/>
  <c r="I49" i="37"/>
  <c r="N75" i="37"/>
  <c r="X75" i="37"/>
  <c r="A75" i="37"/>
  <c r="C143" i="37"/>
  <c r="A143" i="37" s="1"/>
  <c r="C76" i="37"/>
  <c r="A48" i="37"/>
  <c r="A23" i="37"/>
  <c r="E24" i="37"/>
  <c r="C49" i="37"/>
  <c r="E102" i="7"/>
  <c r="E186" i="7"/>
  <c r="E226" i="7" s="1"/>
  <c r="E122" i="7"/>
  <c r="E206" i="7"/>
  <c r="E246" i="7" s="1"/>
  <c r="E165" i="37"/>
  <c r="H162" i="1"/>
  <c r="I162" i="1" s="1"/>
  <c r="A162" i="1"/>
  <c r="A45" i="23"/>
  <c r="I114" i="1"/>
  <c r="J113" i="1"/>
  <c r="Q110" i="1" s="1"/>
  <c r="H52" i="37"/>
  <c r="H165" i="37"/>
  <c r="G165" i="37"/>
  <c r="D165" i="37"/>
  <c r="E116" i="1"/>
  <c r="D115" i="1"/>
  <c r="A115" i="1" s="1"/>
  <c r="A46" i="24"/>
  <c r="D164" i="1"/>
  <c r="N90" i="5" s="1"/>
  <c r="C46" i="23"/>
  <c r="B47" i="24"/>
  <c r="C163" i="1"/>
  <c r="K163" i="1" s="1"/>
  <c r="B52" i="37"/>
  <c r="L38" i="29"/>
  <c r="BK104" i="14" l="1"/>
  <c r="E255" i="37"/>
  <c r="F262" i="37"/>
  <c r="E263" i="37"/>
  <c r="E258" i="37"/>
  <c r="F258" i="37"/>
  <c r="F263" i="37"/>
  <c r="E277" i="37"/>
  <c r="G241" i="37"/>
  <c r="G277" i="37" s="1"/>
  <c r="F277" i="37"/>
  <c r="H241" i="37"/>
  <c r="H277" i="37" s="1"/>
  <c r="G236" i="37"/>
  <c r="G272" i="37" s="1"/>
  <c r="E272" i="37"/>
  <c r="G56" i="29"/>
  <c r="H236" i="37"/>
  <c r="H272" i="37" s="1"/>
  <c r="F272" i="37"/>
  <c r="F257" i="37"/>
  <c r="E262" i="37"/>
  <c r="F260" i="37"/>
  <c r="E257" i="37"/>
  <c r="F261" i="37"/>
  <c r="H225" i="37"/>
  <c r="H261" i="37" s="1"/>
  <c r="E261" i="37"/>
  <c r="G225" i="37"/>
  <c r="G261" i="37" s="1"/>
  <c r="F256" i="37"/>
  <c r="H220" i="37"/>
  <c r="H256" i="37" s="1"/>
  <c r="F276" i="37"/>
  <c r="H240" i="37"/>
  <c r="H276" i="37" s="1"/>
  <c r="E260" i="37"/>
  <c r="G224" i="37"/>
  <c r="G260" i="37" s="1"/>
  <c r="F255" i="37"/>
  <c r="H219" i="37"/>
  <c r="H255" i="37" s="1"/>
  <c r="E256" i="37"/>
  <c r="G220" i="37"/>
  <c r="G256" i="37" s="1"/>
  <c r="F275" i="37"/>
  <c r="H239" i="37"/>
  <c r="H275" i="37" s="1"/>
  <c r="E271" i="37"/>
  <c r="G235" i="37"/>
  <c r="G271" i="37" s="1"/>
  <c r="F274" i="37"/>
  <c r="H238" i="37"/>
  <c r="H274" i="37" s="1"/>
  <c r="F270" i="37"/>
  <c r="H234" i="37"/>
  <c r="H270" i="37" s="1"/>
  <c r="E275" i="37"/>
  <c r="G239" i="37"/>
  <c r="G275" i="37" s="1"/>
  <c r="E270" i="37"/>
  <c r="G234" i="37"/>
  <c r="G270" i="37" s="1"/>
  <c r="E276" i="37"/>
  <c r="G240" i="37"/>
  <c r="G276" i="37" s="1"/>
  <c r="F269" i="37"/>
  <c r="H233" i="37"/>
  <c r="H269" i="37" s="1"/>
  <c r="E269" i="37"/>
  <c r="G233" i="37"/>
  <c r="G269" i="37" s="1"/>
  <c r="E274" i="37"/>
  <c r="G238" i="37"/>
  <c r="G274" i="37" s="1"/>
  <c r="F271" i="37"/>
  <c r="H235" i="37"/>
  <c r="H271" i="37" s="1"/>
  <c r="J230" i="40"/>
  <c r="J287" i="40" s="1"/>
  <c r="I41" i="24"/>
  <c r="AA41" i="24" s="1"/>
  <c r="E230" i="40"/>
  <c r="E287" i="40" s="1"/>
  <c r="I230" i="40"/>
  <c r="I287" i="40" s="1"/>
  <c r="G59" i="25"/>
  <c r="H59" i="25" s="1"/>
  <c r="L184" i="40" s="1"/>
  <c r="K233" i="40" s="1"/>
  <c r="K290" i="40" s="1"/>
  <c r="I208" i="40"/>
  <c r="I266" i="40" s="1"/>
  <c r="J59" i="31"/>
  <c r="J231" i="40"/>
  <c r="J288" i="40" s="1"/>
  <c r="I229" i="40"/>
  <c r="I286" i="40" s="1"/>
  <c r="F50" i="8"/>
  <c r="N140" i="7" s="1"/>
  <c r="T140" i="7" s="1"/>
  <c r="C140" i="7" s="1"/>
  <c r="J57" i="25"/>
  <c r="J182" i="40" s="1"/>
  <c r="G231" i="40" s="1"/>
  <c r="G288" i="40" s="1"/>
  <c r="J27" i="25"/>
  <c r="D182" i="40" s="1"/>
  <c r="E209" i="40" s="1"/>
  <c r="E267" i="40" s="1"/>
  <c r="P60" i="25"/>
  <c r="Q60" i="25" s="1"/>
  <c r="G28" i="25"/>
  <c r="H28" i="25" s="1"/>
  <c r="F183" i="40" s="1"/>
  <c r="K210" i="40" s="1"/>
  <c r="K268" i="40" s="1"/>
  <c r="H27" i="25"/>
  <c r="F182" i="40" s="1"/>
  <c r="K209" i="40" s="1"/>
  <c r="K267" i="40" s="1"/>
  <c r="J208" i="40"/>
  <c r="J266" i="40" s="1"/>
  <c r="N61" i="25"/>
  <c r="K57" i="25"/>
  <c r="H57" i="25"/>
  <c r="L182" i="40" s="1"/>
  <c r="K27" i="25"/>
  <c r="E182" i="40" s="1"/>
  <c r="H209" i="40" s="1"/>
  <c r="H267" i="40" s="1"/>
  <c r="G58" i="25"/>
  <c r="O61" i="25"/>
  <c r="Q29" i="25"/>
  <c r="P30" i="25"/>
  <c r="Q30" i="25" s="1"/>
  <c r="O31" i="25"/>
  <c r="N31" i="25"/>
  <c r="L45" i="29"/>
  <c r="AC70" i="37"/>
  <c r="I70" i="37" s="1"/>
  <c r="H138" i="37" s="1"/>
  <c r="AA70" i="37"/>
  <c r="G70" i="37" s="1"/>
  <c r="E138" i="37" s="1"/>
  <c r="Q70" i="37"/>
  <c r="F70" i="37" s="1"/>
  <c r="S70" i="37"/>
  <c r="H70" i="37" s="1"/>
  <c r="G138" i="37" s="1"/>
  <c r="G229" i="40"/>
  <c r="G286" i="40" s="1"/>
  <c r="K44" i="29"/>
  <c r="G55" i="29"/>
  <c r="L43" i="29"/>
  <c r="K43" i="29"/>
  <c r="D74" i="40"/>
  <c r="D119" i="40" s="1"/>
  <c r="L183" i="7"/>
  <c r="T183" i="7" s="1"/>
  <c r="C183" i="7" s="1"/>
  <c r="Q32" i="5"/>
  <c r="L61" i="7" s="1"/>
  <c r="D43" i="37"/>
  <c r="O43" i="37" s="1"/>
  <c r="I342" i="40"/>
  <c r="F46" i="40"/>
  <c r="G23" i="36"/>
  <c r="G26" i="36" s="1"/>
  <c r="H34" i="8"/>
  <c r="H50" i="8"/>
  <c r="I309" i="37"/>
  <c r="F54" i="29"/>
  <c r="L37" i="29"/>
  <c r="L39" i="29"/>
  <c r="I40" i="24"/>
  <c r="AA40" i="24" s="1"/>
  <c r="L36" i="29"/>
  <c r="K207" i="40"/>
  <c r="K265" i="40" s="1"/>
  <c r="F242" i="37"/>
  <c r="K36" i="29"/>
  <c r="J209" i="40"/>
  <c r="J267" i="40" s="1"/>
  <c r="L209" i="40"/>
  <c r="L267" i="40" s="1"/>
  <c r="G342" i="40"/>
  <c r="I341" i="40"/>
  <c r="G341" i="40"/>
  <c r="K39" i="29"/>
  <c r="G39" i="32" s="1"/>
  <c r="F39" i="32" s="1"/>
  <c r="D181" i="40"/>
  <c r="G208" i="40" s="1"/>
  <c r="G266" i="40" s="1"/>
  <c r="K26" i="25"/>
  <c r="J15" i="24" s="1"/>
  <c r="AC15" i="24" s="1"/>
  <c r="F229" i="40"/>
  <c r="F286" i="40" s="1"/>
  <c r="K25" i="25"/>
  <c r="E180" i="40" s="1"/>
  <c r="F230" i="40"/>
  <c r="F287" i="40" s="1"/>
  <c r="F118" i="40"/>
  <c r="H85" i="5"/>
  <c r="I85" i="5"/>
  <c r="I310" i="37"/>
  <c r="J40" i="24"/>
  <c r="AC40" i="24" s="1"/>
  <c r="J41" i="24"/>
  <c r="AC41" i="24" s="1"/>
  <c r="G309" i="37"/>
  <c r="G310" i="37"/>
  <c r="F228" i="37"/>
  <c r="E242" i="37"/>
  <c r="E228" i="37"/>
  <c r="D70" i="37"/>
  <c r="L184" i="7"/>
  <c r="T184" i="7" s="1"/>
  <c r="C184" i="7" s="1"/>
  <c r="T60" i="7"/>
  <c r="C60" i="7" s="1"/>
  <c r="T100" i="7"/>
  <c r="C100" i="7" s="1"/>
  <c r="P224" i="7"/>
  <c r="T224" i="7" s="1"/>
  <c r="C224" i="7" s="1"/>
  <c r="Y77" i="32"/>
  <c r="Y77" i="31"/>
  <c r="W79" i="31"/>
  <c r="F83" i="31" s="1"/>
  <c r="W79" i="32"/>
  <c r="G83" i="32" s="1"/>
  <c r="W77" i="32"/>
  <c r="G81" i="32" s="1"/>
  <c r="W77" i="31"/>
  <c r="I81" i="31" s="1"/>
  <c r="Y79" i="32"/>
  <c r="Y79" i="31"/>
  <c r="S77" i="31"/>
  <c r="I76" i="31" s="1"/>
  <c r="S77" i="32"/>
  <c r="G76" i="32" s="1"/>
  <c r="S79" i="32"/>
  <c r="G78" i="32" s="1"/>
  <c r="S79" i="31"/>
  <c r="I78" i="31" s="1"/>
  <c r="U77" i="31"/>
  <c r="U77" i="32"/>
  <c r="U79" i="32"/>
  <c r="U79" i="31"/>
  <c r="S76" i="31"/>
  <c r="I75" i="31" s="1"/>
  <c r="S76" i="32"/>
  <c r="G75" i="32" s="1"/>
  <c r="Y80" i="31"/>
  <c r="Y80" i="32"/>
  <c r="Y78" i="31"/>
  <c r="Y78" i="32"/>
  <c r="U76" i="31"/>
  <c r="U76" i="32"/>
  <c r="W80" i="32"/>
  <c r="G84" i="32" s="1"/>
  <c r="W80" i="31"/>
  <c r="I84" i="31" s="1"/>
  <c r="W78" i="31"/>
  <c r="I82" i="31" s="1"/>
  <c r="W78" i="32"/>
  <c r="G82" i="32" s="1"/>
  <c r="S80" i="32"/>
  <c r="G79" i="32" s="1"/>
  <c r="S80" i="31"/>
  <c r="I79" i="31" s="1"/>
  <c r="S78" i="31"/>
  <c r="I77" i="31" s="1"/>
  <c r="S78" i="32"/>
  <c r="G77" i="32" s="1"/>
  <c r="W76" i="31"/>
  <c r="I80" i="31" s="1"/>
  <c r="W76" i="32"/>
  <c r="G80" i="32" s="1"/>
  <c r="U80" i="31"/>
  <c r="U80" i="32"/>
  <c r="U78" i="31"/>
  <c r="U78" i="32"/>
  <c r="Y76" i="31"/>
  <c r="Y76" i="32"/>
  <c r="D136" i="1"/>
  <c r="B22" i="24" s="1"/>
  <c r="L85" i="5"/>
  <c r="N38" i="5"/>
  <c r="J85" i="5"/>
  <c r="D86" i="5"/>
  <c r="L36" i="5"/>
  <c r="O37" i="5"/>
  <c r="G37" i="5" s="1"/>
  <c r="B21" i="24"/>
  <c r="A21" i="24" s="1"/>
  <c r="C21" i="23"/>
  <c r="A21" i="23" s="1"/>
  <c r="K84" i="5"/>
  <c r="G162" i="1"/>
  <c r="E88" i="5" s="1"/>
  <c r="F88" i="5" s="1"/>
  <c r="K34" i="5"/>
  <c r="O38" i="5"/>
  <c r="N39" i="5"/>
  <c r="A134" i="1"/>
  <c r="H134" i="1"/>
  <c r="I134" i="1" s="1"/>
  <c r="F22" i="37" s="1"/>
  <c r="J36" i="5"/>
  <c r="H36" i="5"/>
  <c r="G134" i="1"/>
  <c r="E37" i="5" s="1"/>
  <c r="F37" i="5" s="1"/>
  <c r="D37" i="5"/>
  <c r="I37" i="5" s="1"/>
  <c r="D208" i="7"/>
  <c r="D248" i="7" s="1"/>
  <c r="E63" i="7"/>
  <c r="E187" i="7" s="1"/>
  <c r="E227" i="7" s="1"/>
  <c r="D103" i="7"/>
  <c r="K25" i="40"/>
  <c r="L25" i="40" s="1"/>
  <c r="L22" i="37"/>
  <c r="J162" i="1"/>
  <c r="D45" i="23"/>
  <c r="C46" i="24"/>
  <c r="E24" i="40"/>
  <c r="F24" i="40" s="1"/>
  <c r="D19" i="23"/>
  <c r="D124" i="7"/>
  <c r="J133" i="1"/>
  <c r="C19" i="24"/>
  <c r="E19" i="24" s="1"/>
  <c r="D64" i="7"/>
  <c r="E64" i="7" s="1"/>
  <c r="E104" i="7" s="1"/>
  <c r="I40" i="7"/>
  <c r="L132" i="1" s="1"/>
  <c r="A79" i="40"/>
  <c r="G74" i="40"/>
  <c r="H119" i="40" s="1"/>
  <c r="I119" i="40" s="1"/>
  <c r="E74" i="40"/>
  <c r="E119" i="40" s="1"/>
  <c r="AE71" i="37"/>
  <c r="K71" i="37" s="1"/>
  <c r="Y71" i="37"/>
  <c r="R83" i="5"/>
  <c r="K43" i="37"/>
  <c r="R43" i="37" s="1"/>
  <c r="K46" i="40"/>
  <c r="H15" i="24"/>
  <c r="Y15" i="24" s="1"/>
  <c r="I15" i="23"/>
  <c r="K15" i="23" s="1"/>
  <c r="P101" i="7"/>
  <c r="AE23" i="14"/>
  <c r="AQ23" i="14" s="1"/>
  <c r="E32" i="25"/>
  <c r="F32" i="25"/>
  <c r="D33" i="25"/>
  <c r="A32" i="25"/>
  <c r="D85" i="7"/>
  <c r="D125" i="7" s="1"/>
  <c r="E207" i="7"/>
  <c r="E247" i="7" s="1"/>
  <c r="E62" i="25"/>
  <c r="F62" i="25"/>
  <c r="D63" i="25"/>
  <c r="A62" i="25"/>
  <c r="J164" i="7"/>
  <c r="L161" i="1" s="1"/>
  <c r="K35" i="5"/>
  <c r="E45" i="24"/>
  <c r="M21" i="37"/>
  <c r="G21" i="37"/>
  <c r="J167" i="7"/>
  <c r="K112" i="1"/>
  <c r="C53" i="40"/>
  <c r="A53" i="40" s="1"/>
  <c r="D28" i="40"/>
  <c r="A28" i="40" s="1"/>
  <c r="C188" i="40"/>
  <c r="A188" i="40" s="1"/>
  <c r="C80" i="40"/>
  <c r="C125" i="40" s="1"/>
  <c r="A125" i="40" s="1"/>
  <c r="D271" i="40"/>
  <c r="A213" i="40"/>
  <c r="D214" i="40"/>
  <c r="A270" i="40"/>
  <c r="J29" i="40"/>
  <c r="I54" i="40"/>
  <c r="I189" i="40"/>
  <c r="D293" i="40"/>
  <c r="A236" i="40"/>
  <c r="D237" i="40"/>
  <c r="I81" i="40"/>
  <c r="A292" i="40"/>
  <c r="C152" i="40"/>
  <c r="A152" i="40" s="1"/>
  <c r="C103" i="37"/>
  <c r="X102" i="37"/>
  <c r="C171" i="37"/>
  <c r="A171" i="37" s="1"/>
  <c r="N102" i="37"/>
  <c r="A102" i="37"/>
  <c r="I50" i="37"/>
  <c r="K25" i="37"/>
  <c r="C77" i="37"/>
  <c r="A49" i="37"/>
  <c r="N76" i="37"/>
  <c r="X76" i="37"/>
  <c r="A76" i="37"/>
  <c r="C144" i="37"/>
  <c r="A144" i="37" s="1"/>
  <c r="E25" i="37"/>
  <c r="A24" i="37"/>
  <c r="C50" i="37"/>
  <c r="H163" i="1"/>
  <c r="I163" i="1" s="1"/>
  <c r="A163" i="1"/>
  <c r="D116" i="1"/>
  <c r="A116" i="1" s="1"/>
  <c r="F117" i="1"/>
  <c r="H53" i="37"/>
  <c r="R107" i="1"/>
  <c r="B53" i="37"/>
  <c r="A46" i="23"/>
  <c r="H135" i="1"/>
  <c r="A135" i="1"/>
  <c r="A47" i="24"/>
  <c r="D165" i="1"/>
  <c r="C47" i="23"/>
  <c r="B48" i="24"/>
  <c r="C164" i="1"/>
  <c r="K164" i="1" s="1"/>
  <c r="F165" i="37"/>
  <c r="I165" i="37"/>
  <c r="E124" i="7"/>
  <c r="E208" i="7"/>
  <c r="E248" i="7" s="1"/>
  <c r="I115" i="1"/>
  <c r="J114" i="1"/>
  <c r="Q111" i="1" s="1"/>
  <c r="K43" i="7"/>
  <c r="BK105" i="14" l="1"/>
  <c r="G264" i="37"/>
  <c r="H42" i="31"/>
  <c r="H264" i="37"/>
  <c r="G39" i="31"/>
  <c r="F39" i="31" s="1"/>
  <c r="E264" i="37"/>
  <c r="S30" i="25"/>
  <c r="S60" i="25"/>
  <c r="F264" i="37"/>
  <c r="H228" i="37"/>
  <c r="E278" i="37"/>
  <c r="G278" i="37"/>
  <c r="F278" i="37"/>
  <c r="H278" i="37"/>
  <c r="G228" i="37"/>
  <c r="G242" i="37"/>
  <c r="H242" i="37"/>
  <c r="G30" i="25"/>
  <c r="I233" i="40"/>
  <c r="I290" i="40" s="1"/>
  <c r="J59" i="25"/>
  <c r="I59" i="25"/>
  <c r="M184" i="40" s="1"/>
  <c r="L233" i="40" s="1"/>
  <c r="L290" i="40" s="1"/>
  <c r="K59" i="25"/>
  <c r="N264" i="7"/>
  <c r="T264" i="7" s="1"/>
  <c r="C264" i="7" s="1"/>
  <c r="I210" i="40"/>
  <c r="I268" i="40" s="1"/>
  <c r="I209" i="40"/>
  <c r="I267" i="40" s="1"/>
  <c r="I16" i="24"/>
  <c r="AA16" i="24" s="1"/>
  <c r="G60" i="25"/>
  <c r="H60" i="25" s="1"/>
  <c r="L185" i="40" s="1"/>
  <c r="K234" i="40" s="1"/>
  <c r="K291" i="40" s="1"/>
  <c r="E231" i="40"/>
  <c r="E288" i="40" s="1"/>
  <c r="F209" i="40"/>
  <c r="F267" i="40" s="1"/>
  <c r="G209" i="40"/>
  <c r="G267" i="40" s="1"/>
  <c r="J16" i="24"/>
  <c r="AC16" i="24" s="1"/>
  <c r="G42" i="32"/>
  <c r="F42" i="32" s="1"/>
  <c r="G42" i="31"/>
  <c r="F42" i="31" s="1"/>
  <c r="I28" i="25"/>
  <c r="G183" i="40" s="1"/>
  <c r="J210" i="40" s="1"/>
  <c r="J268" i="40" s="1"/>
  <c r="I42" i="24"/>
  <c r="AA42" i="24" s="1"/>
  <c r="J28" i="25"/>
  <c r="D183" i="40" s="1"/>
  <c r="G210" i="40" s="1"/>
  <c r="G268" i="40" s="1"/>
  <c r="K28" i="25"/>
  <c r="E183" i="40" s="1"/>
  <c r="K182" i="40"/>
  <c r="J42" i="24"/>
  <c r="AC42" i="24" s="1"/>
  <c r="K231" i="40"/>
  <c r="K288" i="40" s="1"/>
  <c r="I231" i="40"/>
  <c r="I288" i="40" s="1"/>
  <c r="S61" i="25"/>
  <c r="G61" i="25"/>
  <c r="J61" i="25" s="1"/>
  <c r="Q61" i="25"/>
  <c r="G29" i="25"/>
  <c r="H42" i="32"/>
  <c r="J42" i="32" s="1"/>
  <c r="N62" i="25"/>
  <c r="P61" i="25"/>
  <c r="O62" i="25"/>
  <c r="K58" i="25"/>
  <c r="H58" i="25"/>
  <c r="L183" i="40" s="1"/>
  <c r="J58" i="25"/>
  <c r="I58" i="25"/>
  <c r="M183" i="40" s="1"/>
  <c r="G31" i="25"/>
  <c r="I31" i="25" s="1"/>
  <c r="G186" i="40" s="1"/>
  <c r="Q31" i="25"/>
  <c r="S31" i="25"/>
  <c r="P31" i="25"/>
  <c r="N32" i="25"/>
  <c r="O32" i="25"/>
  <c r="I138" i="37"/>
  <c r="H39" i="31"/>
  <c r="J39" i="31" s="1"/>
  <c r="G15" i="24"/>
  <c r="W15" i="24" s="1"/>
  <c r="U71" i="37"/>
  <c r="J71" i="37" s="1"/>
  <c r="H15" i="23"/>
  <c r="J15" i="23" s="1"/>
  <c r="O71" i="37"/>
  <c r="D71" i="37" s="1"/>
  <c r="F119" i="40"/>
  <c r="H39" i="32"/>
  <c r="J39" i="32" s="1"/>
  <c r="F43" i="37"/>
  <c r="AA71" i="37"/>
  <c r="G71" i="37" s="1"/>
  <c r="AC71" i="37"/>
  <c r="I71" i="37" s="1"/>
  <c r="H139" i="37" s="1"/>
  <c r="F207" i="40"/>
  <c r="F265" i="40" s="1"/>
  <c r="H207" i="40"/>
  <c r="H265" i="40" s="1"/>
  <c r="E208" i="40"/>
  <c r="E266" i="40" s="1"/>
  <c r="J42" i="31"/>
  <c r="J14" i="24"/>
  <c r="AC14" i="24" s="1"/>
  <c r="E181" i="40"/>
  <c r="H208" i="40" s="1"/>
  <c r="H266" i="40" s="1"/>
  <c r="L86" i="5"/>
  <c r="I86" i="5"/>
  <c r="D138" i="37"/>
  <c r="F138" i="37" s="1"/>
  <c r="C136" i="1"/>
  <c r="K136" i="1" s="1"/>
  <c r="C22" i="23"/>
  <c r="A22" i="23" s="1"/>
  <c r="D137" i="1"/>
  <c r="D138" i="1" s="1"/>
  <c r="F83" i="32"/>
  <c r="J80" i="32"/>
  <c r="H80" i="32"/>
  <c r="H75" i="32"/>
  <c r="J75" i="32"/>
  <c r="H78" i="31"/>
  <c r="J78" i="31"/>
  <c r="H83" i="31"/>
  <c r="J83" i="31"/>
  <c r="J80" i="31"/>
  <c r="H80" i="31"/>
  <c r="F77" i="31"/>
  <c r="G77" i="31"/>
  <c r="J75" i="31"/>
  <c r="H75" i="31"/>
  <c r="J78" i="32"/>
  <c r="H78" i="32"/>
  <c r="J83" i="32"/>
  <c r="H83" i="32"/>
  <c r="H77" i="32"/>
  <c r="J77" i="32"/>
  <c r="F79" i="31"/>
  <c r="G79" i="31"/>
  <c r="H82" i="32"/>
  <c r="J82" i="32"/>
  <c r="H76" i="32"/>
  <c r="J76" i="32"/>
  <c r="F81" i="31"/>
  <c r="G81" i="31"/>
  <c r="J77" i="31"/>
  <c r="H77" i="31"/>
  <c r="H82" i="31"/>
  <c r="J82" i="31"/>
  <c r="H76" i="31"/>
  <c r="J76" i="31"/>
  <c r="J79" i="32"/>
  <c r="H79" i="32"/>
  <c r="J84" i="32"/>
  <c r="H84" i="32"/>
  <c r="F78" i="31"/>
  <c r="G78" i="31"/>
  <c r="H79" i="31"/>
  <c r="J79" i="31"/>
  <c r="F82" i="31"/>
  <c r="G82" i="31"/>
  <c r="J84" i="31"/>
  <c r="H84" i="31"/>
  <c r="I83" i="31"/>
  <c r="G83" i="31"/>
  <c r="F84" i="31"/>
  <c r="G84" i="31"/>
  <c r="J81" i="31"/>
  <c r="H81" i="31"/>
  <c r="F80" i="31"/>
  <c r="G80" i="31"/>
  <c r="F75" i="31"/>
  <c r="G75" i="31"/>
  <c r="F76" i="31"/>
  <c r="G76" i="31"/>
  <c r="H81" i="32"/>
  <c r="J81" i="32"/>
  <c r="H86" i="5"/>
  <c r="K85" i="5"/>
  <c r="G38" i="5"/>
  <c r="J86" i="5"/>
  <c r="G161" i="1"/>
  <c r="E87" i="5" s="1"/>
  <c r="F87" i="5" s="1"/>
  <c r="D87" i="5"/>
  <c r="D88" i="5"/>
  <c r="I88" i="5" s="1"/>
  <c r="G136" i="1"/>
  <c r="E39" i="5" s="1"/>
  <c r="F39" i="5" s="1"/>
  <c r="D39" i="5"/>
  <c r="I39" i="5" s="1"/>
  <c r="G135" i="1"/>
  <c r="E38" i="5" s="1"/>
  <c r="F38" i="5" s="1"/>
  <c r="D38" i="5"/>
  <c r="I38" i="5" s="1"/>
  <c r="Q84" i="5"/>
  <c r="G42" i="24" s="1"/>
  <c r="W42" i="24" s="1"/>
  <c r="J44" i="37"/>
  <c r="O98" i="37" s="1"/>
  <c r="R84" i="5"/>
  <c r="K47" i="40"/>
  <c r="K44" i="37"/>
  <c r="R44" i="37" s="1"/>
  <c r="J47" i="40"/>
  <c r="L75" i="40" s="1"/>
  <c r="G147" i="40" s="1"/>
  <c r="K36" i="5"/>
  <c r="E103" i="7"/>
  <c r="J37" i="5"/>
  <c r="H37" i="5"/>
  <c r="L37" i="5"/>
  <c r="I135" i="1"/>
  <c r="D21" i="23" s="1"/>
  <c r="C20" i="24"/>
  <c r="E20" i="24" s="1"/>
  <c r="D20" i="23"/>
  <c r="E25" i="40"/>
  <c r="F25" i="40" s="1"/>
  <c r="K164" i="7"/>
  <c r="L162" i="1" s="1"/>
  <c r="D86" i="7"/>
  <c r="E86" i="7" s="1"/>
  <c r="K26" i="40"/>
  <c r="L26" i="40" s="1"/>
  <c r="L23" i="37"/>
  <c r="J163" i="1"/>
  <c r="D46" i="23"/>
  <c r="C47" i="24"/>
  <c r="E46" i="24"/>
  <c r="M22" i="37"/>
  <c r="G22" i="37"/>
  <c r="D65" i="7"/>
  <c r="D105" i="7" s="1"/>
  <c r="J40" i="7"/>
  <c r="L133" i="1" s="1"/>
  <c r="J134" i="1"/>
  <c r="D188" i="7"/>
  <c r="D228" i="7" s="1"/>
  <c r="E188" i="7"/>
  <c r="E228" i="7" s="1"/>
  <c r="D104" i="7"/>
  <c r="M74" i="40"/>
  <c r="H146" i="40" s="1"/>
  <c r="K74" i="40"/>
  <c r="E146" i="40" s="1"/>
  <c r="AE97" i="37"/>
  <c r="K97" i="37" s="1"/>
  <c r="Y97" i="37"/>
  <c r="E71" i="37"/>
  <c r="Q83" i="5"/>
  <c r="J46" i="40"/>
  <c r="J43" i="37"/>
  <c r="Q43" i="37" s="1"/>
  <c r="P121" i="7"/>
  <c r="I40" i="23"/>
  <c r="K40" i="23" s="1"/>
  <c r="H41" i="24"/>
  <c r="Y41" i="24" s="1"/>
  <c r="T101" i="7"/>
  <c r="C101" i="7" s="1"/>
  <c r="P225" i="7"/>
  <c r="T225" i="7" s="1"/>
  <c r="C225" i="7" s="1"/>
  <c r="T61" i="7"/>
  <c r="C61" i="7" s="1"/>
  <c r="L185" i="7"/>
  <c r="T185" i="7" s="1"/>
  <c r="C185" i="7" s="1"/>
  <c r="E33" i="25"/>
  <c r="A33" i="25"/>
  <c r="D34" i="25"/>
  <c r="F33" i="25"/>
  <c r="E85" i="7"/>
  <c r="E125" i="7" s="1"/>
  <c r="D209" i="7"/>
  <c r="D249" i="7" s="1"/>
  <c r="D64" i="25"/>
  <c r="F63" i="25"/>
  <c r="E63" i="25"/>
  <c r="A63" i="25"/>
  <c r="A80" i="40"/>
  <c r="R106" i="1"/>
  <c r="K167" i="7"/>
  <c r="K113" i="1"/>
  <c r="D215" i="40"/>
  <c r="D272" i="40"/>
  <c r="A214" i="40"/>
  <c r="A271" i="40"/>
  <c r="C54" i="40"/>
  <c r="A54" i="40" s="1"/>
  <c r="C189" i="40"/>
  <c r="A189" i="40" s="1"/>
  <c r="D29" i="40"/>
  <c r="A29" i="40" s="1"/>
  <c r="C81" i="40"/>
  <c r="C126" i="40" s="1"/>
  <c r="A126" i="40" s="1"/>
  <c r="I39" i="31"/>
  <c r="D294" i="40"/>
  <c r="A237" i="40"/>
  <c r="A293" i="40"/>
  <c r="I190" i="40"/>
  <c r="J30" i="40"/>
  <c r="I55" i="40"/>
  <c r="C153" i="40"/>
  <c r="A153" i="40" s="1"/>
  <c r="D238" i="40"/>
  <c r="I82" i="40"/>
  <c r="C104" i="37"/>
  <c r="N103" i="37"/>
  <c r="C172" i="37"/>
  <c r="A172" i="37" s="1"/>
  <c r="X103" i="37"/>
  <c r="A103" i="37"/>
  <c r="K26" i="37"/>
  <c r="I51" i="37"/>
  <c r="C78" i="37"/>
  <c r="A50" i="37"/>
  <c r="A25" i="37"/>
  <c r="E26" i="37"/>
  <c r="C51" i="37"/>
  <c r="N77" i="37"/>
  <c r="C145" i="37"/>
  <c r="A145" i="37" s="1"/>
  <c r="X77" i="37"/>
  <c r="A77" i="37"/>
  <c r="L43" i="7"/>
  <c r="L113" i="1"/>
  <c r="A48" i="24"/>
  <c r="D166" i="1"/>
  <c r="C48" i="23"/>
  <c r="B49" i="24"/>
  <c r="C165" i="1"/>
  <c r="K165" i="1" s="1"/>
  <c r="H54" i="37"/>
  <c r="L114" i="1"/>
  <c r="I116" i="1"/>
  <c r="G117" i="1" s="1"/>
  <c r="J115" i="1"/>
  <c r="Q112" i="1" s="1"/>
  <c r="A164" i="1"/>
  <c r="H164" i="1"/>
  <c r="I164" i="1" s="1"/>
  <c r="A47" i="23"/>
  <c r="B54" i="37"/>
  <c r="A22" i="24"/>
  <c r="BK106" i="14" l="1"/>
  <c r="D246" i="37"/>
  <c r="D282" i="37"/>
  <c r="J282" i="37"/>
  <c r="J246" i="37"/>
  <c r="K30" i="25"/>
  <c r="J30" i="25"/>
  <c r="D185" i="40" s="1"/>
  <c r="H30" i="25"/>
  <c r="F185" i="40" s="1"/>
  <c r="I30" i="25"/>
  <c r="G185" i="40" s="1"/>
  <c r="I234" i="40"/>
  <c r="I291" i="40" s="1"/>
  <c r="J60" i="25"/>
  <c r="J185" i="40" s="1"/>
  <c r="K60" i="25"/>
  <c r="K185" i="40" s="1"/>
  <c r="I60" i="25"/>
  <c r="M185" i="40" s="1"/>
  <c r="J233" i="40"/>
  <c r="J290" i="40" s="1"/>
  <c r="J184" i="40"/>
  <c r="I44" i="24"/>
  <c r="AA44" i="24" s="1"/>
  <c r="K184" i="40"/>
  <c r="J44" i="24"/>
  <c r="AC44" i="24" s="1"/>
  <c r="E210" i="40"/>
  <c r="E268" i="40" s="1"/>
  <c r="L210" i="40"/>
  <c r="L268" i="40" s="1"/>
  <c r="J17" i="24"/>
  <c r="AC17" i="24" s="1"/>
  <c r="I17" i="24"/>
  <c r="AA17" i="24" s="1"/>
  <c r="K61" i="25"/>
  <c r="J46" i="24" s="1"/>
  <c r="AC46" i="24" s="1"/>
  <c r="I61" i="25"/>
  <c r="M186" i="40" s="1"/>
  <c r="L235" i="40" s="1"/>
  <c r="L292" i="40" s="1"/>
  <c r="H61" i="25"/>
  <c r="L186" i="40" s="1"/>
  <c r="K235" i="40" s="1"/>
  <c r="K292" i="40" s="1"/>
  <c r="S62" i="25"/>
  <c r="H231" i="40"/>
  <c r="H288" i="40" s="1"/>
  <c r="F231" i="40"/>
  <c r="F288" i="40" s="1"/>
  <c r="G62" i="25"/>
  <c r="I62" i="25" s="1"/>
  <c r="M187" i="40" s="1"/>
  <c r="L236" i="40" s="1"/>
  <c r="L293" i="40" s="1"/>
  <c r="K29" i="25"/>
  <c r="J29" i="25"/>
  <c r="I18" i="24" s="1"/>
  <c r="AA18" i="24" s="1"/>
  <c r="H29" i="25"/>
  <c r="F184" i="40" s="1"/>
  <c r="K211" i="40" s="1"/>
  <c r="K269" i="40" s="1"/>
  <c r="I29" i="25"/>
  <c r="G184" i="40" s="1"/>
  <c r="J211" i="40" s="1"/>
  <c r="J269" i="40" s="1"/>
  <c r="I42" i="31"/>
  <c r="J31" i="25"/>
  <c r="I20" i="24" s="1"/>
  <c r="AA20" i="24" s="1"/>
  <c r="H31" i="25"/>
  <c r="F186" i="40" s="1"/>
  <c r="Q62" i="25"/>
  <c r="K31" i="25"/>
  <c r="J20" i="24" s="1"/>
  <c r="AC20" i="24" s="1"/>
  <c r="K232" i="40"/>
  <c r="K289" i="40" s="1"/>
  <c r="I232" i="40"/>
  <c r="I289" i="40" s="1"/>
  <c r="N63" i="25"/>
  <c r="K183" i="40"/>
  <c r="J43" i="24"/>
  <c r="AC43" i="24" s="1"/>
  <c r="P62" i="25"/>
  <c r="I42" i="32"/>
  <c r="O63" i="25"/>
  <c r="J232" i="40"/>
  <c r="J289" i="40" s="1"/>
  <c r="L232" i="40"/>
  <c r="L289" i="40" s="1"/>
  <c r="J183" i="40"/>
  <c r="I43" i="24"/>
  <c r="AA43" i="24" s="1"/>
  <c r="G32" i="25"/>
  <c r="J32" i="25" s="1"/>
  <c r="S32" i="25"/>
  <c r="Q32" i="25"/>
  <c r="P32" i="25"/>
  <c r="N33" i="25"/>
  <c r="O33" i="25"/>
  <c r="I39" i="32"/>
  <c r="A136" i="1"/>
  <c r="B23" i="24"/>
  <c r="A23" i="24" s="1"/>
  <c r="S71" i="37"/>
  <c r="H71" i="37" s="1"/>
  <c r="G139" i="37" s="1"/>
  <c r="I139" i="37" s="1"/>
  <c r="Q71" i="37"/>
  <c r="F71" i="37" s="1"/>
  <c r="D139" i="37" s="1"/>
  <c r="H136" i="1"/>
  <c r="I136" i="1" s="1"/>
  <c r="F208" i="40"/>
  <c r="F266" i="40" s="1"/>
  <c r="E97" i="37"/>
  <c r="AA97" i="37"/>
  <c r="G97" i="37" s="1"/>
  <c r="AC97" i="37"/>
  <c r="I97" i="37" s="1"/>
  <c r="H166" i="37" s="1"/>
  <c r="D98" i="37"/>
  <c r="I117" i="1"/>
  <c r="B207" i="1" s="1"/>
  <c r="I121" i="37"/>
  <c r="H198" i="37"/>
  <c r="F210" i="40"/>
  <c r="F268" i="40" s="1"/>
  <c r="H210" i="40"/>
  <c r="H268" i="40" s="1"/>
  <c r="H87" i="5"/>
  <c r="I87" i="5"/>
  <c r="C23" i="23"/>
  <c r="A23" i="23" s="1"/>
  <c r="C137" i="1"/>
  <c r="K137" i="1" s="1"/>
  <c r="F78" i="32"/>
  <c r="F80" i="32"/>
  <c r="F79" i="32"/>
  <c r="F82" i="32"/>
  <c r="F81" i="32"/>
  <c r="F77" i="32"/>
  <c r="F75" i="32"/>
  <c r="F76" i="32"/>
  <c r="F84" i="32"/>
  <c r="K86" i="5"/>
  <c r="G166" i="1"/>
  <c r="E92" i="5" s="1"/>
  <c r="F92" i="5" s="1"/>
  <c r="D89" i="5"/>
  <c r="I89" i="5" s="1"/>
  <c r="L87" i="5"/>
  <c r="J87" i="5"/>
  <c r="J88" i="5"/>
  <c r="L88" i="5"/>
  <c r="H88" i="5"/>
  <c r="G163" i="1"/>
  <c r="E89" i="5" s="1"/>
  <c r="F89" i="5" s="1"/>
  <c r="J39" i="5"/>
  <c r="G137" i="1"/>
  <c r="E40" i="5" s="1"/>
  <c r="F40" i="5" s="1"/>
  <c r="D40" i="5"/>
  <c r="I40" i="5" s="1"/>
  <c r="J164" i="1"/>
  <c r="D47" i="23"/>
  <c r="C48" i="24"/>
  <c r="K27" i="40"/>
  <c r="L27" i="40" s="1"/>
  <c r="L24" i="37"/>
  <c r="J38" i="5"/>
  <c r="L38" i="5"/>
  <c r="H38" i="5"/>
  <c r="J75" i="40"/>
  <c r="D147" i="40" s="1"/>
  <c r="Q44" i="37"/>
  <c r="AE98" i="37"/>
  <c r="K98" i="37" s="1"/>
  <c r="Y98" i="37"/>
  <c r="L44" i="37"/>
  <c r="H41" i="23"/>
  <c r="J41" i="23" s="1"/>
  <c r="L82" i="7"/>
  <c r="U98" i="37"/>
  <c r="Q98" i="37" s="1"/>
  <c r="L47" i="40"/>
  <c r="K75" i="40"/>
  <c r="E147" i="40" s="1"/>
  <c r="M75" i="40"/>
  <c r="H147" i="40" s="1"/>
  <c r="I147" i="40" s="1"/>
  <c r="I41" i="23"/>
  <c r="K41" i="23" s="1"/>
  <c r="P122" i="7"/>
  <c r="H42" i="24"/>
  <c r="Y42" i="24" s="1"/>
  <c r="D44" i="37"/>
  <c r="O44" i="37" s="1"/>
  <c r="D47" i="40"/>
  <c r="D75" i="40" s="1"/>
  <c r="D120" i="40" s="1"/>
  <c r="Q33" i="5"/>
  <c r="R33" i="5"/>
  <c r="E47" i="40"/>
  <c r="E44" i="37"/>
  <c r="P44" i="37" s="1"/>
  <c r="R105" i="1"/>
  <c r="L164" i="7"/>
  <c r="L163" i="1" s="1"/>
  <c r="D87" i="7"/>
  <c r="D211" i="7" s="1"/>
  <c r="D251" i="7" s="1"/>
  <c r="K37" i="5"/>
  <c r="I235" i="40"/>
  <c r="I292" i="40" s="1"/>
  <c r="J235" i="40"/>
  <c r="J292" i="40" s="1"/>
  <c r="E26" i="40"/>
  <c r="F26" i="40" s="1"/>
  <c r="C21" i="24"/>
  <c r="E21" i="24" s="1"/>
  <c r="F23" i="37"/>
  <c r="I213" i="40"/>
  <c r="I271" i="40" s="1"/>
  <c r="K213" i="40"/>
  <c r="K271" i="40" s="1"/>
  <c r="J213" i="40"/>
  <c r="J271" i="40" s="1"/>
  <c r="L213" i="40"/>
  <c r="L271" i="40" s="1"/>
  <c r="D126" i="7"/>
  <c r="D189" i="7"/>
  <c r="D229" i="7" s="1"/>
  <c r="E65" i="7"/>
  <c r="E189" i="7" s="1"/>
  <c r="E229" i="7" s="1"/>
  <c r="D210" i="7"/>
  <c r="D250" i="7" s="1"/>
  <c r="I46" i="24"/>
  <c r="AA46" i="24" s="1"/>
  <c r="J186" i="40"/>
  <c r="E47" i="24"/>
  <c r="K186" i="40"/>
  <c r="M23" i="37"/>
  <c r="D66" i="7"/>
  <c r="K40" i="7"/>
  <c r="L134" i="1" s="1"/>
  <c r="D186" i="40"/>
  <c r="G213" i="40" s="1"/>
  <c r="G271" i="40" s="1"/>
  <c r="J135" i="1"/>
  <c r="E186" i="40"/>
  <c r="H213" i="40" s="1"/>
  <c r="H271" i="40" s="1"/>
  <c r="E139" i="37"/>
  <c r="G118" i="1"/>
  <c r="D77" i="24"/>
  <c r="K77" i="24" s="1"/>
  <c r="O97" i="37"/>
  <c r="U97" i="37"/>
  <c r="J97" i="37" s="1"/>
  <c r="L43" i="37"/>
  <c r="G41" i="24"/>
  <c r="W41" i="24" s="1"/>
  <c r="H40" i="23"/>
  <c r="J40" i="23" s="1"/>
  <c r="L81" i="7"/>
  <c r="T121" i="7"/>
  <c r="C121" i="7" s="1"/>
  <c r="P245" i="7"/>
  <c r="T245" i="7" s="1"/>
  <c r="C245" i="7" s="1"/>
  <c r="J74" i="40"/>
  <c r="D146" i="40" s="1"/>
  <c r="F146" i="40" s="1"/>
  <c r="L46" i="40"/>
  <c r="L74" i="40"/>
  <c r="G146" i="40" s="1"/>
  <c r="I146" i="40" s="1"/>
  <c r="E209" i="7"/>
  <c r="E249" i="7" s="1"/>
  <c r="E34" i="25"/>
  <c r="F34" i="25"/>
  <c r="D35" i="25"/>
  <c r="A34" i="25"/>
  <c r="D65" i="25"/>
  <c r="A64" i="25"/>
  <c r="E64" i="25"/>
  <c r="F64" i="25"/>
  <c r="A81" i="40"/>
  <c r="L167" i="7"/>
  <c r="K114" i="1"/>
  <c r="D216" i="40"/>
  <c r="D273" i="40"/>
  <c r="A215" i="40"/>
  <c r="C55" i="40"/>
  <c r="C190" i="40"/>
  <c r="D30" i="40"/>
  <c r="C82" i="40"/>
  <c r="C127" i="40" s="1"/>
  <c r="A127" i="40" s="1"/>
  <c r="A272" i="40"/>
  <c r="C154" i="40"/>
  <c r="A154" i="40" s="1"/>
  <c r="J31" i="40"/>
  <c r="I56" i="40"/>
  <c r="I191" i="40"/>
  <c r="D239" i="40"/>
  <c r="A294" i="40"/>
  <c r="D295" i="40"/>
  <c r="A238" i="40"/>
  <c r="I83" i="40"/>
  <c r="K27" i="37"/>
  <c r="I52" i="37"/>
  <c r="N104" i="37"/>
  <c r="X104" i="37"/>
  <c r="A104" i="37"/>
  <c r="C173" i="37"/>
  <c r="A173" i="37" s="1"/>
  <c r="C105" i="37"/>
  <c r="C79" i="37"/>
  <c r="A51" i="37"/>
  <c r="X78" i="37"/>
  <c r="C146" i="37"/>
  <c r="A146" i="37" s="1"/>
  <c r="N78" i="37"/>
  <c r="A78" i="37"/>
  <c r="C52" i="37"/>
  <c r="A26" i="37"/>
  <c r="E27" i="37"/>
  <c r="B55" i="37"/>
  <c r="J116" i="1"/>
  <c r="Q113" i="1" s="1"/>
  <c r="D139" i="1"/>
  <c r="C138" i="1"/>
  <c r="K138" i="1" s="1"/>
  <c r="C24" i="23"/>
  <c r="B24" i="24"/>
  <c r="H55" i="37"/>
  <c r="H165" i="1"/>
  <c r="I165" i="1" s="1"/>
  <c r="A165" i="1"/>
  <c r="A48" i="23"/>
  <c r="E126" i="7"/>
  <c r="E210" i="7"/>
  <c r="E250" i="7" s="1"/>
  <c r="M43" i="7"/>
  <c r="I118" i="1"/>
  <c r="B208" i="1" s="1"/>
  <c r="A49" i="24"/>
  <c r="D167" i="1"/>
  <c r="C49" i="23"/>
  <c r="B50" i="24"/>
  <c r="C166" i="1"/>
  <c r="K166" i="1" s="1"/>
  <c r="BK107" i="14" l="1"/>
  <c r="I19" i="24"/>
  <c r="AA19" i="24" s="1"/>
  <c r="I45" i="24"/>
  <c r="AA45" i="24" s="1"/>
  <c r="L212" i="40"/>
  <c r="L270" i="40" s="1"/>
  <c r="J212" i="40"/>
  <c r="J270" i="40" s="1"/>
  <c r="K212" i="40"/>
  <c r="K270" i="40" s="1"/>
  <c r="I212" i="40"/>
  <c r="I270" i="40" s="1"/>
  <c r="G212" i="40"/>
  <c r="G270" i="40" s="1"/>
  <c r="E212" i="40"/>
  <c r="E270" i="40" s="1"/>
  <c r="J45" i="24"/>
  <c r="AC45" i="24" s="1"/>
  <c r="E185" i="40"/>
  <c r="J19" i="24"/>
  <c r="AC19" i="24" s="1"/>
  <c r="L234" i="40"/>
  <c r="L291" i="40" s="1"/>
  <c r="J234" i="40"/>
  <c r="J291" i="40" s="1"/>
  <c r="H234" i="40"/>
  <c r="H291" i="40" s="1"/>
  <c r="F234" i="40"/>
  <c r="F291" i="40" s="1"/>
  <c r="G234" i="40"/>
  <c r="G291" i="40" s="1"/>
  <c r="E234" i="40"/>
  <c r="E291" i="40" s="1"/>
  <c r="K62" i="25"/>
  <c r="J47" i="24" s="1"/>
  <c r="J62" i="25"/>
  <c r="I47" i="24" s="1"/>
  <c r="H233" i="40"/>
  <c r="H290" i="40" s="1"/>
  <c r="F233" i="40"/>
  <c r="F290" i="40" s="1"/>
  <c r="G233" i="40"/>
  <c r="G290" i="40" s="1"/>
  <c r="E233" i="40"/>
  <c r="E290" i="40" s="1"/>
  <c r="L219" i="37"/>
  <c r="L224" i="37"/>
  <c r="K224" i="37"/>
  <c r="K238" i="37"/>
  <c r="L238" i="37"/>
  <c r="K219" i="37"/>
  <c r="K233" i="37"/>
  <c r="L233" i="37"/>
  <c r="H32" i="25"/>
  <c r="F187" i="40" s="1"/>
  <c r="K32" i="25"/>
  <c r="J21" i="24" s="1"/>
  <c r="H62" i="25"/>
  <c r="L187" i="40" s="1"/>
  <c r="K236" i="40" s="1"/>
  <c r="K293" i="40" s="1"/>
  <c r="L211" i="40"/>
  <c r="L269" i="40" s="1"/>
  <c r="I211" i="40"/>
  <c r="I269" i="40" s="1"/>
  <c r="D184" i="40"/>
  <c r="G211" i="40" s="1"/>
  <c r="G269" i="40" s="1"/>
  <c r="E184" i="40"/>
  <c r="J18" i="24"/>
  <c r="AC18" i="24" s="1"/>
  <c r="S63" i="25"/>
  <c r="I32" i="25"/>
  <c r="G187" i="40" s="1"/>
  <c r="G63" i="25"/>
  <c r="H63" i="25" s="1"/>
  <c r="L188" i="40" s="1"/>
  <c r="K237" i="40" s="1"/>
  <c r="K294" i="40" s="1"/>
  <c r="Q63" i="25"/>
  <c r="H232" i="40"/>
  <c r="H289" i="40" s="1"/>
  <c r="F232" i="40"/>
  <c r="F289" i="40" s="1"/>
  <c r="O64" i="25"/>
  <c r="P63" i="25"/>
  <c r="E232" i="40"/>
  <c r="E289" i="40" s="1"/>
  <c r="G232" i="40"/>
  <c r="G289" i="40" s="1"/>
  <c r="N64" i="25"/>
  <c r="G33" i="25"/>
  <c r="K33" i="25" s="1"/>
  <c r="Q33" i="25"/>
  <c r="S33" i="25"/>
  <c r="P33" i="25"/>
  <c r="O34" i="25"/>
  <c r="N34" i="25"/>
  <c r="A137" i="1"/>
  <c r="D22" i="23"/>
  <c r="F24" i="37"/>
  <c r="G24" i="37" s="1"/>
  <c r="J136" i="1"/>
  <c r="D68" i="7" s="1"/>
  <c r="D192" i="7" s="1"/>
  <c r="D232" i="7" s="1"/>
  <c r="F139" i="37"/>
  <c r="E166" i="37"/>
  <c r="Q97" i="37"/>
  <c r="F97" i="37" s="1"/>
  <c r="S97" i="37"/>
  <c r="H97" i="37" s="1"/>
  <c r="G166" i="37" s="1"/>
  <c r="I166" i="37" s="1"/>
  <c r="S98" i="37"/>
  <c r="H98" i="37" s="1"/>
  <c r="E98" i="37"/>
  <c r="AA98" i="37"/>
  <c r="G98" i="37" s="1"/>
  <c r="AC98" i="37"/>
  <c r="I98" i="37" s="1"/>
  <c r="H167" i="37" s="1"/>
  <c r="F98" i="37"/>
  <c r="D167" i="37" s="1"/>
  <c r="H199" i="37"/>
  <c r="H137" i="1"/>
  <c r="I137" i="1" s="1"/>
  <c r="C23" i="24" s="1"/>
  <c r="E27" i="40"/>
  <c r="F27" i="40" s="1"/>
  <c r="C22" i="24"/>
  <c r="E22" i="24" s="1"/>
  <c r="M164" i="7"/>
  <c r="L164" i="1" s="1"/>
  <c r="D88" i="7"/>
  <c r="E88" i="7" s="1"/>
  <c r="D92" i="5"/>
  <c r="G165" i="1"/>
  <c r="E91" i="5" s="1"/>
  <c r="F91" i="5" s="1"/>
  <c r="D91" i="5"/>
  <c r="I91" i="5" s="1"/>
  <c r="J89" i="5"/>
  <c r="G164" i="1"/>
  <c r="E90" i="5" s="1"/>
  <c r="F90" i="5" s="1"/>
  <c r="D90" i="5"/>
  <c r="I90" i="5" s="1"/>
  <c r="K87" i="5"/>
  <c r="K88" i="5"/>
  <c r="G167" i="1"/>
  <c r="E93" i="5" s="1"/>
  <c r="F93" i="5" s="1"/>
  <c r="J40" i="5"/>
  <c r="G138" i="1"/>
  <c r="E41" i="5" s="1"/>
  <c r="F41" i="5" s="1"/>
  <c r="D41" i="5"/>
  <c r="I41" i="5" s="1"/>
  <c r="K38" i="5"/>
  <c r="K28" i="40"/>
  <c r="L28" i="40" s="1"/>
  <c r="L25" i="37"/>
  <c r="J165" i="1"/>
  <c r="C49" i="24"/>
  <c r="D48" i="23"/>
  <c r="M24" i="37"/>
  <c r="E48" i="24"/>
  <c r="F147" i="40"/>
  <c r="J98" i="37"/>
  <c r="T82" i="7"/>
  <c r="C82" i="7" s="1"/>
  <c r="L206" i="7"/>
  <c r="T206" i="7" s="1"/>
  <c r="C206" i="7" s="1"/>
  <c r="T122" i="7"/>
  <c r="C122" i="7" s="1"/>
  <c r="P246" i="7"/>
  <c r="T246" i="7" s="1"/>
  <c r="C246" i="7" s="1"/>
  <c r="E75" i="40"/>
  <c r="E120" i="40" s="1"/>
  <c r="F120" i="40" s="1"/>
  <c r="G75" i="40"/>
  <c r="H120" i="40" s="1"/>
  <c r="Y72" i="37"/>
  <c r="AE72" i="37"/>
  <c r="K72" i="37" s="1"/>
  <c r="F47" i="40"/>
  <c r="F75" i="40"/>
  <c r="G120" i="40" s="1"/>
  <c r="G16" i="24"/>
  <c r="W16" i="24" s="1"/>
  <c r="L62" i="7"/>
  <c r="H16" i="23"/>
  <c r="J16" i="23" s="1"/>
  <c r="O72" i="37"/>
  <c r="F44" i="37"/>
  <c r="U72" i="37"/>
  <c r="H16" i="24"/>
  <c r="Y16" i="24" s="1"/>
  <c r="I16" i="23"/>
  <c r="K16" i="23" s="1"/>
  <c r="P102" i="7"/>
  <c r="P47" i="37"/>
  <c r="D127" i="7"/>
  <c r="E87" i="7"/>
  <c r="E211" i="7" s="1"/>
  <c r="E251" i="7" s="1"/>
  <c r="G77" i="24"/>
  <c r="L214" i="40"/>
  <c r="L272" i="40" s="1"/>
  <c r="J236" i="40"/>
  <c r="J293" i="40" s="1"/>
  <c r="I236" i="40"/>
  <c r="I293" i="40" s="1"/>
  <c r="I214" i="40"/>
  <c r="I272" i="40" s="1"/>
  <c r="H235" i="40"/>
  <c r="H292" i="40" s="1"/>
  <c r="F235" i="40"/>
  <c r="F292" i="40" s="1"/>
  <c r="G235" i="40"/>
  <c r="G292" i="40" s="1"/>
  <c r="E235" i="40"/>
  <c r="E292" i="40" s="1"/>
  <c r="F213" i="40"/>
  <c r="F271" i="40" s="1"/>
  <c r="E213" i="40"/>
  <c r="E271" i="40" s="1"/>
  <c r="G23" i="37"/>
  <c r="K214" i="40"/>
  <c r="K272" i="40" s="1"/>
  <c r="J214" i="40"/>
  <c r="J272" i="40" s="1"/>
  <c r="E105" i="7"/>
  <c r="F77" i="24"/>
  <c r="J187" i="40"/>
  <c r="K187" i="40"/>
  <c r="E187" i="40"/>
  <c r="H214" i="40" s="1"/>
  <c r="H272" i="40" s="1"/>
  <c r="D67" i="7"/>
  <c r="L40" i="7"/>
  <c r="L135" i="1" s="1"/>
  <c r="I21" i="24"/>
  <c r="D187" i="40"/>
  <c r="G214" i="40" s="1"/>
  <c r="G272" i="40" s="1"/>
  <c r="E66" i="7"/>
  <c r="D106" i="7"/>
  <c r="D190" i="7"/>
  <c r="D230" i="7" s="1"/>
  <c r="C20" i="33"/>
  <c r="A85" i="31"/>
  <c r="A60" i="31"/>
  <c r="A54" i="31"/>
  <c r="A43" i="31"/>
  <c r="C17" i="33"/>
  <c r="E17" i="33" s="1"/>
  <c r="F17" i="33" s="1"/>
  <c r="A86" i="31"/>
  <c r="A61" i="31"/>
  <c r="A55" i="31"/>
  <c r="A44" i="31"/>
  <c r="I86" i="31"/>
  <c r="A63" i="31"/>
  <c r="A57" i="31"/>
  <c r="A46" i="31"/>
  <c r="A40" i="31"/>
  <c r="I85" i="31"/>
  <c r="A64" i="31"/>
  <c r="A58" i="31"/>
  <c r="A47" i="31"/>
  <c r="A41" i="31"/>
  <c r="D97" i="37"/>
  <c r="L205" i="7"/>
  <c r="T205" i="7" s="1"/>
  <c r="C205" i="7" s="1"/>
  <c r="T81" i="7"/>
  <c r="C81" i="7" s="1"/>
  <c r="E35" i="25"/>
  <c r="A35" i="25"/>
  <c r="D36" i="25"/>
  <c r="F35" i="25"/>
  <c r="E65" i="25"/>
  <c r="A65" i="25"/>
  <c r="D66" i="25"/>
  <c r="F65" i="25"/>
  <c r="M167" i="7"/>
  <c r="K115" i="1"/>
  <c r="C191" i="40"/>
  <c r="A191" i="40" s="1"/>
  <c r="D31" i="40"/>
  <c r="A31" i="40" s="1"/>
  <c r="C56" i="40"/>
  <c r="D217" i="40"/>
  <c r="C83" i="40"/>
  <c r="C128" i="40" s="1"/>
  <c r="A128" i="40" s="1"/>
  <c r="A273" i="40"/>
  <c r="D274" i="40"/>
  <c r="A216" i="40"/>
  <c r="A55" i="40"/>
  <c r="A190" i="40"/>
  <c r="A30" i="40"/>
  <c r="A82" i="40"/>
  <c r="C155" i="40"/>
  <c r="A155" i="40" s="1"/>
  <c r="A295" i="40"/>
  <c r="D296" i="40"/>
  <c r="A239" i="40"/>
  <c r="I192" i="40"/>
  <c r="J32" i="40"/>
  <c r="I57" i="40"/>
  <c r="D240" i="40"/>
  <c r="I84" i="40"/>
  <c r="N105" i="37"/>
  <c r="C174" i="37"/>
  <c r="A174" i="37" s="1"/>
  <c r="X105" i="37"/>
  <c r="A105" i="37"/>
  <c r="C106" i="37"/>
  <c r="K28" i="37"/>
  <c r="I53" i="37"/>
  <c r="E28" i="37"/>
  <c r="C53" i="37"/>
  <c r="A27" i="37"/>
  <c r="C80" i="37"/>
  <c r="A52" i="37"/>
  <c r="N79" i="37"/>
  <c r="X79" i="37"/>
  <c r="A79" i="37"/>
  <c r="C147" i="37"/>
  <c r="A147" i="37" s="1"/>
  <c r="A50" i="24"/>
  <c r="D168" i="1"/>
  <c r="C50" i="23"/>
  <c r="B51" i="24"/>
  <c r="C167" i="1"/>
  <c r="K167" i="1" s="1"/>
  <c r="A24" i="24"/>
  <c r="H138" i="1"/>
  <c r="A138" i="1"/>
  <c r="B56" i="37"/>
  <c r="N43" i="7"/>
  <c r="A166" i="1"/>
  <c r="H166" i="1"/>
  <c r="I166" i="1" s="1"/>
  <c r="D49" i="23" s="1"/>
  <c r="A49" i="23"/>
  <c r="L115" i="1"/>
  <c r="H56" i="37"/>
  <c r="A24" i="23"/>
  <c r="D140" i="1"/>
  <c r="C139" i="1"/>
  <c r="K139" i="1" s="1"/>
  <c r="C25" i="23"/>
  <c r="B25" i="24"/>
  <c r="R104" i="1"/>
  <c r="B83" i="14" s="1"/>
  <c r="BP83" i="14" s="1"/>
  <c r="B64" i="14" l="1"/>
  <c r="BP64" i="14" s="1"/>
  <c r="B112" i="14"/>
  <c r="BP112" i="14" s="1"/>
  <c r="B148" i="14"/>
  <c r="BP148" i="14" s="1"/>
  <c r="B131" i="14"/>
  <c r="B97" i="14"/>
  <c r="BP97" i="14" s="1"/>
  <c r="B85" i="14"/>
  <c r="BP85" i="14" s="1"/>
  <c r="B137" i="14"/>
  <c r="BP137" i="14" s="1"/>
  <c r="B117" i="14"/>
  <c r="BP117" i="14" s="1"/>
  <c r="B134" i="14"/>
  <c r="BP134" i="14" s="1"/>
  <c r="B144" i="14"/>
  <c r="BP144" i="14" s="1"/>
  <c r="B107" i="14"/>
  <c r="BP107" i="14" s="1"/>
  <c r="B80" i="14"/>
  <c r="B126" i="14"/>
  <c r="BP126" i="14" s="1"/>
  <c r="B55" i="14"/>
  <c r="BP55" i="14" s="1"/>
  <c r="B60" i="14"/>
  <c r="BP60" i="14" s="1"/>
  <c r="B61" i="14"/>
  <c r="BP61" i="14" s="1"/>
  <c r="B100" i="14"/>
  <c r="BP100" i="14" s="1"/>
  <c r="B130" i="14"/>
  <c r="B59" i="14"/>
  <c r="BP59" i="14" s="1"/>
  <c r="B150" i="14"/>
  <c r="BP150" i="14" s="1"/>
  <c r="B104" i="14"/>
  <c r="BP104" i="14" s="1"/>
  <c r="B77" i="14"/>
  <c r="BP77" i="14" s="1"/>
  <c r="B146" i="14"/>
  <c r="BP146" i="14" s="1"/>
  <c r="B72" i="14"/>
  <c r="B101" i="14"/>
  <c r="BP101" i="14" s="1"/>
  <c r="B58" i="14"/>
  <c r="BP58" i="14" s="1"/>
  <c r="B79" i="14"/>
  <c r="B76" i="14"/>
  <c r="B121" i="14"/>
  <c r="BP121" i="14" s="1"/>
  <c r="B118" i="14"/>
  <c r="BP118" i="14" s="1"/>
  <c r="B74" i="14"/>
  <c r="B149" i="14"/>
  <c r="BP149" i="14" s="1"/>
  <c r="B143" i="14"/>
  <c r="BP143" i="14" s="1"/>
  <c r="B113" i="14"/>
  <c r="BP113" i="14" s="1"/>
  <c r="B90" i="14"/>
  <c r="BP90" i="14" s="1"/>
  <c r="B152" i="14"/>
  <c r="BP152" i="14" s="1"/>
  <c r="B73" i="14"/>
  <c r="B56" i="14"/>
  <c r="BP56" i="14" s="1"/>
  <c r="B82" i="14"/>
  <c r="BP82" i="14" s="1"/>
  <c r="B92" i="14"/>
  <c r="BP92" i="14" s="1"/>
  <c r="B123" i="14"/>
  <c r="BP123" i="14" s="1"/>
  <c r="B84" i="14"/>
  <c r="BP84" i="14" s="1"/>
  <c r="B147" i="14"/>
  <c r="BP147" i="14" s="1"/>
  <c r="B139" i="14"/>
  <c r="BP139" i="14" s="1"/>
  <c r="B140" i="14"/>
  <c r="BP140" i="14" s="1"/>
  <c r="B93" i="14"/>
  <c r="BP93" i="14" s="1"/>
  <c r="B95" i="14"/>
  <c r="BP95" i="14" s="1"/>
  <c r="B132" i="14"/>
  <c r="B116" i="14"/>
  <c r="BP116" i="14" s="1"/>
  <c r="B106" i="14"/>
  <c r="BP106" i="14" s="1"/>
  <c r="B133" i="14"/>
  <c r="B67" i="14"/>
  <c r="BP67" i="14" s="1"/>
  <c r="B154" i="14"/>
  <c r="BP154" i="14" s="1"/>
  <c r="B111" i="14"/>
  <c r="BP111" i="14" s="1"/>
  <c r="B141" i="14"/>
  <c r="BP141" i="14" s="1"/>
  <c r="B57" i="14"/>
  <c r="BP57" i="14" s="1"/>
  <c r="B78" i="14"/>
  <c r="B91" i="14"/>
  <c r="BP91" i="14" s="1"/>
  <c r="B109" i="14"/>
  <c r="BP109" i="14" s="1"/>
  <c r="B70" i="14"/>
  <c r="BP70" i="14" s="1"/>
  <c r="B99" i="14"/>
  <c r="BP99" i="14" s="1"/>
  <c r="B115" i="14"/>
  <c r="BP115" i="14" s="1"/>
  <c r="B135" i="14"/>
  <c r="B63" i="14"/>
  <c r="BP63" i="14" s="1"/>
  <c r="B142" i="14"/>
  <c r="BP142" i="14" s="1"/>
  <c r="B88" i="14"/>
  <c r="BP88" i="14" s="1"/>
  <c r="B71" i="14"/>
  <c r="BP71" i="14" s="1"/>
  <c r="B68" i="14"/>
  <c r="BP68" i="14" s="1"/>
  <c r="B94" i="14"/>
  <c r="BP94" i="14" s="1"/>
  <c r="B105" i="14"/>
  <c r="BP105" i="14" s="1"/>
  <c r="B128" i="14"/>
  <c r="B136" i="14"/>
  <c r="B69" i="14"/>
  <c r="BP69" i="14" s="1"/>
  <c r="B122" i="14"/>
  <c r="BP122" i="14" s="1"/>
  <c r="B124" i="14"/>
  <c r="BP124" i="14" s="1"/>
  <c r="B155" i="14"/>
  <c r="BP155" i="14" s="1"/>
  <c r="B110" i="14"/>
  <c r="BP110" i="14" s="1"/>
  <c r="B129" i="14"/>
  <c r="B75" i="14"/>
  <c r="B114" i="14"/>
  <c r="BP114" i="14" s="1"/>
  <c r="B102" i="14"/>
  <c r="BP102" i="14" s="1"/>
  <c r="B66" i="14"/>
  <c r="BP66" i="14" s="1"/>
  <c r="B108" i="14"/>
  <c r="BP108" i="14" s="1"/>
  <c r="B89" i="14"/>
  <c r="BP89" i="14" s="1"/>
  <c r="B151" i="14"/>
  <c r="BP151" i="14" s="1"/>
  <c r="B120" i="14"/>
  <c r="BP120" i="14" s="1"/>
  <c r="B65" i="14"/>
  <c r="BP65" i="14" s="1"/>
  <c r="B138" i="14"/>
  <c r="BP138" i="14" s="1"/>
  <c r="B145" i="14"/>
  <c r="BP145" i="14" s="1"/>
  <c r="B153" i="14"/>
  <c r="BP153" i="14" s="1"/>
  <c r="B125" i="14"/>
  <c r="BP125" i="14" s="1"/>
  <c r="B96" i="14"/>
  <c r="BP96" i="14" s="1"/>
  <c r="B86" i="14"/>
  <c r="BP86" i="14" s="1"/>
  <c r="B119" i="14"/>
  <c r="BP119" i="14" s="1"/>
  <c r="B127" i="14"/>
  <c r="BP127" i="14" s="1"/>
  <c r="B87" i="14"/>
  <c r="BP87" i="14" s="1"/>
  <c r="B103" i="14"/>
  <c r="BP103" i="14" s="1"/>
  <c r="B81" i="14"/>
  <c r="BP81" i="14" s="1"/>
  <c r="B98" i="14"/>
  <c r="BP98" i="14" s="1"/>
  <c r="B62" i="14"/>
  <c r="BP62" i="14" s="1"/>
  <c r="BK108" i="14"/>
  <c r="H212" i="40"/>
  <c r="H270" i="40" s="1"/>
  <c r="F212" i="40"/>
  <c r="F270" i="40" s="1"/>
  <c r="K255" i="37"/>
  <c r="I219" i="37"/>
  <c r="I255" i="37" s="1"/>
  <c r="L274" i="37"/>
  <c r="J238" i="37"/>
  <c r="J274" i="37" s="1"/>
  <c r="K274" i="37"/>
  <c r="I238" i="37"/>
  <c r="I274" i="37" s="1"/>
  <c r="K260" i="37"/>
  <c r="I224" i="37"/>
  <c r="I260" i="37" s="1"/>
  <c r="L260" i="37"/>
  <c r="J224" i="37"/>
  <c r="J260" i="37" s="1"/>
  <c r="L269" i="37"/>
  <c r="J233" i="37"/>
  <c r="J269" i="37" s="1"/>
  <c r="K269" i="37"/>
  <c r="I233" i="37"/>
  <c r="I269" i="37" s="1"/>
  <c r="L255" i="37"/>
  <c r="J219" i="37"/>
  <c r="J255" i="37" s="1"/>
  <c r="H33" i="25"/>
  <c r="F188" i="40" s="1"/>
  <c r="I33" i="25"/>
  <c r="G188" i="40" s="1"/>
  <c r="K234" i="37"/>
  <c r="K239" i="37"/>
  <c r="L234" i="37"/>
  <c r="K225" i="37"/>
  <c r="L225" i="37"/>
  <c r="L220" i="37"/>
  <c r="J220" i="37" s="1"/>
  <c r="J256" i="37" s="1"/>
  <c r="K220" i="37"/>
  <c r="I220" i="37" s="1"/>
  <c r="I256" i="37" s="1"/>
  <c r="L239" i="37"/>
  <c r="J239" i="37" s="1"/>
  <c r="J275" i="37" s="1"/>
  <c r="J33" i="25"/>
  <c r="I22" i="24" s="1"/>
  <c r="AA22" i="24" s="1"/>
  <c r="E211" i="40"/>
  <c r="E269" i="40" s="1"/>
  <c r="K63" i="25"/>
  <c r="J48" i="24" s="1"/>
  <c r="AC48" i="24" s="1"/>
  <c r="H211" i="40"/>
  <c r="H269" i="40" s="1"/>
  <c r="F211" i="40"/>
  <c r="F269" i="40" s="1"/>
  <c r="I63" i="25"/>
  <c r="M188" i="40" s="1"/>
  <c r="L237" i="40" s="1"/>
  <c r="L294" i="40" s="1"/>
  <c r="J63" i="25"/>
  <c r="I48" i="24" s="1"/>
  <c r="AA48" i="24" s="1"/>
  <c r="P64" i="25"/>
  <c r="N65" i="25"/>
  <c r="Q64" i="25"/>
  <c r="S64" i="25"/>
  <c r="G64" i="25"/>
  <c r="J64" i="25" s="1"/>
  <c r="O65" i="25"/>
  <c r="G34" i="25"/>
  <c r="H34" i="25" s="1"/>
  <c r="F189" i="40" s="1"/>
  <c r="Q34" i="25"/>
  <c r="S34" i="25"/>
  <c r="P34" i="25"/>
  <c r="O35" i="25"/>
  <c r="N35" i="25"/>
  <c r="M40" i="7"/>
  <c r="L136" i="1" s="1"/>
  <c r="I138" i="1"/>
  <c r="C24" i="24" s="1"/>
  <c r="F25" i="37"/>
  <c r="G25" i="37" s="1"/>
  <c r="E28" i="40"/>
  <c r="F28" i="40" s="1"/>
  <c r="J92" i="5"/>
  <c r="I92" i="5"/>
  <c r="D23" i="23"/>
  <c r="J137" i="1"/>
  <c r="D69" i="7" s="1"/>
  <c r="D193" i="7" s="1"/>
  <c r="D233" i="7" s="1"/>
  <c r="E167" i="37"/>
  <c r="F167" i="37" s="1"/>
  <c r="Q72" i="37"/>
  <c r="F72" i="37" s="1"/>
  <c r="S72" i="37"/>
  <c r="H72" i="37" s="1"/>
  <c r="AC72" i="37"/>
  <c r="I72" i="37" s="1"/>
  <c r="H140" i="37" s="1"/>
  <c r="AA72" i="37"/>
  <c r="G72" i="37" s="1"/>
  <c r="H200" i="37"/>
  <c r="E20" i="33"/>
  <c r="G20" i="33" s="1"/>
  <c r="H20" i="33" s="1"/>
  <c r="D128" i="7"/>
  <c r="D89" i="7"/>
  <c r="D129" i="7" s="1"/>
  <c r="N164" i="7"/>
  <c r="L165" i="1" s="1"/>
  <c r="D212" i="7"/>
  <c r="D252" i="7" s="1"/>
  <c r="D93" i="5"/>
  <c r="J90" i="5"/>
  <c r="J237" i="40"/>
  <c r="J294" i="40" s="1"/>
  <c r="I237" i="40"/>
  <c r="I294" i="40" s="1"/>
  <c r="J91" i="5"/>
  <c r="K215" i="40"/>
  <c r="K273" i="40" s="1"/>
  <c r="I215" i="40"/>
  <c r="I273" i="40" s="1"/>
  <c r="L215" i="40"/>
  <c r="L273" i="40" s="1"/>
  <c r="J215" i="40"/>
  <c r="J273" i="40" s="1"/>
  <c r="D108" i="7"/>
  <c r="E68" i="7"/>
  <c r="E108" i="7" s="1"/>
  <c r="G168" i="1"/>
  <c r="E94" i="5" s="1"/>
  <c r="F94" i="5" s="1"/>
  <c r="J41" i="5"/>
  <c r="G139" i="1"/>
  <c r="E42" i="5" s="1"/>
  <c r="F42" i="5" s="1"/>
  <c r="D42" i="5"/>
  <c r="I42" i="5" s="1"/>
  <c r="C50" i="24"/>
  <c r="K188" i="40"/>
  <c r="K29" i="40"/>
  <c r="L29" i="40" s="1"/>
  <c r="L26" i="37"/>
  <c r="E49" i="24"/>
  <c r="J188" i="40"/>
  <c r="M25" i="37"/>
  <c r="J166" i="1"/>
  <c r="D24" i="23"/>
  <c r="J22" i="24"/>
  <c r="AC22" i="24" s="1"/>
  <c r="E188" i="40"/>
  <c r="D188" i="40"/>
  <c r="E23" i="24"/>
  <c r="I120" i="40"/>
  <c r="G167" i="37"/>
  <c r="I167" i="37" s="1"/>
  <c r="D72" i="37"/>
  <c r="P226" i="7"/>
  <c r="T226" i="7" s="1"/>
  <c r="C226" i="7" s="1"/>
  <c r="T102" i="7"/>
  <c r="C102" i="7" s="1"/>
  <c r="E72" i="37"/>
  <c r="J72" i="37"/>
  <c r="T62" i="7"/>
  <c r="C62" i="7" s="1"/>
  <c r="L186" i="7"/>
  <c r="T186" i="7" s="1"/>
  <c r="C186" i="7" s="1"/>
  <c r="E127" i="7"/>
  <c r="G17" i="33"/>
  <c r="H17" i="33" s="1"/>
  <c r="G236" i="40"/>
  <c r="G293" i="40" s="1"/>
  <c r="E236" i="40"/>
  <c r="E293" i="40" s="1"/>
  <c r="H236" i="40"/>
  <c r="H293" i="40" s="1"/>
  <c r="F236" i="40"/>
  <c r="F293" i="40" s="1"/>
  <c r="F214" i="40"/>
  <c r="F272" i="40" s="1"/>
  <c r="E214" i="40"/>
  <c r="E272" i="40" s="1"/>
  <c r="AC47" i="24"/>
  <c r="AA47" i="24"/>
  <c r="AC21" i="24"/>
  <c r="E190" i="7"/>
  <c r="E230" i="7" s="1"/>
  <c r="E106" i="7"/>
  <c r="AA21" i="24"/>
  <c r="D107" i="7"/>
  <c r="D191" i="7"/>
  <c r="D231" i="7" s="1"/>
  <c r="E67" i="7"/>
  <c r="D166" i="37"/>
  <c r="F166" i="37" s="1"/>
  <c r="E36" i="25"/>
  <c r="F36" i="25"/>
  <c r="D37" i="25"/>
  <c r="A36" i="25"/>
  <c r="D67" i="25"/>
  <c r="A66" i="25"/>
  <c r="E66" i="25"/>
  <c r="F66" i="25"/>
  <c r="A83" i="40"/>
  <c r="N167" i="7"/>
  <c r="K116" i="1"/>
  <c r="A274" i="40"/>
  <c r="C84" i="40"/>
  <c r="C129" i="40" s="1"/>
  <c r="A129" i="40" s="1"/>
  <c r="D275" i="40"/>
  <c r="A217" i="40"/>
  <c r="D32" i="40"/>
  <c r="A32" i="40" s="1"/>
  <c r="C192" i="40"/>
  <c r="A192" i="40" s="1"/>
  <c r="C57" i="40"/>
  <c r="A57" i="40" s="1"/>
  <c r="D218" i="40"/>
  <c r="A56" i="40"/>
  <c r="D297" i="40"/>
  <c r="A240" i="40"/>
  <c r="I85" i="40"/>
  <c r="C156" i="40"/>
  <c r="A156" i="40" s="1"/>
  <c r="J33" i="40"/>
  <c r="I58" i="40"/>
  <c r="I193" i="40"/>
  <c r="D241" i="40"/>
  <c r="A296" i="40"/>
  <c r="C107" i="37"/>
  <c r="I54" i="37"/>
  <c r="K29" i="37"/>
  <c r="A106" i="37"/>
  <c r="X106" i="37"/>
  <c r="C175" i="37"/>
  <c r="A175" i="37" s="1"/>
  <c r="N106" i="37"/>
  <c r="N80" i="37"/>
  <c r="X80" i="37"/>
  <c r="A80" i="37"/>
  <c r="C148" i="37"/>
  <c r="A148" i="37" s="1"/>
  <c r="C81" i="37"/>
  <c r="A53" i="37"/>
  <c r="C54" i="37"/>
  <c r="E29" i="37"/>
  <c r="A28" i="37"/>
  <c r="B54" i="14"/>
  <c r="A25" i="23"/>
  <c r="D141" i="1"/>
  <c r="C140" i="1"/>
  <c r="K140" i="1" s="1"/>
  <c r="C26" i="23"/>
  <c r="B26" i="24"/>
  <c r="L116" i="1"/>
  <c r="A51" i="24"/>
  <c r="D169" i="1"/>
  <c r="C51" i="23"/>
  <c r="B52" i="24"/>
  <c r="C168" i="1"/>
  <c r="K168" i="1" s="1"/>
  <c r="A25" i="24"/>
  <c r="H139" i="1"/>
  <c r="A139" i="1"/>
  <c r="H57" i="37"/>
  <c r="E128" i="7"/>
  <c r="E212" i="7"/>
  <c r="E252" i="7" s="1"/>
  <c r="B57" i="37"/>
  <c r="H167" i="1"/>
  <c r="I167" i="1" s="1"/>
  <c r="C51" i="24" s="1"/>
  <c r="E51" i="24" s="1"/>
  <c r="A167" i="1"/>
  <c r="A50" i="23"/>
  <c r="BP136" i="14" l="1"/>
  <c r="BP132" i="14"/>
  <c r="L73" i="14"/>
  <c r="BP72" i="14"/>
  <c r="L81" i="14"/>
  <c r="BP80" i="14"/>
  <c r="BP128" i="14"/>
  <c r="L78" i="14"/>
  <c r="L79" i="14"/>
  <c r="BP78" i="14"/>
  <c r="L76" i="14"/>
  <c r="BP75" i="14"/>
  <c r="L75" i="14"/>
  <c r="BP74" i="14"/>
  <c r="I57" i="9"/>
  <c r="Q99" i="14" s="1"/>
  <c r="BP129" i="14"/>
  <c r="BP130" i="14"/>
  <c r="L77" i="14"/>
  <c r="BP76" i="14"/>
  <c r="BP131" i="14"/>
  <c r="BP135" i="14"/>
  <c r="BP133" i="14"/>
  <c r="L80" i="14"/>
  <c r="BP79" i="14"/>
  <c r="L74" i="14"/>
  <c r="BP73" i="14"/>
  <c r="BK109" i="14"/>
  <c r="I109" i="9"/>
  <c r="Q151" i="14" s="1"/>
  <c r="G109" i="9"/>
  <c r="H109" i="9"/>
  <c r="J109" i="9"/>
  <c r="R151" i="14" s="1"/>
  <c r="E151" i="14" s="1"/>
  <c r="E109" i="9"/>
  <c r="H83" i="9"/>
  <c r="G83" i="9"/>
  <c r="J83" i="9"/>
  <c r="R125" i="14" s="1"/>
  <c r="I83" i="9"/>
  <c r="Q125" i="14" s="1"/>
  <c r="E83" i="9"/>
  <c r="I100" i="9"/>
  <c r="Q142" i="14" s="1"/>
  <c r="G100" i="9"/>
  <c r="H100" i="9"/>
  <c r="J100" i="9"/>
  <c r="R142" i="14" s="1"/>
  <c r="E100" i="9"/>
  <c r="I111" i="9"/>
  <c r="Q153" i="14" s="1"/>
  <c r="G111" i="9"/>
  <c r="H111" i="9"/>
  <c r="J111" i="9"/>
  <c r="R153" i="14" s="1"/>
  <c r="E111" i="9"/>
  <c r="G20" i="9"/>
  <c r="H20" i="9"/>
  <c r="I20" i="9"/>
  <c r="Q62" i="14" s="1"/>
  <c r="J20" i="9"/>
  <c r="R62" i="14" s="1"/>
  <c r="E20" i="9"/>
  <c r="I14" i="9"/>
  <c r="Q56" i="14" s="1"/>
  <c r="H14" i="9"/>
  <c r="J14" i="9"/>
  <c r="R56" i="14" s="1"/>
  <c r="E56" i="14" s="1"/>
  <c r="G14" i="9"/>
  <c r="E14" i="9"/>
  <c r="I21" i="9"/>
  <c r="Q63" i="14" s="1"/>
  <c r="J21" i="9"/>
  <c r="R63" i="14" s="1"/>
  <c r="G21" i="9"/>
  <c r="H21" i="9"/>
  <c r="E21" i="9"/>
  <c r="I106" i="9"/>
  <c r="Q148" i="14" s="1"/>
  <c r="G106" i="9"/>
  <c r="H106" i="9"/>
  <c r="J106" i="9"/>
  <c r="R148" i="14" s="1"/>
  <c r="E106" i="9"/>
  <c r="G55" i="9"/>
  <c r="H55" i="9"/>
  <c r="I55" i="9"/>
  <c r="Q97" i="14" s="1"/>
  <c r="J55" i="9"/>
  <c r="R97" i="14" s="1"/>
  <c r="E55" i="9"/>
  <c r="H76" i="9"/>
  <c r="G76" i="9"/>
  <c r="I76" i="9"/>
  <c r="Q118" i="14" s="1"/>
  <c r="J76" i="9"/>
  <c r="R118" i="14" s="1"/>
  <c r="E76" i="9"/>
  <c r="E57" i="9"/>
  <c r="H82" i="9"/>
  <c r="G82" i="9"/>
  <c r="I82" i="9"/>
  <c r="Q124" i="14" s="1"/>
  <c r="J82" i="9"/>
  <c r="R124" i="14" s="1"/>
  <c r="E124" i="14" s="1"/>
  <c r="E82" i="9"/>
  <c r="G40" i="9"/>
  <c r="J40" i="9"/>
  <c r="R82" i="14" s="1"/>
  <c r="H40" i="9"/>
  <c r="I40" i="9"/>
  <c r="Q82" i="14" s="1"/>
  <c r="E40" i="9"/>
  <c r="H85" i="9"/>
  <c r="J85" i="9"/>
  <c r="R127" i="14" s="1"/>
  <c r="E127" i="14" s="1"/>
  <c r="G85" i="9"/>
  <c r="I85" i="9"/>
  <c r="Q127" i="14" s="1"/>
  <c r="E85" i="9"/>
  <c r="H71" i="9"/>
  <c r="I71" i="9"/>
  <c r="Q113" i="14" s="1"/>
  <c r="G71" i="9"/>
  <c r="J71" i="9"/>
  <c r="R113" i="14" s="1"/>
  <c r="E71" i="9"/>
  <c r="G19" i="9"/>
  <c r="I19" i="9"/>
  <c r="Q61" i="14" s="1"/>
  <c r="J19" i="9"/>
  <c r="R61" i="14" s="1"/>
  <c r="E61" i="14" s="1"/>
  <c r="H19" i="9"/>
  <c r="E19" i="9"/>
  <c r="G51" i="9"/>
  <c r="I51" i="9"/>
  <c r="Q93" i="14" s="1"/>
  <c r="H51" i="9"/>
  <c r="J51" i="9"/>
  <c r="R93" i="14" s="1"/>
  <c r="E93" i="14" s="1"/>
  <c r="E51" i="9"/>
  <c r="G59" i="9"/>
  <c r="H59" i="9"/>
  <c r="I59" i="9"/>
  <c r="Q101" i="14" s="1"/>
  <c r="J59" i="9"/>
  <c r="R101" i="14" s="1"/>
  <c r="E59" i="9"/>
  <c r="J57" i="9"/>
  <c r="R99" i="14" s="1"/>
  <c r="E99" i="14" s="1"/>
  <c r="I97" i="9"/>
  <c r="Q139" i="14" s="1"/>
  <c r="G97" i="9"/>
  <c r="H97" i="9"/>
  <c r="J97" i="9"/>
  <c r="R139" i="14" s="1"/>
  <c r="E97" i="9"/>
  <c r="I101" i="9"/>
  <c r="Q143" i="14" s="1"/>
  <c r="H101" i="9"/>
  <c r="J101" i="9"/>
  <c r="R143" i="14" s="1"/>
  <c r="G101" i="9"/>
  <c r="E101" i="9"/>
  <c r="H73" i="9"/>
  <c r="J73" i="9"/>
  <c r="R115" i="14" s="1"/>
  <c r="G73" i="9"/>
  <c r="I73" i="9"/>
  <c r="Q115" i="14" s="1"/>
  <c r="E73" i="9"/>
  <c r="G58" i="9"/>
  <c r="H58" i="9"/>
  <c r="I58" i="9"/>
  <c r="Q100" i="14" s="1"/>
  <c r="J58" i="9"/>
  <c r="R100" i="14" s="1"/>
  <c r="E58" i="9"/>
  <c r="G62" i="9"/>
  <c r="H62" i="9"/>
  <c r="I62" i="9"/>
  <c r="Q104" i="14" s="1"/>
  <c r="J62" i="9"/>
  <c r="R104" i="14" s="1"/>
  <c r="E104" i="14" s="1"/>
  <c r="E62" i="9"/>
  <c r="H70" i="9"/>
  <c r="J70" i="9"/>
  <c r="R112" i="14" s="1"/>
  <c r="G70" i="9"/>
  <c r="I70" i="9"/>
  <c r="Q112" i="14" s="1"/>
  <c r="E70" i="9"/>
  <c r="I43" i="9"/>
  <c r="Q85" i="14" s="1"/>
  <c r="J43" i="9"/>
  <c r="R85" i="14" s="1"/>
  <c r="E85" i="14" s="1"/>
  <c r="G43" i="9"/>
  <c r="H43" i="9"/>
  <c r="E43" i="9"/>
  <c r="G41" i="9"/>
  <c r="H41" i="9"/>
  <c r="J41" i="9"/>
  <c r="R83" i="14" s="1"/>
  <c r="I41" i="9"/>
  <c r="Q83" i="14" s="1"/>
  <c r="E41" i="9"/>
  <c r="I99" i="9"/>
  <c r="Q141" i="14" s="1"/>
  <c r="G99" i="9"/>
  <c r="H99" i="9"/>
  <c r="J99" i="9"/>
  <c r="R141" i="14" s="1"/>
  <c r="E99" i="9"/>
  <c r="I22" i="9"/>
  <c r="Q64" i="14" s="1"/>
  <c r="G22" i="9"/>
  <c r="H22" i="9"/>
  <c r="J22" i="9"/>
  <c r="R64" i="14" s="1"/>
  <c r="E64" i="14" s="1"/>
  <c r="E22" i="9"/>
  <c r="I103" i="9"/>
  <c r="Q145" i="14" s="1"/>
  <c r="G103" i="9"/>
  <c r="H103" i="9"/>
  <c r="J103" i="9"/>
  <c r="R145" i="14" s="1"/>
  <c r="E103" i="9"/>
  <c r="G66" i="9"/>
  <c r="H66" i="9"/>
  <c r="J66" i="9"/>
  <c r="R108" i="14" s="1"/>
  <c r="I66" i="9"/>
  <c r="Q108" i="14" s="1"/>
  <c r="E66" i="9"/>
  <c r="G56" i="9"/>
  <c r="H56" i="9"/>
  <c r="I56" i="9"/>
  <c r="Q98" i="14" s="1"/>
  <c r="J56" i="9"/>
  <c r="R98" i="14" s="1"/>
  <c r="E56" i="9"/>
  <c r="G63" i="9"/>
  <c r="H63" i="9"/>
  <c r="I63" i="9"/>
  <c r="Q105" i="14" s="1"/>
  <c r="J63" i="9"/>
  <c r="R105" i="14" s="1"/>
  <c r="E63" i="9"/>
  <c r="H57" i="9"/>
  <c r="H78" i="9"/>
  <c r="G78" i="9"/>
  <c r="J78" i="9"/>
  <c r="R120" i="14" s="1"/>
  <c r="I78" i="9"/>
  <c r="Q120" i="14" s="1"/>
  <c r="E78" i="9"/>
  <c r="G68" i="9"/>
  <c r="H68" i="9"/>
  <c r="I68" i="9"/>
  <c r="Q110" i="14" s="1"/>
  <c r="J68" i="9"/>
  <c r="R110" i="14" s="1"/>
  <c r="E110" i="14" s="1"/>
  <c r="E68" i="9"/>
  <c r="G29" i="9"/>
  <c r="I29" i="9"/>
  <c r="Q71" i="14" s="1"/>
  <c r="H29" i="9"/>
  <c r="J29" i="9"/>
  <c r="R71" i="14" s="1"/>
  <c r="E71" i="14" s="1"/>
  <c r="E29" i="9"/>
  <c r="H13" i="9"/>
  <c r="G13" i="9"/>
  <c r="J13" i="9"/>
  <c r="R55" i="14" s="1"/>
  <c r="I13" i="9"/>
  <c r="Q55" i="14" s="1"/>
  <c r="E13" i="9"/>
  <c r="J48" i="9"/>
  <c r="R90" i="14" s="1"/>
  <c r="G48" i="9"/>
  <c r="H48" i="9"/>
  <c r="I48" i="9"/>
  <c r="Q90" i="14" s="1"/>
  <c r="E48" i="9"/>
  <c r="H80" i="9"/>
  <c r="G80" i="9"/>
  <c r="I80" i="9"/>
  <c r="Q122" i="14" s="1"/>
  <c r="J80" i="9"/>
  <c r="R122" i="14" s="1"/>
  <c r="E80" i="9"/>
  <c r="G60" i="9"/>
  <c r="H60" i="9"/>
  <c r="I60" i="9"/>
  <c r="Q102" i="14" s="1"/>
  <c r="J60" i="9"/>
  <c r="R102" i="14" s="1"/>
  <c r="E60" i="9"/>
  <c r="G57" i="9"/>
  <c r="H79" i="9"/>
  <c r="J79" i="9"/>
  <c r="R121" i="14" s="1"/>
  <c r="E121" i="14" s="1"/>
  <c r="G79" i="9"/>
  <c r="I79" i="9"/>
  <c r="Q121" i="14" s="1"/>
  <c r="E79" i="9"/>
  <c r="G54" i="9"/>
  <c r="H54" i="9"/>
  <c r="J54" i="9"/>
  <c r="R96" i="14" s="1"/>
  <c r="I54" i="9"/>
  <c r="Q96" i="14" s="1"/>
  <c r="E54" i="9"/>
  <c r="H69" i="9"/>
  <c r="G69" i="9"/>
  <c r="J69" i="9"/>
  <c r="R111" i="14" s="1"/>
  <c r="I69" i="9"/>
  <c r="Q111" i="14" s="1"/>
  <c r="E69" i="9"/>
  <c r="I112" i="9"/>
  <c r="Q154" i="14" s="1"/>
  <c r="G112" i="9"/>
  <c r="H112" i="9"/>
  <c r="J112" i="9"/>
  <c r="R154" i="14" s="1"/>
  <c r="E112" i="9"/>
  <c r="H42" i="9"/>
  <c r="I42" i="9"/>
  <c r="Q84" i="14" s="1"/>
  <c r="G42" i="9"/>
  <c r="J42" i="9"/>
  <c r="R84" i="14" s="1"/>
  <c r="E42" i="9"/>
  <c r="H72" i="9"/>
  <c r="G72" i="9"/>
  <c r="J72" i="9"/>
  <c r="R114" i="14" s="1"/>
  <c r="I72" i="9"/>
  <c r="Q114" i="14" s="1"/>
  <c r="E72" i="9"/>
  <c r="G46" i="9"/>
  <c r="H46" i="9"/>
  <c r="I46" i="9"/>
  <c r="Q88" i="14" s="1"/>
  <c r="J46" i="9"/>
  <c r="R88" i="14" s="1"/>
  <c r="E46" i="9"/>
  <c r="G65" i="9"/>
  <c r="H65" i="9"/>
  <c r="I65" i="9"/>
  <c r="Q107" i="14" s="1"/>
  <c r="J65" i="9"/>
  <c r="R107" i="14" s="1"/>
  <c r="E65" i="9"/>
  <c r="G53" i="9"/>
  <c r="H53" i="9"/>
  <c r="I53" i="9"/>
  <c r="Q95" i="14" s="1"/>
  <c r="J53" i="9"/>
  <c r="R95" i="14" s="1"/>
  <c r="E53" i="9"/>
  <c r="H75" i="9"/>
  <c r="I75" i="9"/>
  <c r="Q117" i="14" s="1"/>
  <c r="G75" i="9"/>
  <c r="J75" i="9"/>
  <c r="R117" i="14" s="1"/>
  <c r="E117" i="14" s="1"/>
  <c r="E75" i="9"/>
  <c r="G24" i="9"/>
  <c r="I24" i="9"/>
  <c r="Q66" i="14" s="1"/>
  <c r="J24" i="9"/>
  <c r="R66" i="14" s="1"/>
  <c r="H24" i="9"/>
  <c r="E24" i="9"/>
  <c r="G23" i="9"/>
  <c r="H23" i="9"/>
  <c r="I23" i="9"/>
  <c r="Q65" i="14" s="1"/>
  <c r="J23" i="9"/>
  <c r="R65" i="14" s="1"/>
  <c r="E23" i="9"/>
  <c r="I102" i="9"/>
  <c r="Q144" i="14" s="1"/>
  <c r="J102" i="9"/>
  <c r="R144" i="14" s="1"/>
  <c r="G102" i="9"/>
  <c r="H102" i="9"/>
  <c r="E102" i="9"/>
  <c r="G16" i="9"/>
  <c r="H16" i="9"/>
  <c r="I16" i="9"/>
  <c r="Q58" i="14" s="1"/>
  <c r="J16" i="9"/>
  <c r="R58" i="14" s="1"/>
  <c r="E58" i="14" s="1"/>
  <c r="E16" i="9"/>
  <c r="H45" i="9"/>
  <c r="G45" i="9"/>
  <c r="I45" i="9"/>
  <c r="Q87" i="14" s="1"/>
  <c r="J45" i="9"/>
  <c r="R87" i="14" s="1"/>
  <c r="E87" i="14" s="1"/>
  <c r="E45" i="9"/>
  <c r="I104" i="9"/>
  <c r="Q146" i="14" s="1"/>
  <c r="G104" i="9"/>
  <c r="H104" i="9"/>
  <c r="J104" i="9"/>
  <c r="R146" i="14" s="1"/>
  <c r="E104" i="9"/>
  <c r="E110" i="9"/>
  <c r="E25" i="9"/>
  <c r="G64" i="9"/>
  <c r="H64" i="9"/>
  <c r="I64" i="9"/>
  <c r="Q106" i="14" s="1"/>
  <c r="J64" i="9"/>
  <c r="R106" i="14" s="1"/>
  <c r="E106" i="14" s="1"/>
  <c r="E64" i="9"/>
  <c r="I18" i="9"/>
  <c r="Q60" i="14" s="1"/>
  <c r="J18" i="9"/>
  <c r="R60" i="14" s="1"/>
  <c r="E60" i="14" s="1"/>
  <c r="G18" i="9"/>
  <c r="H18" i="9"/>
  <c r="E18" i="9"/>
  <c r="I17" i="9"/>
  <c r="Q59" i="14" s="1"/>
  <c r="J17" i="9"/>
  <c r="R59" i="14" s="1"/>
  <c r="H17" i="9"/>
  <c r="G17" i="9"/>
  <c r="E17" i="9"/>
  <c r="G67" i="9"/>
  <c r="H67" i="9"/>
  <c r="J67" i="9"/>
  <c r="R109" i="14" s="1"/>
  <c r="I67" i="9"/>
  <c r="Q109" i="14" s="1"/>
  <c r="E67" i="9"/>
  <c r="G84" i="9"/>
  <c r="I84" i="9"/>
  <c r="Q126" i="14" s="1"/>
  <c r="H84" i="9"/>
  <c r="J84" i="9"/>
  <c r="R126" i="14" s="1"/>
  <c r="E84" i="9"/>
  <c r="G61" i="9"/>
  <c r="H61" i="9"/>
  <c r="J61" i="9"/>
  <c r="R103" i="14" s="1"/>
  <c r="I61" i="9"/>
  <c r="Q103" i="14" s="1"/>
  <c r="E61" i="9"/>
  <c r="J15" i="9"/>
  <c r="R57" i="14" s="1"/>
  <c r="H15" i="9"/>
  <c r="I15" i="9"/>
  <c r="Q57" i="14" s="1"/>
  <c r="G15" i="9"/>
  <c r="E15" i="9"/>
  <c r="H30" i="9"/>
  <c r="I30" i="9"/>
  <c r="Q72" i="14" s="1"/>
  <c r="J30" i="9"/>
  <c r="R72" i="14" s="1"/>
  <c r="G30" i="9"/>
  <c r="E30" i="9"/>
  <c r="J110" i="9"/>
  <c r="R152" i="14" s="1"/>
  <c r="I25" i="9"/>
  <c r="Q67" i="14" s="1"/>
  <c r="I86" i="9"/>
  <c r="Q128" i="14" s="1"/>
  <c r="G86" i="9"/>
  <c r="G87" i="9" s="1"/>
  <c r="G88" i="9" s="1"/>
  <c r="G89" i="9" s="1"/>
  <c r="G90" i="9" s="1"/>
  <c r="G91" i="9" s="1"/>
  <c r="G92" i="9" s="1"/>
  <c r="G93" i="9" s="1"/>
  <c r="G94" i="9" s="1"/>
  <c r="G95" i="9" s="1"/>
  <c r="H86" i="9"/>
  <c r="H87" i="9" s="1"/>
  <c r="H88" i="9" s="1"/>
  <c r="H89" i="9" s="1"/>
  <c r="H90" i="9" s="1"/>
  <c r="H91" i="9" s="1"/>
  <c r="H92" i="9" s="1"/>
  <c r="H93" i="9" s="1"/>
  <c r="H94" i="9" s="1"/>
  <c r="H95" i="9" s="1"/>
  <c r="J86" i="9"/>
  <c r="R128" i="14" s="1"/>
  <c r="E86" i="9"/>
  <c r="E87" i="9" s="1"/>
  <c r="E88" i="9" s="1"/>
  <c r="E89" i="9" s="1"/>
  <c r="E90" i="9" s="1"/>
  <c r="E91" i="9" s="1"/>
  <c r="E92" i="9" s="1"/>
  <c r="E93" i="9" s="1"/>
  <c r="E94" i="9" s="1"/>
  <c r="E95" i="9" s="1"/>
  <c r="I108" i="9"/>
  <c r="Q150" i="14" s="1"/>
  <c r="J108" i="9"/>
  <c r="R150" i="14" s="1"/>
  <c r="G108" i="9"/>
  <c r="H108" i="9"/>
  <c r="E108" i="9"/>
  <c r="H77" i="9"/>
  <c r="G77" i="9"/>
  <c r="J77" i="9"/>
  <c r="R119" i="14" s="1"/>
  <c r="I77" i="9"/>
  <c r="Q119" i="14" s="1"/>
  <c r="E77" i="9"/>
  <c r="H74" i="9"/>
  <c r="G74" i="9"/>
  <c r="I74" i="9"/>
  <c r="Q116" i="14" s="1"/>
  <c r="J74" i="9"/>
  <c r="R116" i="14" s="1"/>
  <c r="E74" i="9"/>
  <c r="H50" i="9"/>
  <c r="G50" i="9"/>
  <c r="I50" i="9"/>
  <c r="Q92" i="14" s="1"/>
  <c r="J50" i="9"/>
  <c r="R92" i="14" s="1"/>
  <c r="E50" i="9"/>
  <c r="I47" i="9"/>
  <c r="Q89" i="14" s="1"/>
  <c r="J47" i="9"/>
  <c r="R89" i="14" s="1"/>
  <c r="G47" i="9"/>
  <c r="H47" i="9"/>
  <c r="E47" i="9"/>
  <c r="I26" i="9"/>
  <c r="Q68" i="14" s="1"/>
  <c r="G26" i="9"/>
  <c r="H26" i="9"/>
  <c r="J26" i="9"/>
  <c r="R68" i="14" s="1"/>
  <c r="E68" i="14" s="1"/>
  <c r="E26" i="9"/>
  <c r="H110" i="9"/>
  <c r="G25" i="9"/>
  <c r="G49" i="9"/>
  <c r="I49" i="9"/>
  <c r="Q91" i="14" s="1"/>
  <c r="H49" i="9"/>
  <c r="J49" i="9"/>
  <c r="R91" i="14" s="1"/>
  <c r="E49" i="9"/>
  <c r="I31" i="9"/>
  <c r="Q73" i="14" s="1"/>
  <c r="J31" i="9"/>
  <c r="R73" i="14" s="1"/>
  <c r="G31" i="9"/>
  <c r="G32" i="9" s="1"/>
  <c r="G33" i="9" s="1"/>
  <c r="G34" i="9" s="1"/>
  <c r="G35" i="9" s="1"/>
  <c r="G36" i="9" s="1"/>
  <c r="G37" i="9" s="1"/>
  <c r="G38" i="9" s="1"/>
  <c r="G39" i="9" s="1"/>
  <c r="H31" i="9"/>
  <c r="H32" i="9" s="1"/>
  <c r="H33" i="9" s="1"/>
  <c r="H34" i="9" s="1"/>
  <c r="H35" i="9" s="1"/>
  <c r="H36" i="9" s="1"/>
  <c r="H37" i="9" s="1"/>
  <c r="H38" i="9" s="1"/>
  <c r="H39" i="9" s="1"/>
  <c r="E31" i="9"/>
  <c r="E32" i="9" s="1"/>
  <c r="E33" i="9" s="1"/>
  <c r="E34" i="9" s="1"/>
  <c r="E35" i="9" s="1"/>
  <c r="E36" i="9" s="1"/>
  <c r="E37" i="9" s="1"/>
  <c r="E38" i="9" s="1"/>
  <c r="E39" i="9" s="1"/>
  <c r="I98" i="9"/>
  <c r="Q140" i="14" s="1"/>
  <c r="G98" i="9"/>
  <c r="H98" i="9"/>
  <c r="J98" i="9"/>
  <c r="R140" i="14" s="1"/>
  <c r="E140" i="14" s="1"/>
  <c r="E98" i="9"/>
  <c r="H28" i="9"/>
  <c r="I28" i="9"/>
  <c r="Q70" i="14" s="1"/>
  <c r="J28" i="9"/>
  <c r="R70" i="14" s="1"/>
  <c r="G28" i="9"/>
  <c r="E28" i="9"/>
  <c r="G52" i="9"/>
  <c r="H52" i="9"/>
  <c r="I52" i="9"/>
  <c r="Q94" i="14" s="1"/>
  <c r="J52" i="9"/>
  <c r="R94" i="14" s="1"/>
  <c r="E94" i="14" s="1"/>
  <c r="E52" i="9"/>
  <c r="I96" i="9"/>
  <c r="Q138" i="14" s="1"/>
  <c r="J96" i="9"/>
  <c r="R138" i="14" s="1"/>
  <c r="G96" i="9"/>
  <c r="H96" i="9"/>
  <c r="E96" i="9"/>
  <c r="J27" i="9"/>
  <c r="R69" i="14" s="1"/>
  <c r="H27" i="9"/>
  <c r="G27" i="9"/>
  <c r="I27" i="9"/>
  <c r="Q69" i="14" s="1"/>
  <c r="E27" i="9"/>
  <c r="G110" i="9"/>
  <c r="J25" i="9"/>
  <c r="R67" i="14" s="1"/>
  <c r="E67" i="14" s="1"/>
  <c r="J44" i="9"/>
  <c r="R86" i="14" s="1"/>
  <c r="G44" i="9"/>
  <c r="I44" i="9"/>
  <c r="Q86" i="14" s="1"/>
  <c r="H44" i="9"/>
  <c r="E44" i="9"/>
  <c r="I107" i="9"/>
  <c r="Q149" i="14" s="1"/>
  <c r="H107" i="9"/>
  <c r="J107" i="9"/>
  <c r="R149" i="14" s="1"/>
  <c r="E149" i="14" s="1"/>
  <c r="G107" i="9"/>
  <c r="E107" i="9"/>
  <c r="H81" i="9"/>
  <c r="I81" i="9"/>
  <c r="Q123" i="14" s="1"/>
  <c r="G81" i="9"/>
  <c r="J81" i="9"/>
  <c r="R123" i="14" s="1"/>
  <c r="E81" i="9"/>
  <c r="I105" i="9"/>
  <c r="Q147" i="14" s="1"/>
  <c r="G105" i="9"/>
  <c r="H105" i="9"/>
  <c r="J105" i="9"/>
  <c r="R147" i="14" s="1"/>
  <c r="E147" i="14" s="1"/>
  <c r="E105" i="9"/>
  <c r="I113" i="9"/>
  <c r="Q155" i="14" s="1"/>
  <c r="I114" i="9"/>
  <c r="H113" i="9"/>
  <c r="J113" i="9"/>
  <c r="R155" i="14" s="1"/>
  <c r="J114" i="9"/>
  <c r="G113" i="9"/>
  <c r="G114" i="9"/>
  <c r="H114" i="9"/>
  <c r="E114" i="9"/>
  <c r="E113" i="9"/>
  <c r="I110" i="9"/>
  <c r="Q152" i="14" s="1"/>
  <c r="H25" i="9"/>
  <c r="L261" i="37"/>
  <c r="J225" i="37"/>
  <c r="J261" i="37" s="1"/>
  <c r="K261" i="37"/>
  <c r="I225" i="37"/>
  <c r="I261" i="37" s="1"/>
  <c r="L270" i="37"/>
  <c r="J234" i="37"/>
  <c r="J270" i="37" s="1"/>
  <c r="K275" i="37"/>
  <c r="I239" i="37"/>
  <c r="I275" i="37" s="1"/>
  <c r="K270" i="37"/>
  <c r="I234" i="37"/>
  <c r="I270" i="37" s="1"/>
  <c r="Q65" i="25"/>
  <c r="H201" i="37"/>
  <c r="K221" i="37"/>
  <c r="K226" i="37"/>
  <c r="L240" i="37"/>
  <c r="L221" i="37"/>
  <c r="L235" i="37"/>
  <c r="L226" i="37"/>
  <c r="K240" i="37"/>
  <c r="K235" i="37"/>
  <c r="L275" i="37"/>
  <c r="K256" i="37"/>
  <c r="L256" i="37"/>
  <c r="I34" i="25"/>
  <c r="G189" i="40" s="1"/>
  <c r="J34" i="25"/>
  <c r="I23" i="24" s="1"/>
  <c r="AA23" i="24" s="1"/>
  <c r="K34" i="25"/>
  <c r="J23" i="24" s="1"/>
  <c r="AC23" i="24" s="1"/>
  <c r="S65" i="25"/>
  <c r="G65" i="25"/>
  <c r="K65" i="25" s="1"/>
  <c r="I64" i="25"/>
  <c r="M189" i="40" s="1"/>
  <c r="L238" i="40" s="1"/>
  <c r="L295" i="40" s="1"/>
  <c r="H64" i="25"/>
  <c r="L189" i="40" s="1"/>
  <c r="K238" i="40" s="1"/>
  <c r="K295" i="40" s="1"/>
  <c r="K64" i="25"/>
  <c r="J49" i="24" s="1"/>
  <c r="AC49" i="24" s="1"/>
  <c r="N66" i="25"/>
  <c r="P65" i="25"/>
  <c r="O66" i="25"/>
  <c r="G35" i="25"/>
  <c r="K35" i="25" s="1"/>
  <c r="S35" i="25"/>
  <c r="Q35" i="25"/>
  <c r="AB36" i="25"/>
  <c r="P35" i="25"/>
  <c r="O36" i="25"/>
  <c r="N36" i="25"/>
  <c r="I20" i="33"/>
  <c r="J20" i="33" s="1"/>
  <c r="E29" i="40"/>
  <c r="F29" i="40" s="1"/>
  <c r="F26" i="37"/>
  <c r="G26" i="37" s="1"/>
  <c r="I139" i="1"/>
  <c r="F27" i="37" s="1"/>
  <c r="J138" i="1"/>
  <c r="N40" i="7"/>
  <c r="L137" i="1" s="1"/>
  <c r="J93" i="5"/>
  <c r="I93" i="5"/>
  <c r="F20" i="33"/>
  <c r="D213" i="7"/>
  <c r="D253" i="7" s="1"/>
  <c r="E89" i="7"/>
  <c r="E129" i="7" s="1"/>
  <c r="E69" i="7"/>
  <c r="E193" i="7" s="1"/>
  <c r="E233" i="7" s="1"/>
  <c r="D109" i="7"/>
  <c r="D94" i="5"/>
  <c r="H237" i="40"/>
  <c r="H294" i="40" s="1"/>
  <c r="F237" i="40"/>
  <c r="F294" i="40" s="1"/>
  <c r="J238" i="40"/>
  <c r="J295" i="40" s="1"/>
  <c r="I238" i="40"/>
  <c r="I295" i="40" s="1"/>
  <c r="G237" i="40"/>
  <c r="G294" i="40" s="1"/>
  <c r="E237" i="40"/>
  <c r="E294" i="40" s="1"/>
  <c r="G215" i="40"/>
  <c r="G273" i="40" s="1"/>
  <c r="E215" i="40"/>
  <c r="E273" i="40" s="1"/>
  <c r="L216" i="40"/>
  <c r="L274" i="40" s="1"/>
  <c r="J216" i="40"/>
  <c r="J274" i="40" s="1"/>
  <c r="H215" i="40"/>
  <c r="H273" i="40" s="1"/>
  <c r="F215" i="40"/>
  <c r="F273" i="40" s="1"/>
  <c r="K216" i="40"/>
  <c r="K274" i="40" s="1"/>
  <c r="I216" i="40"/>
  <c r="I274" i="40" s="1"/>
  <c r="E192" i="7"/>
  <c r="E232" i="7" s="1"/>
  <c r="G169" i="1"/>
  <c r="E95" i="5" s="1"/>
  <c r="F95" i="5" s="1"/>
  <c r="D90" i="7"/>
  <c r="E90" i="7" s="1"/>
  <c r="E165" i="7"/>
  <c r="L166" i="1" s="1"/>
  <c r="D95" i="5"/>
  <c r="I95" i="5" s="1"/>
  <c r="J42" i="5"/>
  <c r="G140" i="1"/>
  <c r="E43" i="5" s="1"/>
  <c r="F43" i="5" s="1"/>
  <c r="D43" i="5"/>
  <c r="I43" i="5" s="1"/>
  <c r="K30" i="40"/>
  <c r="L30" i="40" s="1"/>
  <c r="L27" i="37"/>
  <c r="M26" i="37"/>
  <c r="D50" i="23"/>
  <c r="K189" i="40"/>
  <c r="I49" i="24"/>
  <c r="AA49" i="24" s="1"/>
  <c r="J189" i="40"/>
  <c r="J167" i="1"/>
  <c r="E50" i="24"/>
  <c r="E189" i="40"/>
  <c r="D189" i="40"/>
  <c r="E24" i="24"/>
  <c r="E140" i="37"/>
  <c r="G140" i="37"/>
  <c r="I140" i="37" s="1"/>
  <c r="D140" i="37"/>
  <c r="E12" i="9"/>
  <c r="I17" i="33"/>
  <c r="E107" i="7"/>
  <c r="E191" i="7"/>
  <c r="E231" i="7" s="1"/>
  <c r="E37" i="25"/>
  <c r="A37" i="25"/>
  <c r="D38" i="25"/>
  <c r="F37" i="25"/>
  <c r="E67" i="25"/>
  <c r="A67" i="25"/>
  <c r="D68" i="25"/>
  <c r="F67" i="25"/>
  <c r="A84" i="40"/>
  <c r="D276" i="40"/>
  <c r="A218" i="40"/>
  <c r="C85" i="40"/>
  <c r="C130" i="40" s="1"/>
  <c r="A130" i="40" s="1"/>
  <c r="D219" i="40"/>
  <c r="C193" i="40"/>
  <c r="A193" i="40" s="1"/>
  <c r="D33" i="40"/>
  <c r="A33" i="40" s="1"/>
  <c r="C58" i="40"/>
  <c r="A58" i="40" s="1"/>
  <c r="A275" i="40"/>
  <c r="D242" i="40"/>
  <c r="I86" i="40"/>
  <c r="D298" i="40"/>
  <c r="A241" i="40"/>
  <c r="I194" i="40"/>
  <c r="J34" i="40"/>
  <c r="I59" i="40"/>
  <c r="C157" i="40"/>
  <c r="A157" i="40" s="1"/>
  <c r="A297" i="40"/>
  <c r="C108" i="37"/>
  <c r="K30" i="37"/>
  <c r="I55" i="37"/>
  <c r="C176" i="37"/>
  <c r="A176" i="37" s="1"/>
  <c r="A107" i="37"/>
  <c r="N107" i="37"/>
  <c r="X107" i="37"/>
  <c r="C82" i="37"/>
  <c r="A54" i="37"/>
  <c r="N81" i="37"/>
  <c r="C149" i="37"/>
  <c r="A149" i="37" s="1"/>
  <c r="X81" i="37"/>
  <c r="A81" i="37"/>
  <c r="C55" i="37"/>
  <c r="E30" i="37"/>
  <c r="A29" i="37"/>
  <c r="B58" i="37"/>
  <c r="H168" i="1"/>
  <c r="I168" i="1" s="1"/>
  <c r="A168" i="1"/>
  <c r="A51" i="23"/>
  <c r="A26" i="23"/>
  <c r="D142" i="1"/>
  <c r="C141" i="1"/>
  <c r="K141" i="1" s="1"/>
  <c r="C27" i="23"/>
  <c r="B27" i="24"/>
  <c r="G12" i="9"/>
  <c r="H12" i="9"/>
  <c r="BP54" i="14"/>
  <c r="I12" i="9"/>
  <c r="J12" i="9"/>
  <c r="H58" i="37"/>
  <c r="A52" i="24"/>
  <c r="D170" i="1"/>
  <c r="C52" i="23"/>
  <c r="B53" i="24"/>
  <c r="C169" i="1"/>
  <c r="K169" i="1" s="1"/>
  <c r="A26" i="24"/>
  <c r="H140" i="1"/>
  <c r="A140" i="1"/>
  <c r="E55" i="14" l="1"/>
  <c r="E125" i="14"/>
  <c r="E57" i="14"/>
  <c r="E66" i="14"/>
  <c r="E144" i="14"/>
  <c r="E91" i="14"/>
  <c r="E95" i="14"/>
  <c r="E89" i="14"/>
  <c r="E122" i="14"/>
  <c r="S122" i="14" s="1"/>
  <c r="U122" i="14" s="1"/>
  <c r="V122" i="14" s="1"/>
  <c r="E108" i="14"/>
  <c r="S108" i="14" s="1"/>
  <c r="U108" i="14" s="1"/>
  <c r="V108" i="14" s="1"/>
  <c r="E143" i="14"/>
  <c r="S143" i="14" s="1"/>
  <c r="U143" i="14" s="1"/>
  <c r="V143" i="14" s="1"/>
  <c r="E100" i="14"/>
  <c r="S100" i="14" s="1"/>
  <c r="U100" i="14" s="1"/>
  <c r="V100" i="14" s="1"/>
  <c r="E126" i="14"/>
  <c r="E59" i="14"/>
  <c r="E88" i="14"/>
  <c r="E105" i="14"/>
  <c r="E62" i="14"/>
  <c r="M79" i="14"/>
  <c r="AZ79" i="14"/>
  <c r="BQ79" i="14"/>
  <c r="M77" i="14"/>
  <c r="BQ77" i="14"/>
  <c r="AZ77" i="14"/>
  <c r="M78" i="14"/>
  <c r="AZ78" i="14"/>
  <c r="BQ78" i="14"/>
  <c r="BQ74" i="14"/>
  <c r="AZ74" i="14"/>
  <c r="M74" i="14"/>
  <c r="BQ80" i="14"/>
  <c r="AZ80" i="14"/>
  <c r="M80" i="14"/>
  <c r="E119" i="14"/>
  <c r="S119" i="14" s="1"/>
  <c r="U119" i="14" s="1"/>
  <c r="V119" i="14" s="1"/>
  <c r="E98" i="14"/>
  <c r="M81" i="14"/>
  <c r="AZ81" i="14"/>
  <c r="BQ81" i="14"/>
  <c r="E112" i="14"/>
  <c r="S112" i="14" s="1"/>
  <c r="U112" i="14" s="1"/>
  <c r="V112" i="14" s="1"/>
  <c r="E152" i="14"/>
  <c r="E107" i="14"/>
  <c r="S107" i="14" s="1"/>
  <c r="U107" i="14" s="1"/>
  <c r="V107" i="14" s="1"/>
  <c r="E120" i="14"/>
  <c r="S120" i="14" s="1"/>
  <c r="U120" i="14" s="1"/>
  <c r="V120" i="14" s="1"/>
  <c r="E83" i="14"/>
  <c r="S83" i="14" s="1"/>
  <c r="U83" i="14" s="1"/>
  <c r="V83" i="14" s="1"/>
  <c r="AZ73" i="14"/>
  <c r="BQ73" i="14"/>
  <c r="M73" i="14"/>
  <c r="AZ75" i="14"/>
  <c r="M75" i="14"/>
  <c r="BQ75" i="14"/>
  <c r="E148" i="14"/>
  <c r="E84" i="14"/>
  <c r="E142" i="14"/>
  <c r="M76" i="14"/>
  <c r="AZ76" i="14"/>
  <c r="BQ76" i="14"/>
  <c r="E116" i="14"/>
  <c r="E65" i="14"/>
  <c r="E101" i="14"/>
  <c r="S101" i="14" s="1"/>
  <c r="U101" i="14" s="1"/>
  <c r="V101" i="14" s="1"/>
  <c r="S98" i="14"/>
  <c r="U98" i="14" s="1"/>
  <c r="V98" i="14" s="1"/>
  <c r="E139" i="14"/>
  <c r="S124" i="14"/>
  <c r="U124" i="14" s="1"/>
  <c r="V124" i="14" s="1"/>
  <c r="E153" i="14"/>
  <c r="S57" i="14"/>
  <c r="U57" i="14" s="1"/>
  <c r="V57" i="14" s="1"/>
  <c r="E92" i="14"/>
  <c r="E109" i="14"/>
  <c r="E114" i="14"/>
  <c r="S149" i="14"/>
  <c r="U149" i="14" s="1"/>
  <c r="V149" i="14" s="1"/>
  <c r="S68" i="14"/>
  <c r="U68" i="14" s="1"/>
  <c r="V68" i="14" s="1"/>
  <c r="E103" i="14"/>
  <c r="S106" i="14"/>
  <c r="U106" i="14" s="1"/>
  <c r="V106" i="14" s="1"/>
  <c r="S87" i="14"/>
  <c r="U87" i="14" s="1"/>
  <c r="V87" i="14" s="1"/>
  <c r="S144" i="14"/>
  <c r="U144" i="14" s="1"/>
  <c r="V144" i="14" s="1"/>
  <c r="S121" i="14"/>
  <c r="U121" i="14" s="1"/>
  <c r="V121" i="14" s="1"/>
  <c r="S71" i="14"/>
  <c r="U71" i="14" s="1"/>
  <c r="V71" i="14" s="1"/>
  <c r="S64" i="14"/>
  <c r="U64" i="14" s="1"/>
  <c r="V64" i="14" s="1"/>
  <c r="S56" i="14"/>
  <c r="U56" i="14" s="1"/>
  <c r="V56" i="14" s="1"/>
  <c r="S151" i="14"/>
  <c r="U151" i="14" s="1"/>
  <c r="V151" i="14" s="1"/>
  <c r="S147" i="14"/>
  <c r="U147" i="14" s="1"/>
  <c r="V147" i="14" s="1"/>
  <c r="S117" i="14"/>
  <c r="U117" i="14" s="1"/>
  <c r="V117" i="14" s="1"/>
  <c r="E111" i="14"/>
  <c r="S104" i="14"/>
  <c r="U104" i="14" s="1"/>
  <c r="V104" i="14" s="1"/>
  <c r="E115" i="14"/>
  <c r="S99" i="14"/>
  <c r="U99" i="14" s="1"/>
  <c r="V99" i="14" s="1"/>
  <c r="S127" i="14"/>
  <c r="U127" i="14" s="1"/>
  <c r="V127" i="14" s="1"/>
  <c r="S148" i="14"/>
  <c r="U148" i="14" s="1"/>
  <c r="V148" i="14" s="1"/>
  <c r="S152" i="14"/>
  <c r="U152" i="14" s="1"/>
  <c r="V152" i="14" s="1"/>
  <c r="E69" i="14"/>
  <c r="E73" i="14"/>
  <c r="E72" i="14"/>
  <c r="S84" i="14"/>
  <c r="U84" i="14" s="1"/>
  <c r="V84" i="14" s="1"/>
  <c r="S61" i="14"/>
  <c r="U61" i="14" s="1"/>
  <c r="V61" i="14" s="1"/>
  <c r="S142" i="14"/>
  <c r="U142" i="14" s="1"/>
  <c r="V142" i="14" s="1"/>
  <c r="E70" i="14"/>
  <c r="S116" i="14"/>
  <c r="U116" i="14" s="1"/>
  <c r="V116" i="14" s="1"/>
  <c r="E150" i="14"/>
  <c r="S65" i="14"/>
  <c r="U65" i="14" s="1"/>
  <c r="V65" i="14" s="1"/>
  <c r="E118" i="14"/>
  <c r="S126" i="14"/>
  <c r="U126" i="14" s="1"/>
  <c r="V126" i="14" s="1"/>
  <c r="S59" i="14"/>
  <c r="U59" i="14" s="1"/>
  <c r="V59" i="14" s="1"/>
  <c r="S88" i="14"/>
  <c r="U88" i="14" s="1"/>
  <c r="V88" i="14" s="1"/>
  <c r="E102" i="14"/>
  <c r="S105" i="14"/>
  <c r="U105" i="14" s="1"/>
  <c r="V105" i="14" s="1"/>
  <c r="S62" i="14"/>
  <c r="U62" i="14" s="1"/>
  <c r="V62" i="14" s="1"/>
  <c r="S94" i="14"/>
  <c r="U94" i="14" s="1"/>
  <c r="V94" i="14" s="1"/>
  <c r="S58" i="14"/>
  <c r="U58" i="14" s="1"/>
  <c r="V58" i="14" s="1"/>
  <c r="E90" i="14"/>
  <c r="S110" i="14"/>
  <c r="U110" i="14" s="1"/>
  <c r="V110" i="14" s="1"/>
  <c r="E141" i="14"/>
  <c r="S85" i="14"/>
  <c r="U85" i="14" s="1"/>
  <c r="V85" i="14" s="1"/>
  <c r="S60" i="14"/>
  <c r="U60" i="14" s="1"/>
  <c r="V60" i="14" s="1"/>
  <c r="S91" i="14"/>
  <c r="U91" i="14" s="1"/>
  <c r="V91" i="14" s="1"/>
  <c r="E123" i="14"/>
  <c r="E138" i="14"/>
  <c r="E128" i="14"/>
  <c r="S95" i="14"/>
  <c r="U95" i="14" s="1"/>
  <c r="V95" i="14" s="1"/>
  <c r="E96" i="14"/>
  <c r="E113" i="14"/>
  <c r="E82" i="14"/>
  <c r="S66" i="14"/>
  <c r="U66" i="14" s="1"/>
  <c r="V66" i="14" s="1"/>
  <c r="E86" i="14"/>
  <c r="S140" i="14"/>
  <c r="U140" i="14" s="1"/>
  <c r="V140" i="14" s="1"/>
  <c r="S89" i="14"/>
  <c r="U89" i="14" s="1"/>
  <c r="V89" i="14" s="1"/>
  <c r="E146" i="14"/>
  <c r="E154" i="14"/>
  <c r="E145" i="14"/>
  <c r="BK110" i="14"/>
  <c r="E155" i="14"/>
  <c r="S67" i="14"/>
  <c r="U67" i="14" s="1"/>
  <c r="V67" i="14" s="1"/>
  <c r="S55" i="14"/>
  <c r="U55" i="14" s="1"/>
  <c r="V55" i="14" s="1"/>
  <c r="S93" i="14"/>
  <c r="U93" i="14" s="1"/>
  <c r="V93" i="14" s="1"/>
  <c r="E97" i="14"/>
  <c r="E63" i="14"/>
  <c r="S125" i="14"/>
  <c r="U125" i="14" s="1"/>
  <c r="V125" i="14" s="1"/>
  <c r="I87" i="9"/>
  <c r="Q129" i="14" s="1"/>
  <c r="J32" i="9"/>
  <c r="R74" i="14" s="1"/>
  <c r="I32" i="9"/>
  <c r="Q74" i="14" s="1"/>
  <c r="J87" i="9"/>
  <c r="R129" i="14" s="1"/>
  <c r="J33" i="9"/>
  <c r="R75" i="14" s="1"/>
  <c r="K227" i="37"/>
  <c r="K222" i="37"/>
  <c r="L236" i="37"/>
  <c r="L222" i="37"/>
  <c r="L227" i="37"/>
  <c r="K236" i="37"/>
  <c r="L241" i="37"/>
  <c r="K241" i="37"/>
  <c r="L257" i="37"/>
  <c r="J221" i="37"/>
  <c r="J257" i="37" s="1"/>
  <c r="L276" i="37"/>
  <c r="J240" i="37"/>
  <c r="J276" i="37" s="1"/>
  <c r="K262" i="37"/>
  <c r="I226" i="37"/>
  <c r="I262" i="37" s="1"/>
  <c r="K257" i="37"/>
  <c r="I221" i="37"/>
  <c r="I257" i="37" s="1"/>
  <c r="K271" i="37"/>
  <c r="I235" i="37"/>
  <c r="I271" i="37" s="1"/>
  <c r="K276" i="37"/>
  <c r="I240" i="37"/>
  <c r="I276" i="37" s="1"/>
  <c r="L262" i="37"/>
  <c r="J226" i="37"/>
  <c r="J262" i="37" s="1"/>
  <c r="L271" i="37"/>
  <c r="J235" i="37"/>
  <c r="J271" i="37" s="1"/>
  <c r="H65" i="25"/>
  <c r="L190" i="40" s="1"/>
  <c r="K239" i="40" s="1"/>
  <c r="K296" i="40" s="1"/>
  <c r="I65" i="25"/>
  <c r="M190" i="40" s="1"/>
  <c r="L239" i="40" s="1"/>
  <c r="L296" i="40" s="1"/>
  <c r="J65" i="25"/>
  <c r="I50" i="24" s="1"/>
  <c r="AA50" i="24" s="1"/>
  <c r="H35" i="25"/>
  <c r="F190" i="40" s="1"/>
  <c r="S66" i="25"/>
  <c r="Q66" i="25"/>
  <c r="G66" i="25"/>
  <c r="K66" i="25" s="1"/>
  <c r="N67" i="25"/>
  <c r="J35" i="25"/>
  <c r="I24" i="24" s="1"/>
  <c r="AA24" i="24" s="1"/>
  <c r="I35" i="25"/>
  <c r="G190" i="40" s="1"/>
  <c r="O67" i="25"/>
  <c r="P66" i="25"/>
  <c r="G36" i="25"/>
  <c r="K36" i="25" s="1"/>
  <c r="Q36" i="25"/>
  <c r="S36" i="25"/>
  <c r="P36" i="25"/>
  <c r="AB37" i="25"/>
  <c r="N37" i="25"/>
  <c r="O37" i="25"/>
  <c r="I140" i="1"/>
  <c r="D25" i="23"/>
  <c r="K20" i="33"/>
  <c r="L20" i="33" s="1"/>
  <c r="E30" i="40"/>
  <c r="F30" i="40" s="1"/>
  <c r="C25" i="24"/>
  <c r="E25" i="24" s="1"/>
  <c r="J139" i="1"/>
  <c r="D71" i="7" s="1"/>
  <c r="E71" i="7" s="1"/>
  <c r="E41" i="7"/>
  <c r="T41" i="7" s="1"/>
  <c r="C41" i="7" s="1"/>
  <c r="D70" i="7"/>
  <c r="E70" i="7" s="1"/>
  <c r="E110" i="7" s="1"/>
  <c r="J94" i="5"/>
  <c r="I94" i="5"/>
  <c r="J17" i="33"/>
  <c r="K17" i="33"/>
  <c r="L17" i="33" s="1"/>
  <c r="E213" i="7"/>
  <c r="E253" i="7" s="1"/>
  <c r="E109" i="7"/>
  <c r="G238" i="40"/>
  <c r="G295" i="40" s="1"/>
  <c r="E238" i="40"/>
  <c r="E295" i="40" s="1"/>
  <c r="H238" i="40"/>
  <c r="H295" i="40" s="1"/>
  <c r="F238" i="40"/>
  <c r="F295" i="40" s="1"/>
  <c r="I239" i="40"/>
  <c r="I296" i="40" s="1"/>
  <c r="J239" i="40"/>
  <c r="J296" i="40" s="1"/>
  <c r="G216" i="40"/>
  <c r="G274" i="40" s="1"/>
  <c r="E216" i="40"/>
  <c r="E274" i="40" s="1"/>
  <c r="L217" i="40"/>
  <c r="L275" i="40" s="1"/>
  <c r="J217" i="40"/>
  <c r="J275" i="40" s="1"/>
  <c r="H216" i="40"/>
  <c r="H274" i="40" s="1"/>
  <c r="F216" i="40"/>
  <c r="F274" i="40" s="1"/>
  <c r="K217" i="40"/>
  <c r="K275" i="40" s="1"/>
  <c r="I217" i="40"/>
  <c r="I275" i="40" s="1"/>
  <c r="F165" i="7"/>
  <c r="L167" i="1" s="1"/>
  <c r="T165" i="7"/>
  <c r="C165" i="7" s="1"/>
  <c r="D214" i="7"/>
  <c r="D254" i="7" s="1"/>
  <c r="D130" i="7"/>
  <c r="J95" i="5"/>
  <c r="G170" i="1"/>
  <c r="E96" i="5" s="1"/>
  <c r="F96" i="5" s="1"/>
  <c r="D96" i="5"/>
  <c r="I96" i="5" s="1"/>
  <c r="J43" i="5"/>
  <c r="G141" i="1"/>
  <c r="E44" i="5" s="1"/>
  <c r="F44" i="5" s="1"/>
  <c r="D44" i="5"/>
  <c r="I44" i="5" s="1"/>
  <c r="D91" i="7"/>
  <c r="D131" i="7" s="1"/>
  <c r="K31" i="40"/>
  <c r="L31" i="40" s="1"/>
  <c r="L28" i="37"/>
  <c r="J168" i="1"/>
  <c r="C52" i="24"/>
  <c r="D51" i="23"/>
  <c r="J50" i="24"/>
  <c r="AC50" i="24" s="1"/>
  <c r="K190" i="40"/>
  <c r="J190" i="40"/>
  <c r="M27" i="37"/>
  <c r="E31" i="40"/>
  <c r="F31" i="40" s="1"/>
  <c r="F28" i="37"/>
  <c r="D26" i="23"/>
  <c r="C26" i="24"/>
  <c r="D190" i="40"/>
  <c r="G27" i="37"/>
  <c r="J24" i="24"/>
  <c r="AC24" i="24" s="1"/>
  <c r="E190" i="40"/>
  <c r="F140" i="37"/>
  <c r="A85" i="40"/>
  <c r="E38" i="25"/>
  <c r="F38" i="25"/>
  <c r="A38" i="25"/>
  <c r="D39" i="25"/>
  <c r="E68" i="25"/>
  <c r="F68" i="25"/>
  <c r="D69" i="25"/>
  <c r="A68" i="25"/>
  <c r="D10" i="10"/>
  <c r="D11" i="10"/>
  <c r="D58" i="10" s="1"/>
  <c r="D65" i="10" s="1"/>
  <c r="C86" i="40"/>
  <c r="C131" i="40" s="1"/>
  <c r="A131" i="40" s="1"/>
  <c r="D277" i="40"/>
  <c r="A219" i="40"/>
  <c r="A276" i="40"/>
  <c r="C59" i="40"/>
  <c r="A59" i="40" s="1"/>
  <c r="D34" i="40"/>
  <c r="A34" i="40" s="1"/>
  <c r="C194" i="40"/>
  <c r="A194" i="40" s="1"/>
  <c r="D220" i="40"/>
  <c r="I87" i="40"/>
  <c r="D299" i="40"/>
  <c r="A242" i="40"/>
  <c r="I195" i="40"/>
  <c r="J35" i="40"/>
  <c r="I60" i="40"/>
  <c r="D243" i="40"/>
  <c r="A298" i="40"/>
  <c r="C158" i="40"/>
  <c r="A158" i="40" s="1"/>
  <c r="K31" i="37"/>
  <c r="I56" i="37"/>
  <c r="A108" i="37"/>
  <c r="C177" i="37"/>
  <c r="A177" i="37" s="1"/>
  <c r="X108" i="37"/>
  <c r="N108" i="37"/>
  <c r="C109" i="37"/>
  <c r="C83" i="37"/>
  <c r="A55" i="37"/>
  <c r="N82" i="37"/>
  <c r="A82" i="37"/>
  <c r="X82" i="37"/>
  <c r="C150" i="37"/>
  <c r="A150" i="37" s="1"/>
  <c r="C56" i="37"/>
  <c r="E31" i="37"/>
  <c r="A30" i="37"/>
  <c r="A53" i="24"/>
  <c r="D171" i="1"/>
  <c r="C53" i="23"/>
  <c r="B54" i="24"/>
  <c r="C170" i="1"/>
  <c r="K170" i="1" s="1"/>
  <c r="R54" i="14"/>
  <c r="A27" i="23"/>
  <c r="D143" i="1"/>
  <c r="C142" i="1"/>
  <c r="K142" i="1" s="1"/>
  <c r="C28" i="23"/>
  <c r="B28" i="24"/>
  <c r="H169" i="1"/>
  <c r="I169" i="1" s="1"/>
  <c r="A169" i="1"/>
  <c r="A52" i="23"/>
  <c r="H59" i="37"/>
  <c r="E130" i="7"/>
  <c r="E214" i="7"/>
  <c r="E254" i="7" s="1"/>
  <c r="Q54" i="14"/>
  <c r="A27" i="24"/>
  <c r="H141" i="1"/>
  <c r="I141" i="1" s="1"/>
  <c r="A141" i="1"/>
  <c r="B59" i="37"/>
  <c r="E74" i="14" l="1"/>
  <c r="AC120" i="14"/>
  <c r="AB120" i="14"/>
  <c r="AB110" i="14"/>
  <c r="AC110" i="14"/>
  <c r="AB121" i="14"/>
  <c r="AC121" i="14"/>
  <c r="AB107" i="14"/>
  <c r="AC107" i="14"/>
  <c r="AB119" i="14"/>
  <c r="AC119" i="14"/>
  <c r="AB112" i="14"/>
  <c r="AC112" i="14"/>
  <c r="AC100" i="14"/>
  <c r="AB100" i="14"/>
  <c r="AB58" i="14"/>
  <c r="AC58" i="14"/>
  <c r="AC94" i="14"/>
  <c r="AB94" i="14"/>
  <c r="AB84" i="14"/>
  <c r="AC84" i="14"/>
  <c r="AC104" i="14"/>
  <c r="AB104" i="14"/>
  <c r="AC125" i="14"/>
  <c r="AB125" i="14"/>
  <c r="AB62" i="14"/>
  <c r="AC62" i="14"/>
  <c r="AC108" i="14"/>
  <c r="AB108" i="14"/>
  <c r="AB117" i="14"/>
  <c r="AC117" i="14"/>
  <c r="AC57" i="14"/>
  <c r="AB57" i="14"/>
  <c r="AB140" i="14"/>
  <c r="AC140" i="14"/>
  <c r="AC65" i="14"/>
  <c r="AB65" i="14"/>
  <c r="AB147" i="14"/>
  <c r="AC147" i="14"/>
  <c r="AB93" i="14"/>
  <c r="AC93" i="14"/>
  <c r="AB91" i="14"/>
  <c r="AC91" i="14"/>
  <c r="AB151" i="14"/>
  <c r="AC151" i="14"/>
  <c r="AB124" i="14"/>
  <c r="AC124" i="14"/>
  <c r="AB55" i="14"/>
  <c r="AC55" i="14"/>
  <c r="AB60" i="14"/>
  <c r="AC60" i="14"/>
  <c r="AB88" i="14"/>
  <c r="AC88" i="14"/>
  <c r="AB56" i="14"/>
  <c r="AC56" i="14"/>
  <c r="AC68" i="14"/>
  <c r="AB68" i="14"/>
  <c r="AC143" i="14"/>
  <c r="AB143" i="14"/>
  <c r="AB148" i="14"/>
  <c r="AC148" i="14"/>
  <c r="AB64" i="14"/>
  <c r="AC64" i="14"/>
  <c r="AC149" i="14"/>
  <c r="AB149" i="14"/>
  <c r="AB98" i="14"/>
  <c r="AC98" i="14"/>
  <c r="AB85" i="14"/>
  <c r="AC85" i="14"/>
  <c r="AC83" i="14"/>
  <c r="AB83" i="14"/>
  <c r="AC122" i="14"/>
  <c r="AB122" i="14"/>
  <c r="BK111" i="14"/>
  <c r="S86" i="14"/>
  <c r="U86" i="14" s="1"/>
  <c r="V86" i="14" s="1"/>
  <c r="S123" i="14"/>
  <c r="U123" i="14" s="1"/>
  <c r="V123" i="14" s="1"/>
  <c r="S90" i="14"/>
  <c r="U90" i="14" s="1"/>
  <c r="V90" i="14" s="1"/>
  <c r="AB59" i="14"/>
  <c r="AC59" i="14"/>
  <c r="S73" i="14"/>
  <c r="U73" i="14" s="1"/>
  <c r="V73" i="14" s="1"/>
  <c r="AB71" i="14"/>
  <c r="AC71" i="14"/>
  <c r="S109" i="14"/>
  <c r="U109" i="14" s="1"/>
  <c r="V109" i="14" s="1"/>
  <c r="S150" i="14"/>
  <c r="U150" i="14" s="1"/>
  <c r="V150" i="14" s="1"/>
  <c r="S69" i="14"/>
  <c r="U69" i="14" s="1"/>
  <c r="V69" i="14" s="1"/>
  <c r="S111" i="14"/>
  <c r="U111" i="14" s="1"/>
  <c r="V111" i="14" s="1"/>
  <c r="S92" i="14"/>
  <c r="U92" i="14" s="1"/>
  <c r="V92" i="14" s="1"/>
  <c r="AB126" i="14"/>
  <c r="AC126" i="14"/>
  <c r="AB116" i="14"/>
  <c r="AC116" i="14"/>
  <c r="AB152" i="14"/>
  <c r="AC152" i="14"/>
  <c r="AB66" i="14"/>
  <c r="AC66" i="14"/>
  <c r="S63" i="14"/>
  <c r="U63" i="14" s="1"/>
  <c r="V63" i="14" s="1"/>
  <c r="S82" i="14"/>
  <c r="U82" i="14" s="1"/>
  <c r="V82" i="14" s="1"/>
  <c r="S113" i="14"/>
  <c r="U113" i="14" s="1"/>
  <c r="V113" i="14" s="1"/>
  <c r="S70" i="14"/>
  <c r="U70" i="14" s="1"/>
  <c r="V70" i="14" s="1"/>
  <c r="AB144" i="14"/>
  <c r="AC144" i="14"/>
  <c r="S153" i="14"/>
  <c r="U153" i="14" s="1"/>
  <c r="V153" i="14" s="1"/>
  <c r="S97" i="14"/>
  <c r="U97" i="14" s="1"/>
  <c r="V97" i="14" s="1"/>
  <c r="S145" i="14"/>
  <c r="U145" i="14" s="1"/>
  <c r="V145" i="14" s="1"/>
  <c r="S118" i="14"/>
  <c r="U118" i="14" s="1"/>
  <c r="V118" i="14" s="1"/>
  <c r="AB142" i="14"/>
  <c r="AC142" i="14"/>
  <c r="AC127" i="14"/>
  <c r="AB127" i="14"/>
  <c r="AC87" i="14"/>
  <c r="AB87" i="14"/>
  <c r="S154" i="14"/>
  <c r="U154" i="14" s="1"/>
  <c r="V154" i="14" s="1"/>
  <c r="S146" i="14"/>
  <c r="U146" i="14" s="1"/>
  <c r="V146" i="14" s="1"/>
  <c r="S96" i="14"/>
  <c r="U96" i="14" s="1"/>
  <c r="V96" i="14" s="1"/>
  <c r="S139" i="14"/>
  <c r="U139" i="14" s="1"/>
  <c r="V139" i="14" s="1"/>
  <c r="AB95" i="14"/>
  <c r="AC95" i="14"/>
  <c r="AB105" i="14"/>
  <c r="AC105" i="14"/>
  <c r="AB101" i="14"/>
  <c r="AC101" i="14"/>
  <c r="AB61" i="14"/>
  <c r="AC61" i="14"/>
  <c r="AB99" i="14"/>
  <c r="AC99" i="14"/>
  <c r="AC106" i="14"/>
  <c r="AB106" i="14"/>
  <c r="AB67" i="14"/>
  <c r="AC67" i="14"/>
  <c r="S141" i="14"/>
  <c r="U141" i="14" s="1"/>
  <c r="V141" i="14" s="1"/>
  <c r="S102" i="14"/>
  <c r="U102" i="14" s="1"/>
  <c r="V102" i="14" s="1"/>
  <c r="E129" i="14"/>
  <c r="S128" i="14"/>
  <c r="U128" i="14" s="1"/>
  <c r="V128" i="14" s="1"/>
  <c r="S115" i="14"/>
  <c r="U115" i="14" s="1"/>
  <c r="V115" i="14" s="1"/>
  <c r="S103" i="14"/>
  <c r="U103" i="14" s="1"/>
  <c r="V103" i="14" s="1"/>
  <c r="AB89" i="14"/>
  <c r="AC89" i="14"/>
  <c r="S74" i="14"/>
  <c r="U74" i="14" s="1"/>
  <c r="V74" i="14" s="1"/>
  <c r="S155" i="14"/>
  <c r="U155" i="14" s="1"/>
  <c r="V155" i="14" s="1"/>
  <c r="S138" i="14"/>
  <c r="U138" i="14" s="1"/>
  <c r="V138" i="14" s="1"/>
  <c r="S72" i="14"/>
  <c r="U72" i="14" s="1"/>
  <c r="V72" i="14" s="1"/>
  <c r="S114" i="14"/>
  <c r="U114" i="14" s="1"/>
  <c r="V114" i="14"/>
  <c r="I33" i="9"/>
  <c r="Q75" i="14" s="1"/>
  <c r="E75" i="14" s="1"/>
  <c r="J88" i="9"/>
  <c r="R130" i="14" s="1"/>
  <c r="J34" i="9"/>
  <c r="R76" i="14" s="1"/>
  <c r="I88" i="9"/>
  <c r="Q130" i="14" s="1"/>
  <c r="K242" i="37"/>
  <c r="K228" i="37"/>
  <c r="L242" i="37"/>
  <c r="L228" i="37"/>
  <c r="I36" i="25"/>
  <c r="G191" i="40" s="1"/>
  <c r="L218" i="40" s="1"/>
  <c r="L276" i="40" s="1"/>
  <c r="I241" i="37"/>
  <c r="I277" i="37" s="1"/>
  <c r="K277" i="37"/>
  <c r="J241" i="37"/>
  <c r="J277" i="37" s="1"/>
  <c r="L277" i="37"/>
  <c r="I236" i="37"/>
  <c r="I272" i="37" s="1"/>
  <c r="K272" i="37"/>
  <c r="J227" i="37"/>
  <c r="J263" i="37" s="1"/>
  <c r="L263" i="37"/>
  <c r="L258" i="37"/>
  <c r="J222" i="37"/>
  <c r="J236" i="37"/>
  <c r="L272" i="37"/>
  <c r="K258" i="37"/>
  <c r="I222" i="37"/>
  <c r="K263" i="37"/>
  <c r="I227" i="37"/>
  <c r="I263" i="37" s="1"/>
  <c r="Q67" i="25"/>
  <c r="J36" i="25"/>
  <c r="I25" i="24" s="1"/>
  <c r="AA25" i="24" s="1"/>
  <c r="J66" i="25"/>
  <c r="I51" i="24" s="1"/>
  <c r="AA51" i="24" s="1"/>
  <c r="H66" i="25"/>
  <c r="L191" i="40" s="1"/>
  <c r="K240" i="40" s="1"/>
  <c r="K297" i="40" s="1"/>
  <c r="H36" i="25"/>
  <c r="F191" i="40" s="1"/>
  <c r="K218" i="40" s="1"/>
  <c r="K276" i="40" s="1"/>
  <c r="I66" i="25"/>
  <c r="M191" i="40" s="1"/>
  <c r="L240" i="40" s="1"/>
  <c r="L297" i="40" s="1"/>
  <c r="G67" i="25"/>
  <c r="I67" i="25" s="1"/>
  <c r="M192" i="40" s="1"/>
  <c r="L241" i="40" s="1"/>
  <c r="L298" i="40" s="1"/>
  <c r="S67" i="25"/>
  <c r="O68" i="25"/>
  <c r="P68" i="25" s="1"/>
  <c r="N68" i="25"/>
  <c r="P67" i="25"/>
  <c r="G37" i="25"/>
  <c r="H37" i="25" s="1"/>
  <c r="F192" i="40" s="1"/>
  <c r="Q37" i="25"/>
  <c r="S37" i="25"/>
  <c r="AB38" i="25"/>
  <c r="P37" i="25"/>
  <c r="N38" i="25"/>
  <c r="O38" i="25"/>
  <c r="J20" i="7"/>
  <c r="J140" i="1"/>
  <c r="G41" i="7" s="1"/>
  <c r="L140" i="1" s="1"/>
  <c r="F41" i="7"/>
  <c r="L139" i="1" s="1"/>
  <c r="L138" i="1"/>
  <c r="E194" i="7"/>
  <c r="E234" i="7" s="1"/>
  <c r="G13" i="33"/>
  <c r="D194" i="7"/>
  <c r="D234" i="7" s="1"/>
  <c r="D110" i="7"/>
  <c r="G12" i="33"/>
  <c r="H239" i="40"/>
  <c r="H296" i="40" s="1"/>
  <c r="F239" i="40"/>
  <c r="F296" i="40" s="1"/>
  <c r="I240" i="40"/>
  <c r="I297" i="40" s="1"/>
  <c r="J240" i="40"/>
  <c r="J297" i="40" s="1"/>
  <c r="G239" i="40"/>
  <c r="G296" i="40" s="1"/>
  <c r="E239" i="40"/>
  <c r="E296" i="40" s="1"/>
  <c r="H217" i="40"/>
  <c r="H275" i="40" s="1"/>
  <c r="F217" i="40"/>
  <c r="F275" i="40" s="1"/>
  <c r="G217" i="40"/>
  <c r="G275" i="40" s="1"/>
  <c r="E217" i="40"/>
  <c r="E275" i="40" s="1"/>
  <c r="J218" i="40"/>
  <c r="J276" i="40" s="1"/>
  <c r="I218" i="40"/>
  <c r="I276" i="40" s="1"/>
  <c r="J153" i="7"/>
  <c r="D195" i="7"/>
  <c r="D235" i="7" s="1"/>
  <c r="D111" i="7"/>
  <c r="D215" i="7"/>
  <c r="D255" i="7" s="1"/>
  <c r="E91" i="7"/>
  <c r="E215" i="7" s="1"/>
  <c r="E255" i="7" s="1"/>
  <c r="G165" i="7"/>
  <c r="L168" i="1" s="1"/>
  <c r="D92" i="7"/>
  <c r="E92" i="7" s="1"/>
  <c r="J96" i="5"/>
  <c r="G171" i="1"/>
  <c r="E97" i="5" s="1"/>
  <c r="F97" i="5" s="1"/>
  <c r="D97" i="5"/>
  <c r="I97" i="5" s="1"/>
  <c r="J44" i="5"/>
  <c r="G142" i="1"/>
  <c r="E45" i="5" s="1"/>
  <c r="F45" i="5" s="1"/>
  <c r="D45" i="5"/>
  <c r="I45" i="5" s="1"/>
  <c r="K32" i="40"/>
  <c r="L32" i="40" s="1"/>
  <c r="L29" i="37"/>
  <c r="D52" i="23"/>
  <c r="J169" i="1"/>
  <c r="C53" i="24"/>
  <c r="J51" i="24"/>
  <c r="AC51" i="24" s="1"/>
  <c r="K191" i="40"/>
  <c r="J191" i="40"/>
  <c r="E52" i="24"/>
  <c r="M28" i="37"/>
  <c r="E32" i="40"/>
  <c r="F32" i="40" s="1"/>
  <c r="F29" i="37"/>
  <c r="D27" i="23"/>
  <c r="J141" i="1"/>
  <c r="C27" i="24"/>
  <c r="D191" i="40"/>
  <c r="E26" i="24"/>
  <c r="G28" i="37"/>
  <c r="J25" i="24"/>
  <c r="AC25" i="24" s="1"/>
  <c r="E191" i="40"/>
  <c r="G47" i="31"/>
  <c r="F47" i="31" s="1"/>
  <c r="J47" i="32"/>
  <c r="G47" i="32"/>
  <c r="F47" i="32" s="1"/>
  <c r="E39" i="25"/>
  <c r="A39" i="25"/>
  <c r="D40" i="25"/>
  <c r="F39" i="25"/>
  <c r="A86" i="40"/>
  <c r="D70" i="25"/>
  <c r="F69" i="25"/>
  <c r="E69" i="25"/>
  <c r="A69" i="25"/>
  <c r="M18" i="32"/>
  <c r="D72" i="10"/>
  <c r="D73" i="10" s="1"/>
  <c r="D74" i="10" s="1"/>
  <c r="E54" i="14"/>
  <c r="S54" i="14" s="1"/>
  <c r="D221" i="40"/>
  <c r="A220" i="40"/>
  <c r="D278" i="40"/>
  <c r="D35" i="40"/>
  <c r="A35" i="40" s="1"/>
  <c r="C60" i="40"/>
  <c r="A60" i="40" s="1"/>
  <c r="C195" i="40"/>
  <c r="A195" i="40" s="1"/>
  <c r="C87" i="40"/>
  <c r="C132" i="40" s="1"/>
  <c r="A132" i="40" s="1"/>
  <c r="A277" i="40"/>
  <c r="I196" i="40"/>
  <c r="J36" i="40"/>
  <c r="I61" i="40"/>
  <c r="D244" i="40"/>
  <c r="A299" i="40"/>
  <c r="A243" i="40"/>
  <c r="D300" i="40"/>
  <c r="I88" i="40"/>
  <c r="C159" i="40"/>
  <c r="A159" i="40" s="1"/>
  <c r="X109" i="37"/>
  <c r="C178" i="37"/>
  <c r="A178" i="37" s="1"/>
  <c r="N109" i="37"/>
  <c r="A109" i="37"/>
  <c r="K32" i="37"/>
  <c r="I57" i="37"/>
  <c r="C110" i="37"/>
  <c r="C84" i="37"/>
  <c r="A56" i="37"/>
  <c r="X83" i="37"/>
  <c r="A83" i="37"/>
  <c r="N83" i="37"/>
  <c r="C151" i="37"/>
  <c r="A151" i="37" s="1"/>
  <c r="C57" i="37"/>
  <c r="A31" i="37"/>
  <c r="E32" i="37"/>
  <c r="H60" i="37"/>
  <c r="E195" i="7"/>
  <c r="E235" i="7" s="1"/>
  <c r="E111" i="7"/>
  <c r="A28" i="24"/>
  <c r="H142" i="1"/>
  <c r="I142" i="1" s="1"/>
  <c r="A142" i="1"/>
  <c r="H170" i="1"/>
  <c r="I170" i="1" s="1"/>
  <c r="A170" i="1"/>
  <c r="A53" i="23"/>
  <c r="B60" i="37"/>
  <c r="A28" i="23"/>
  <c r="D144" i="1"/>
  <c r="C143" i="1"/>
  <c r="K143" i="1" s="1"/>
  <c r="C29" i="23"/>
  <c r="B29" i="24"/>
  <c r="H65" i="10"/>
  <c r="R75" i="1" s="1"/>
  <c r="R74" i="1" s="1"/>
  <c r="L65" i="10"/>
  <c r="A54" i="24"/>
  <c r="D172" i="1"/>
  <c r="C54" i="23"/>
  <c r="B55" i="24"/>
  <c r="C171" i="1"/>
  <c r="K171" i="1" s="1"/>
  <c r="E130" i="14" l="1"/>
  <c r="AC103" i="14"/>
  <c r="AB103" i="14"/>
  <c r="AB128" i="14"/>
  <c r="AC128" i="14"/>
  <c r="AB72" i="14"/>
  <c r="AC72" i="14"/>
  <c r="AB102" i="14"/>
  <c r="AC102" i="14"/>
  <c r="AB73" i="14"/>
  <c r="AC73" i="14"/>
  <c r="AB141" i="14"/>
  <c r="AC141" i="14"/>
  <c r="AC109" i="14"/>
  <c r="AB109" i="14"/>
  <c r="AB70" i="14"/>
  <c r="AC70" i="14"/>
  <c r="AB92" i="14"/>
  <c r="AC92" i="14"/>
  <c r="AB90" i="14"/>
  <c r="AC90" i="14"/>
  <c r="AC139" i="14"/>
  <c r="AB139" i="14"/>
  <c r="AB113" i="14"/>
  <c r="AC113" i="14"/>
  <c r="AC111" i="14"/>
  <c r="AB111" i="14"/>
  <c r="AB123" i="14"/>
  <c r="AC123" i="14"/>
  <c r="AB115" i="14"/>
  <c r="AC115" i="14"/>
  <c r="AB74" i="14"/>
  <c r="AC74" i="14"/>
  <c r="AC82" i="14"/>
  <c r="AB82" i="14"/>
  <c r="AB86" i="14"/>
  <c r="AC86" i="14"/>
  <c r="S75" i="14"/>
  <c r="U75" i="14" s="1"/>
  <c r="V75" i="14" s="1"/>
  <c r="AB63" i="14"/>
  <c r="AC63" i="14"/>
  <c r="AF101" i="14"/>
  <c r="AG101" i="14"/>
  <c r="AJ101" i="14"/>
  <c r="AN101" i="14"/>
  <c r="AK101" i="14"/>
  <c r="AB154" i="14"/>
  <c r="AC154" i="14"/>
  <c r="AB97" i="14"/>
  <c r="AC97" i="14"/>
  <c r="AF59" i="14"/>
  <c r="AG59" i="14"/>
  <c r="AJ59" i="14"/>
  <c r="AK59" i="14"/>
  <c r="AN59" i="14"/>
  <c r="AF122" i="14"/>
  <c r="AK122" i="14"/>
  <c r="AN122" i="14"/>
  <c r="AG122" i="14"/>
  <c r="AJ122" i="14"/>
  <c r="AI148" i="14"/>
  <c r="AL148" i="14"/>
  <c r="AO148" i="14"/>
  <c r="AH148" i="14"/>
  <c r="AM148" i="14"/>
  <c r="AM55" i="14"/>
  <c r="AO55" i="14"/>
  <c r="AH55" i="14"/>
  <c r="AI55" i="14"/>
  <c r="AL55" i="14"/>
  <c r="AK65" i="14"/>
  <c r="AF65" i="14"/>
  <c r="AG65" i="14"/>
  <c r="AJ65" i="14"/>
  <c r="AN65" i="14"/>
  <c r="AG125" i="14"/>
  <c r="AJ125" i="14"/>
  <c r="AK125" i="14"/>
  <c r="AF125" i="14"/>
  <c r="AN125" i="14"/>
  <c r="AH112" i="14"/>
  <c r="AL112" i="14"/>
  <c r="AO112" i="14"/>
  <c r="AI112" i="14"/>
  <c r="AM112" i="14"/>
  <c r="AI89" i="14"/>
  <c r="AL89" i="14"/>
  <c r="AM89" i="14"/>
  <c r="AO89" i="14"/>
  <c r="AH89" i="14"/>
  <c r="AH105" i="14"/>
  <c r="AI105" i="14"/>
  <c r="AL105" i="14"/>
  <c r="AO105" i="14"/>
  <c r="AM105" i="14"/>
  <c r="AG87" i="14"/>
  <c r="AJ87" i="14"/>
  <c r="AK87" i="14"/>
  <c r="AN87" i="14"/>
  <c r="AF87" i="14"/>
  <c r="AB153" i="14"/>
  <c r="AC153" i="14"/>
  <c r="AH66" i="14"/>
  <c r="AM66" i="14"/>
  <c r="AI66" i="14"/>
  <c r="AL66" i="14"/>
  <c r="AO66" i="14"/>
  <c r="AB69" i="14"/>
  <c r="AC69" i="14"/>
  <c r="AI122" i="14"/>
  <c r="AM122" i="14"/>
  <c r="AH122" i="14"/>
  <c r="AL122" i="14"/>
  <c r="AO122" i="14"/>
  <c r="AN148" i="14"/>
  <c r="AK148" i="14"/>
  <c r="AF148" i="14"/>
  <c r="AR148" i="14" s="1"/>
  <c r="AJ148" i="14"/>
  <c r="AG148" i="14"/>
  <c r="AN55" i="14"/>
  <c r="AF55" i="14"/>
  <c r="AG55" i="14"/>
  <c r="AJ55" i="14"/>
  <c r="AK55" i="14"/>
  <c r="AL65" i="14"/>
  <c r="AM65" i="14"/>
  <c r="AO65" i="14"/>
  <c r="AI65" i="14"/>
  <c r="AH65" i="14"/>
  <c r="AO125" i="14"/>
  <c r="AI125" i="14"/>
  <c r="AM125" i="14"/>
  <c r="AL125" i="14"/>
  <c r="AH125" i="14"/>
  <c r="AN112" i="14"/>
  <c r="AJ112" i="14"/>
  <c r="AK112" i="14"/>
  <c r="AF112" i="14"/>
  <c r="AG112" i="14"/>
  <c r="AF89" i="14"/>
  <c r="AG89" i="14"/>
  <c r="AK89" i="14"/>
  <c r="AN89" i="14"/>
  <c r="AJ89" i="14"/>
  <c r="AF105" i="14"/>
  <c r="AR105" i="14" s="1"/>
  <c r="AG105" i="14"/>
  <c r="AN105" i="14"/>
  <c r="AK105" i="14"/>
  <c r="AJ105" i="14"/>
  <c r="AO87" i="14"/>
  <c r="AI87" i="14"/>
  <c r="AL87" i="14"/>
  <c r="AM87" i="14"/>
  <c r="AH87" i="14"/>
  <c r="AF66" i="14"/>
  <c r="AR66" i="14" s="1"/>
  <c r="AG66" i="14"/>
  <c r="AJ66" i="14"/>
  <c r="AK66" i="14"/>
  <c r="AN66" i="14"/>
  <c r="AK83" i="14"/>
  <c r="AF83" i="14"/>
  <c r="AG83" i="14"/>
  <c r="AJ83" i="14"/>
  <c r="AN83" i="14"/>
  <c r="AJ143" i="14"/>
  <c r="AG143" i="14"/>
  <c r="AF143" i="14"/>
  <c r="AK143" i="14"/>
  <c r="AN143" i="14"/>
  <c r="AH124" i="14"/>
  <c r="AM124" i="14"/>
  <c r="AO124" i="14"/>
  <c r="AI124" i="14"/>
  <c r="AL124" i="14"/>
  <c r="AL140" i="14"/>
  <c r="AM140" i="14"/>
  <c r="AH140" i="14"/>
  <c r="AI140" i="14"/>
  <c r="AO140" i="14"/>
  <c r="AF104" i="14"/>
  <c r="AJ104" i="14"/>
  <c r="AK104" i="14"/>
  <c r="AG104" i="14"/>
  <c r="AN104" i="14"/>
  <c r="AL119" i="14"/>
  <c r="AH119" i="14"/>
  <c r="AI119" i="14"/>
  <c r="AM119" i="14"/>
  <c r="AO119" i="14"/>
  <c r="AB114" i="14"/>
  <c r="AC114" i="14"/>
  <c r="AO67" i="14"/>
  <c r="AH67" i="14"/>
  <c r="AI67" i="14"/>
  <c r="AL67" i="14"/>
  <c r="AM67" i="14"/>
  <c r="AL95" i="14"/>
  <c r="AM95" i="14"/>
  <c r="AH95" i="14"/>
  <c r="AI95" i="14"/>
  <c r="AO95" i="14"/>
  <c r="AF127" i="14"/>
  <c r="AG127" i="14"/>
  <c r="AK127" i="14"/>
  <c r="AJ127" i="14"/>
  <c r="AN127" i="14"/>
  <c r="AI144" i="14"/>
  <c r="AL144" i="14"/>
  <c r="AO144" i="14"/>
  <c r="AH144" i="14"/>
  <c r="AM144" i="14"/>
  <c r="AI152" i="14"/>
  <c r="AL152" i="14"/>
  <c r="AM152" i="14"/>
  <c r="AO152" i="14"/>
  <c r="AH152" i="14"/>
  <c r="AB150" i="14"/>
  <c r="AC150" i="14"/>
  <c r="AL83" i="14"/>
  <c r="AM83" i="14"/>
  <c r="AO83" i="14"/>
  <c r="AH83" i="14"/>
  <c r="AI83" i="14"/>
  <c r="AI143" i="14"/>
  <c r="AO143" i="14"/>
  <c r="AH143" i="14"/>
  <c r="AL143" i="14"/>
  <c r="AM143" i="14"/>
  <c r="AK124" i="14"/>
  <c r="AV124" i="14" s="1"/>
  <c r="AF124" i="14"/>
  <c r="AG124" i="14"/>
  <c r="AJ124" i="14"/>
  <c r="AN124" i="14"/>
  <c r="AF140" i="14"/>
  <c r="AG140" i="14"/>
  <c r="AJ140" i="14"/>
  <c r="AK140" i="14"/>
  <c r="AN140" i="14"/>
  <c r="AM104" i="14"/>
  <c r="AO104" i="14"/>
  <c r="AH104" i="14"/>
  <c r="AI104" i="14"/>
  <c r="AL104" i="14"/>
  <c r="AK119" i="14"/>
  <c r="AN119" i="14"/>
  <c r="AF119" i="14"/>
  <c r="AG119" i="14"/>
  <c r="AJ119" i="14"/>
  <c r="AN67" i="14"/>
  <c r="AF67" i="14"/>
  <c r="AK67" i="14"/>
  <c r="AG67" i="14"/>
  <c r="AJ67" i="14"/>
  <c r="AG95" i="14"/>
  <c r="AJ95" i="14"/>
  <c r="AN95" i="14"/>
  <c r="AF95" i="14"/>
  <c r="AK95" i="14"/>
  <c r="AI127" i="14"/>
  <c r="AL127" i="14"/>
  <c r="AM127" i="14"/>
  <c r="AO127" i="14"/>
  <c r="AH127" i="14"/>
  <c r="AJ144" i="14"/>
  <c r="AK144" i="14"/>
  <c r="AN144" i="14"/>
  <c r="AG144" i="14"/>
  <c r="AF144" i="14"/>
  <c r="AN152" i="14"/>
  <c r="AF152" i="14"/>
  <c r="AG152" i="14"/>
  <c r="AJ152" i="14"/>
  <c r="AK152" i="14"/>
  <c r="AM85" i="14"/>
  <c r="AO85" i="14"/>
  <c r="AH85" i="14"/>
  <c r="AI85" i="14"/>
  <c r="AL85" i="14"/>
  <c r="AJ68" i="14"/>
  <c r="AF68" i="14"/>
  <c r="AK68" i="14"/>
  <c r="AN68" i="14"/>
  <c r="AG68" i="14"/>
  <c r="AI151" i="14"/>
  <c r="AL151" i="14"/>
  <c r="AH151" i="14"/>
  <c r="AO151" i="14"/>
  <c r="AM151" i="14"/>
  <c r="AF57" i="14"/>
  <c r="AG57" i="14"/>
  <c r="AJ57" i="14"/>
  <c r="AK57" i="14"/>
  <c r="AN57" i="14"/>
  <c r="AH84" i="14"/>
  <c r="AL84" i="14"/>
  <c r="AM84" i="14"/>
  <c r="AO84" i="14"/>
  <c r="AI84" i="14"/>
  <c r="AL107" i="14"/>
  <c r="AO107" i="14"/>
  <c r="AI107" i="14"/>
  <c r="AM107" i="14"/>
  <c r="AH107" i="14"/>
  <c r="S130" i="14"/>
  <c r="U130" i="14" s="1"/>
  <c r="V130" i="14" s="1"/>
  <c r="AF106" i="14"/>
  <c r="AG106" i="14"/>
  <c r="AK106" i="14"/>
  <c r="AN106" i="14"/>
  <c r="AJ106" i="14"/>
  <c r="AO142" i="14"/>
  <c r="AH142" i="14"/>
  <c r="AI142" i="14"/>
  <c r="AL142" i="14"/>
  <c r="AM142" i="14"/>
  <c r="AM116" i="14"/>
  <c r="AO116" i="14"/>
  <c r="AI116" i="14"/>
  <c r="AH116" i="14"/>
  <c r="AL116" i="14"/>
  <c r="AN85" i="14"/>
  <c r="AF85" i="14"/>
  <c r="AG85" i="14"/>
  <c r="AJ85" i="14"/>
  <c r="AK85" i="14"/>
  <c r="AI68" i="14"/>
  <c r="AL68" i="14"/>
  <c r="AM68" i="14"/>
  <c r="AO68" i="14"/>
  <c r="AH68" i="14"/>
  <c r="AG151" i="14"/>
  <c r="AK151" i="14"/>
  <c r="AN151" i="14"/>
  <c r="AF151" i="14"/>
  <c r="AJ151" i="14"/>
  <c r="AO57" i="14"/>
  <c r="AH57" i="14"/>
  <c r="AI57" i="14"/>
  <c r="AL57" i="14"/>
  <c r="AM57" i="14"/>
  <c r="AF84" i="14"/>
  <c r="AG84" i="14"/>
  <c r="AJ84" i="14"/>
  <c r="AK84" i="14"/>
  <c r="AN84" i="14"/>
  <c r="AJ107" i="14"/>
  <c r="AF107" i="14"/>
  <c r="AG107" i="14"/>
  <c r="AN107" i="14"/>
  <c r="AK107" i="14"/>
  <c r="AO106" i="14"/>
  <c r="AH106" i="14"/>
  <c r="AM106" i="14"/>
  <c r="AI106" i="14"/>
  <c r="AL106" i="14"/>
  <c r="AN142" i="14"/>
  <c r="AG142" i="14"/>
  <c r="AJ142" i="14"/>
  <c r="AF142" i="14"/>
  <c r="AK142" i="14"/>
  <c r="AN116" i="14"/>
  <c r="AG116" i="14"/>
  <c r="AK116" i="14"/>
  <c r="AF116" i="14"/>
  <c r="AJ116" i="14"/>
  <c r="AI98" i="14"/>
  <c r="AM98" i="14"/>
  <c r="AH98" i="14"/>
  <c r="AL98" i="14"/>
  <c r="AO98" i="14"/>
  <c r="AH56" i="14"/>
  <c r="AI56" i="14"/>
  <c r="AL56" i="14"/>
  <c r="AM56" i="14"/>
  <c r="AO56" i="14"/>
  <c r="AI91" i="14"/>
  <c r="AL91" i="14"/>
  <c r="AM91" i="14"/>
  <c r="AH91" i="14"/>
  <c r="AO91" i="14"/>
  <c r="AH117" i="14"/>
  <c r="AI117" i="14"/>
  <c r="AL117" i="14"/>
  <c r="AM117" i="14"/>
  <c r="AO117" i="14"/>
  <c r="AF94" i="14"/>
  <c r="AG94" i="14"/>
  <c r="AJ94" i="14"/>
  <c r="AN94" i="14"/>
  <c r="AK94" i="14"/>
  <c r="AI121" i="14"/>
  <c r="AL121" i="14"/>
  <c r="AM121" i="14"/>
  <c r="AO121" i="14"/>
  <c r="AH121" i="14"/>
  <c r="AC138" i="14"/>
  <c r="AB138" i="14"/>
  <c r="AH99" i="14"/>
  <c r="AL99" i="14"/>
  <c r="AM99" i="14"/>
  <c r="AO99" i="14"/>
  <c r="AI99" i="14"/>
  <c r="AB96" i="14"/>
  <c r="AC96" i="14"/>
  <c r="AB118" i="14"/>
  <c r="AC118" i="14"/>
  <c r="AL126" i="14"/>
  <c r="AH126" i="14"/>
  <c r="AI126" i="14"/>
  <c r="AO126" i="14"/>
  <c r="AM126" i="14"/>
  <c r="AH71" i="14"/>
  <c r="AI71" i="14"/>
  <c r="AL71" i="14"/>
  <c r="AM71" i="14"/>
  <c r="AO71" i="14"/>
  <c r="AG98" i="14"/>
  <c r="AJ98" i="14"/>
  <c r="AK98" i="14"/>
  <c r="AF98" i="14"/>
  <c r="AN98" i="14"/>
  <c r="AJ56" i="14"/>
  <c r="AK56" i="14"/>
  <c r="AN56" i="14"/>
  <c r="AF56" i="14"/>
  <c r="AG56" i="14"/>
  <c r="AG91" i="14"/>
  <c r="AK91" i="14"/>
  <c r="AN91" i="14"/>
  <c r="AF91" i="14"/>
  <c r="AJ91" i="14"/>
  <c r="AJ117" i="14"/>
  <c r="AN117" i="14"/>
  <c r="AF117" i="14"/>
  <c r="AG117" i="14"/>
  <c r="AK117" i="14"/>
  <c r="AL94" i="14"/>
  <c r="AO94" i="14"/>
  <c r="AI94" i="14"/>
  <c r="AH94" i="14"/>
  <c r="AM94" i="14"/>
  <c r="AN121" i="14"/>
  <c r="AF121" i="14"/>
  <c r="AJ121" i="14"/>
  <c r="AG121" i="14"/>
  <c r="AK121" i="14"/>
  <c r="AK99" i="14"/>
  <c r="AN99" i="14"/>
  <c r="AF99" i="14"/>
  <c r="AG99" i="14"/>
  <c r="AJ99" i="14"/>
  <c r="AJ126" i="14"/>
  <c r="AK126" i="14"/>
  <c r="AN126" i="14"/>
  <c r="AF126" i="14"/>
  <c r="AG126" i="14"/>
  <c r="AF71" i="14"/>
  <c r="AG71" i="14"/>
  <c r="AJ71" i="14"/>
  <c r="AK71" i="14"/>
  <c r="AN71" i="14"/>
  <c r="BK112" i="14"/>
  <c r="AG149" i="14"/>
  <c r="AJ149" i="14"/>
  <c r="AK149" i="14"/>
  <c r="AF149" i="14"/>
  <c r="AN149" i="14"/>
  <c r="AL88" i="14"/>
  <c r="AH88" i="14"/>
  <c r="AI88" i="14"/>
  <c r="AM88" i="14"/>
  <c r="AO88" i="14"/>
  <c r="AI93" i="14"/>
  <c r="AM93" i="14"/>
  <c r="AH93" i="14"/>
  <c r="AL93" i="14"/>
  <c r="AO93" i="14"/>
  <c r="AJ108" i="14"/>
  <c r="AK108" i="14"/>
  <c r="AN108" i="14"/>
  <c r="AF108" i="14"/>
  <c r="AG108" i="14"/>
  <c r="AL58" i="14"/>
  <c r="AM58" i="14"/>
  <c r="AO58" i="14"/>
  <c r="AH58" i="14"/>
  <c r="AI58" i="14"/>
  <c r="AL110" i="14"/>
  <c r="AM110" i="14"/>
  <c r="AI110" i="14"/>
  <c r="AH110" i="14"/>
  <c r="AO110" i="14"/>
  <c r="AC155" i="14"/>
  <c r="AB155" i="14"/>
  <c r="S129" i="14"/>
  <c r="U129" i="14" s="1"/>
  <c r="V129" i="14" s="1"/>
  <c r="AH61" i="14"/>
  <c r="AI61" i="14"/>
  <c r="AL61" i="14"/>
  <c r="AM61" i="14"/>
  <c r="AO61" i="14"/>
  <c r="AC146" i="14"/>
  <c r="AB146" i="14"/>
  <c r="AC145" i="14"/>
  <c r="AB145" i="14"/>
  <c r="AI149" i="14"/>
  <c r="AL149" i="14"/>
  <c r="AM149" i="14"/>
  <c r="AO149" i="14"/>
  <c r="AH149" i="14"/>
  <c r="AJ88" i="14"/>
  <c r="AK88" i="14"/>
  <c r="AN88" i="14"/>
  <c r="AF88" i="14"/>
  <c r="AG88" i="14"/>
  <c r="AK93" i="14"/>
  <c r="AN93" i="14"/>
  <c r="AF93" i="14"/>
  <c r="AG93" i="14"/>
  <c r="AJ93" i="14"/>
  <c r="AO108" i="14"/>
  <c r="AH108" i="14"/>
  <c r="AM108" i="14"/>
  <c r="AI108" i="14"/>
  <c r="AL108" i="14"/>
  <c r="AJ58" i="14"/>
  <c r="AK58" i="14"/>
  <c r="AN58" i="14"/>
  <c r="AF58" i="14"/>
  <c r="AG58" i="14"/>
  <c r="AF110" i="14"/>
  <c r="AJ110" i="14"/>
  <c r="AK110" i="14"/>
  <c r="AN110" i="14"/>
  <c r="AG110" i="14"/>
  <c r="AG61" i="14"/>
  <c r="AK61" i="14"/>
  <c r="AN61" i="14"/>
  <c r="AF61" i="14"/>
  <c r="AJ61" i="14"/>
  <c r="AH64" i="14"/>
  <c r="AI64" i="14"/>
  <c r="AL64" i="14"/>
  <c r="AM64" i="14"/>
  <c r="AO64" i="14"/>
  <c r="AL60" i="14"/>
  <c r="AM60" i="14"/>
  <c r="AH60" i="14"/>
  <c r="AI60" i="14"/>
  <c r="AO60" i="14"/>
  <c r="AH147" i="14"/>
  <c r="AL147" i="14"/>
  <c r="AM147" i="14"/>
  <c r="AI147" i="14"/>
  <c r="AO147" i="14"/>
  <c r="AO62" i="14"/>
  <c r="AI62" i="14"/>
  <c r="AL62" i="14"/>
  <c r="AM62" i="14"/>
  <c r="AH62" i="14"/>
  <c r="AF100" i="14"/>
  <c r="AK100" i="14"/>
  <c r="AG100" i="14"/>
  <c r="AJ100" i="14"/>
  <c r="AN100" i="14"/>
  <c r="AF120" i="14"/>
  <c r="AG120" i="14"/>
  <c r="AK120" i="14"/>
  <c r="AN120" i="14"/>
  <c r="AJ120" i="14"/>
  <c r="AM101" i="14"/>
  <c r="AH101" i="14"/>
  <c r="AL101" i="14"/>
  <c r="AO101" i="14"/>
  <c r="AI101" i="14"/>
  <c r="AI59" i="14"/>
  <c r="AL59" i="14"/>
  <c r="AM59" i="14"/>
  <c r="AO59" i="14"/>
  <c r="AH59" i="14"/>
  <c r="AF64" i="14"/>
  <c r="AK64" i="14"/>
  <c r="AN64" i="14"/>
  <c r="AG64" i="14"/>
  <c r="AJ64" i="14"/>
  <c r="AN60" i="14"/>
  <c r="AF60" i="14"/>
  <c r="AG60" i="14"/>
  <c r="AJ60" i="14"/>
  <c r="AK60" i="14"/>
  <c r="AN147" i="14"/>
  <c r="AG147" i="14"/>
  <c r="AK147" i="14"/>
  <c r="AJ147" i="14"/>
  <c r="AF147" i="14"/>
  <c r="AN62" i="14"/>
  <c r="AF62" i="14"/>
  <c r="AG62" i="14"/>
  <c r="AJ62" i="14"/>
  <c r="AK62" i="14"/>
  <c r="AI100" i="14"/>
  <c r="AL100" i="14"/>
  <c r="AM100" i="14"/>
  <c r="AO100" i="14"/>
  <c r="AH100" i="14"/>
  <c r="AM120" i="14"/>
  <c r="AO120" i="14"/>
  <c r="AI120" i="14"/>
  <c r="AL120" i="14"/>
  <c r="AH120" i="14"/>
  <c r="I89" i="9"/>
  <c r="Q131" i="14" s="1"/>
  <c r="J35" i="9"/>
  <c r="R77" i="14" s="1"/>
  <c r="I34" i="9"/>
  <c r="Q76" i="14" s="1"/>
  <c r="E76" i="14" s="1"/>
  <c r="J89" i="9"/>
  <c r="R131" i="14" s="1"/>
  <c r="K278" i="37"/>
  <c r="I278" i="37"/>
  <c r="L278" i="37"/>
  <c r="L264" i="37"/>
  <c r="I242" i="37"/>
  <c r="K264" i="37"/>
  <c r="J258" i="37"/>
  <c r="J264" i="37" s="1"/>
  <c r="J228" i="37"/>
  <c r="I258" i="37"/>
  <c r="I264" i="37" s="1"/>
  <c r="I228" i="37"/>
  <c r="J272" i="37"/>
  <c r="J278" i="37" s="1"/>
  <c r="J242" i="37"/>
  <c r="K37" i="25"/>
  <c r="J26" i="24" s="1"/>
  <c r="AC26" i="24" s="1"/>
  <c r="I37" i="25"/>
  <c r="G192" i="40" s="1"/>
  <c r="J37" i="25"/>
  <c r="I26" i="24" s="1"/>
  <c r="AA26" i="24" s="1"/>
  <c r="J67" i="25"/>
  <c r="I52" i="24" s="1"/>
  <c r="AA52" i="24" s="1"/>
  <c r="H67" i="25"/>
  <c r="L192" i="40" s="1"/>
  <c r="K241" i="40" s="1"/>
  <c r="K298" i="40" s="1"/>
  <c r="K67" i="25"/>
  <c r="J52" i="24" s="1"/>
  <c r="AC52" i="24" s="1"/>
  <c r="H46" i="31"/>
  <c r="J46" i="31" s="1"/>
  <c r="H46" i="32"/>
  <c r="J46" i="32" s="1"/>
  <c r="G43" i="32"/>
  <c r="F43" i="32" s="1"/>
  <c r="G43" i="31"/>
  <c r="F43" i="31" s="1"/>
  <c r="G40" i="32"/>
  <c r="F40" i="32" s="1"/>
  <c r="G40" i="31"/>
  <c r="F40" i="31" s="1"/>
  <c r="F50" i="33"/>
  <c r="G44" i="32"/>
  <c r="F44" i="32" s="1"/>
  <c r="G44" i="31"/>
  <c r="F44" i="31" s="1"/>
  <c r="G41" i="32"/>
  <c r="F41" i="32" s="1"/>
  <c r="G41" i="31"/>
  <c r="F41" i="31" s="1"/>
  <c r="O69" i="25"/>
  <c r="N69" i="25"/>
  <c r="G68" i="25"/>
  <c r="H68" i="25" s="1"/>
  <c r="L193" i="40" s="1"/>
  <c r="K242" i="40" s="1"/>
  <c r="K299" i="40" s="1"/>
  <c r="Q68" i="25"/>
  <c r="S68" i="25"/>
  <c r="G38" i="25"/>
  <c r="H38" i="25" s="1"/>
  <c r="F193" i="40" s="1"/>
  <c r="K220" i="40" s="1"/>
  <c r="K278" i="40" s="1"/>
  <c r="S38" i="25"/>
  <c r="Q38" i="25"/>
  <c r="N39" i="25"/>
  <c r="P38" i="25"/>
  <c r="AB39" i="25"/>
  <c r="O39" i="25"/>
  <c r="F62" i="33"/>
  <c r="K13" i="33"/>
  <c r="F58" i="31" s="1"/>
  <c r="D72" i="7"/>
  <c r="D196" i="7" s="1"/>
  <c r="D236" i="7" s="1"/>
  <c r="F38" i="33"/>
  <c r="H44" i="32"/>
  <c r="J44" i="32" s="1"/>
  <c r="F26" i="33"/>
  <c r="F59" i="33"/>
  <c r="H44" i="31"/>
  <c r="J44" i="31" s="1"/>
  <c r="H41" i="32"/>
  <c r="J41" i="32" s="1"/>
  <c r="F53" i="33"/>
  <c r="F35" i="33"/>
  <c r="H41" i="31"/>
  <c r="J41" i="31" s="1"/>
  <c r="F29" i="33"/>
  <c r="U54" i="14"/>
  <c r="V54" i="14" s="1"/>
  <c r="F28" i="33"/>
  <c r="F25" i="33"/>
  <c r="H43" i="32"/>
  <c r="J43" i="32" s="1"/>
  <c r="G46" i="32"/>
  <c r="F46" i="32" s="1"/>
  <c r="H43" i="31"/>
  <c r="J43" i="31" s="1"/>
  <c r="F58" i="33"/>
  <c r="H40" i="31"/>
  <c r="J40" i="31" s="1"/>
  <c r="K12" i="33"/>
  <c r="G58" i="33" s="1"/>
  <c r="J63" i="31" s="1"/>
  <c r="F37" i="33"/>
  <c r="H40" i="32"/>
  <c r="J40" i="32" s="1"/>
  <c r="F34" i="33"/>
  <c r="G46" i="31"/>
  <c r="F46" i="31" s="1"/>
  <c r="F49" i="33"/>
  <c r="F52" i="33"/>
  <c r="F61" i="33"/>
  <c r="J47" i="31"/>
  <c r="I241" i="40"/>
  <c r="I298" i="40" s="1"/>
  <c r="G240" i="40"/>
  <c r="G297" i="40" s="1"/>
  <c r="E240" i="40"/>
  <c r="E297" i="40" s="1"/>
  <c r="J241" i="40"/>
  <c r="J298" i="40" s="1"/>
  <c r="H240" i="40"/>
  <c r="H297" i="40" s="1"/>
  <c r="F240" i="40"/>
  <c r="F297" i="40" s="1"/>
  <c r="G218" i="40"/>
  <c r="G276" i="40" s="1"/>
  <c r="E218" i="40"/>
  <c r="E276" i="40" s="1"/>
  <c r="L219" i="40"/>
  <c r="L277" i="40" s="1"/>
  <c r="J219" i="40"/>
  <c r="J277" i="40" s="1"/>
  <c r="K219" i="40"/>
  <c r="K277" i="40" s="1"/>
  <c r="I219" i="40"/>
  <c r="I277" i="40" s="1"/>
  <c r="H218" i="40"/>
  <c r="H276" i="40" s="1"/>
  <c r="F218" i="40"/>
  <c r="F276" i="40" s="1"/>
  <c r="E131" i="7"/>
  <c r="D93" i="7"/>
  <c r="D133" i="7" s="1"/>
  <c r="H165" i="7"/>
  <c r="L169" i="1" s="1"/>
  <c r="D216" i="7"/>
  <c r="D256" i="7" s="1"/>
  <c r="H41" i="7"/>
  <c r="L141" i="1" s="1"/>
  <c r="D73" i="7"/>
  <c r="D197" i="7" s="1"/>
  <c r="D237" i="7" s="1"/>
  <c r="D132" i="7"/>
  <c r="J97" i="5"/>
  <c r="G172" i="1"/>
  <c r="E98" i="5" s="1"/>
  <c r="F98" i="5" s="1"/>
  <c r="D98" i="5"/>
  <c r="I98" i="5" s="1"/>
  <c r="J45" i="5"/>
  <c r="G143" i="1"/>
  <c r="E46" i="5" s="1"/>
  <c r="F46" i="5" s="1"/>
  <c r="D46" i="5"/>
  <c r="I46" i="5" s="1"/>
  <c r="K33" i="40"/>
  <c r="L33" i="40" s="1"/>
  <c r="L30" i="37"/>
  <c r="D53" i="23"/>
  <c r="C54" i="24"/>
  <c r="J170" i="1"/>
  <c r="J192" i="40"/>
  <c r="K192" i="40"/>
  <c r="E53" i="24"/>
  <c r="M29" i="37"/>
  <c r="F30" i="37"/>
  <c r="E33" i="40"/>
  <c r="F33" i="40" s="1"/>
  <c r="C28" i="24"/>
  <c r="J142" i="1"/>
  <c r="D28" i="23"/>
  <c r="E27" i="24"/>
  <c r="D192" i="40"/>
  <c r="G29" i="37"/>
  <c r="E192" i="40"/>
  <c r="Q75" i="1"/>
  <c r="Q74" i="1"/>
  <c r="L75" i="10"/>
  <c r="Q76" i="1" s="1"/>
  <c r="F74" i="10"/>
  <c r="A87" i="40"/>
  <c r="I47" i="31"/>
  <c r="I47" i="32"/>
  <c r="D41" i="25"/>
  <c r="A40" i="25"/>
  <c r="E40" i="25"/>
  <c r="F40" i="25"/>
  <c r="D71" i="25"/>
  <c r="A70" i="25"/>
  <c r="E70" i="25"/>
  <c r="F70" i="25"/>
  <c r="D222" i="40"/>
  <c r="C88" i="40"/>
  <c r="C133" i="40" s="1"/>
  <c r="A133" i="40" s="1"/>
  <c r="A278" i="40"/>
  <c r="D279" i="40"/>
  <c r="A221" i="40"/>
  <c r="C61" i="40"/>
  <c r="A61" i="40" s="1"/>
  <c r="D36" i="40"/>
  <c r="A36" i="40" s="1"/>
  <c r="C196" i="40"/>
  <c r="A196" i="40" s="1"/>
  <c r="C160" i="40"/>
  <c r="A160" i="40" s="1"/>
  <c r="A300" i="40"/>
  <c r="D301" i="40"/>
  <c r="A244" i="40"/>
  <c r="I89" i="40"/>
  <c r="J37" i="40"/>
  <c r="I62" i="40"/>
  <c r="I197" i="40"/>
  <c r="D245" i="40"/>
  <c r="C179" i="37"/>
  <c r="A179" i="37" s="1"/>
  <c r="N110" i="37"/>
  <c r="A110" i="37"/>
  <c r="X110" i="37"/>
  <c r="I58" i="37"/>
  <c r="K33" i="37"/>
  <c r="C111" i="37"/>
  <c r="C58" i="37"/>
  <c r="E33" i="37"/>
  <c r="A32" i="37"/>
  <c r="C85" i="37"/>
  <c r="A57" i="37"/>
  <c r="N84" i="37"/>
  <c r="X84" i="37"/>
  <c r="A84" i="37"/>
  <c r="C152" i="37"/>
  <c r="A152" i="37" s="1"/>
  <c r="A55" i="24"/>
  <c r="D173" i="1"/>
  <c r="C55" i="23"/>
  <c r="B56" i="24"/>
  <c r="C172" i="1"/>
  <c r="K172" i="1" s="1"/>
  <c r="A29" i="24"/>
  <c r="H143" i="1"/>
  <c r="I143" i="1" s="1"/>
  <c r="A143" i="1"/>
  <c r="P60" i="37"/>
  <c r="O60" i="37"/>
  <c r="B61" i="37"/>
  <c r="H171" i="1"/>
  <c r="I171" i="1" s="1"/>
  <c r="A171" i="1"/>
  <c r="A54" i="23"/>
  <c r="A29" i="23"/>
  <c r="D145" i="1"/>
  <c r="C144" i="1"/>
  <c r="K144" i="1" s="1"/>
  <c r="C30" i="23"/>
  <c r="B30" i="24"/>
  <c r="E132" i="7"/>
  <c r="E216" i="7"/>
  <c r="E256" i="7" s="1"/>
  <c r="H61" i="37"/>
  <c r="AU66" i="14" l="1"/>
  <c r="AV152" i="14"/>
  <c r="AV66" i="14"/>
  <c r="AU87" i="14"/>
  <c r="AS65" i="14"/>
  <c r="AU121" i="14"/>
  <c r="AS61" i="14"/>
  <c r="AS152" i="14"/>
  <c r="AU149" i="14"/>
  <c r="AV148" i="14"/>
  <c r="AU148" i="14"/>
  <c r="AV147" i="14"/>
  <c r="AV144" i="14"/>
  <c r="AU144" i="14"/>
  <c r="AW144" i="14" s="1"/>
  <c r="Z144" i="14" s="1"/>
  <c r="AA144" i="14" s="1"/>
  <c r="AR144" i="14"/>
  <c r="AS144" i="14"/>
  <c r="AV142" i="14"/>
  <c r="AS142" i="14"/>
  <c r="AU142" i="14"/>
  <c r="AV140" i="14"/>
  <c r="AV127" i="14"/>
  <c r="AS126" i="14"/>
  <c r="AV126" i="14"/>
  <c r="AU124" i="14"/>
  <c r="AS124" i="14"/>
  <c r="AU119" i="14"/>
  <c r="AS119" i="14"/>
  <c r="AR119" i="14"/>
  <c r="AV119" i="14"/>
  <c r="AU117" i="14"/>
  <c r="AS117" i="14"/>
  <c r="AR116" i="14"/>
  <c r="AS112" i="14"/>
  <c r="AR112" i="14"/>
  <c r="AT112" i="14" s="1"/>
  <c r="Y112" i="14" s="1"/>
  <c r="AR110" i="14"/>
  <c r="AT110" i="14" s="1"/>
  <c r="Y110" i="14" s="1"/>
  <c r="AV110" i="14"/>
  <c r="AS107" i="14"/>
  <c r="AU100" i="14"/>
  <c r="AS98" i="14"/>
  <c r="AR98" i="14"/>
  <c r="AU94" i="14"/>
  <c r="AV93" i="14"/>
  <c r="AR93" i="14"/>
  <c r="AV89" i="14"/>
  <c r="AR89" i="14"/>
  <c r="AS88" i="14"/>
  <c r="AV88" i="14"/>
  <c r="AU85" i="14"/>
  <c r="AV71" i="14"/>
  <c r="AU71" i="14"/>
  <c r="AW71" i="14" s="1"/>
  <c r="Z71" i="14" s="1"/>
  <c r="AS68" i="14"/>
  <c r="AS67" i="14"/>
  <c r="AW66" i="14"/>
  <c r="Z66" i="14" s="1"/>
  <c r="AS66" i="14"/>
  <c r="AT66" i="14" s="1"/>
  <c r="Y66" i="14" s="1"/>
  <c r="AS64" i="14"/>
  <c r="AR64" i="14"/>
  <c r="AU61" i="14"/>
  <c r="AV60" i="14"/>
  <c r="AS60" i="14"/>
  <c r="AR55" i="14"/>
  <c r="AB129" i="14"/>
  <c r="AC129" i="14"/>
  <c r="S76" i="14"/>
  <c r="U76" i="14" s="1"/>
  <c r="V76" i="14" s="1"/>
  <c r="AB130" i="14"/>
  <c r="AC130" i="14"/>
  <c r="AB75" i="14"/>
  <c r="AC75" i="14"/>
  <c r="AU104" i="14"/>
  <c r="G66" i="14"/>
  <c r="AA66" i="14"/>
  <c r="AH69" i="14"/>
  <c r="AM69" i="14"/>
  <c r="AI69" i="14"/>
  <c r="AL69" i="14"/>
  <c r="AO69" i="14"/>
  <c r="AN97" i="14"/>
  <c r="AF97" i="14"/>
  <c r="AG97" i="14"/>
  <c r="AK97" i="14"/>
  <c r="AJ97" i="14"/>
  <c r="AH86" i="14"/>
  <c r="AI86" i="14"/>
  <c r="AL86" i="14"/>
  <c r="AO86" i="14"/>
  <c r="AM86" i="14"/>
  <c r="AI113" i="14"/>
  <c r="AM113" i="14"/>
  <c r="AO113" i="14"/>
  <c r="AL113" i="14"/>
  <c r="AH113" i="14"/>
  <c r="AH141" i="14"/>
  <c r="AM141" i="14"/>
  <c r="AI141" i="14"/>
  <c r="AL141" i="14"/>
  <c r="AO141" i="14"/>
  <c r="AR147" i="14"/>
  <c r="AS110" i="14"/>
  <c r="AU88" i="14"/>
  <c r="AS149" i="14"/>
  <c r="AR126" i="14"/>
  <c r="AR121" i="14"/>
  <c r="AU91" i="14"/>
  <c r="AV98" i="14"/>
  <c r="AR142" i="14"/>
  <c r="AT142" i="14" s="1"/>
  <c r="Y142" i="14" s="1"/>
  <c r="AR107" i="14"/>
  <c r="AT107" i="14" s="1"/>
  <c r="Y107" i="14" s="1"/>
  <c r="AU151" i="14"/>
  <c r="AS85" i="14"/>
  <c r="AV67" i="14"/>
  <c r="AS127" i="14"/>
  <c r="AH114" i="14"/>
  <c r="AL114" i="14"/>
  <c r="AM114" i="14"/>
  <c r="AO114" i="14"/>
  <c r="AI114" i="14"/>
  <c r="AR104" i="14"/>
  <c r="AV143" i="14"/>
  <c r="AU89" i="14"/>
  <c r="AW89" i="14" s="1"/>
  <c r="Z89" i="14" s="1"/>
  <c r="AG69" i="14"/>
  <c r="AJ69" i="14"/>
  <c r="AK69" i="14"/>
  <c r="AF69" i="14"/>
  <c r="AN69" i="14"/>
  <c r="AS87" i="14"/>
  <c r="AR65" i="14"/>
  <c r="AT65" i="14" s="1"/>
  <c r="Y65" i="14" s="1"/>
  <c r="AU122" i="14"/>
  <c r="AH154" i="14"/>
  <c r="AO154" i="14"/>
  <c r="AM154" i="14"/>
  <c r="AI154" i="14"/>
  <c r="AL154" i="14"/>
  <c r="AJ86" i="14"/>
  <c r="AN86" i="14"/>
  <c r="AF86" i="14"/>
  <c r="AG86" i="14"/>
  <c r="AK86" i="14"/>
  <c r="AG113" i="14"/>
  <c r="AJ113" i="14"/>
  <c r="AN113" i="14"/>
  <c r="AF113" i="14"/>
  <c r="AK113" i="14"/>
  <c r="AG141" i="14"/>
  <c r="AN141" i="14"/>
  <c r="AF141" i="14"/>
  <c r="AJ141" i="14"/>
  <c r="AK141" i="14"/>
  <c r="AU147" i="14"/>
  <c r="AW147" i="14" s="1"/>
  <c r="Z147" i="14" s="1"/>
  <c r="AV64" i="14"/>
  <c r="AU120" i="14"/>
  <c r="AR91" i="14"/>
  <c r="AU98" i="14"/>
  <c r="AI118" i="14"/>
  <c r="AM118" i="14"/>
  <c r="AH118" i="14"/>
  <c r="AL118" i="14"/>
  <c r="AO118" i="14"/>
  <c r="AW142" i="14"/>
  <c r="Z142" i="14" s="1"/>
  <c r="AU107" i="14"/>
  <c r="AR151" i="14"/>
  <c r="AR85" i="14"/>
  <c r="AU106" i="14"/>
  <c r="AR67" i="14"/>
  <c r="AT67" i="14" s="1"/>
  <c r="Y67" i="14" s="1"/>
  <c r="AR127" i="14"/>
  <c r="AN114" i="14"/>
  <c r="AF114" i="14"/>
  <c r="AG114" i="14"/>
  <c r="AJ114" i="14"/>
  <c r="AK114" i="14"/>
  <c r="AR143" i="14"/>
  <c r="AS148" i="14"/>
  <c r="AT148" i="14" s="1"/>
  <c r="Y148" i="14" s="1"/>
  <c r="AV65" i="14"/>
  <c r="AS122" i="14"/>
  <c r="AK154" i="14"/>
  <c r="AF154" i="14"/>
  <c r="AG154" i="14"/>
  <c r="AJ154" i="14"/>
  <c r="AN154" i="14"/>
  <c r="AG82" i="14"/>
  <c r="AJ82" i="14"/>
  <c r="AK82" i="14"/>
  <c r="AN82" i="14"/>
  <c r="AF82" i="14"/>
  <c r="AF139" i="14"/>
  <c r="AJ139" i="14"/>
  <c r="AK139" i="14"/>
  <c r="AG139" i="14"/>
  <c r="AN139" i="14"/>
  <c r="AI73" i="14"/>
  <c r="AM73" i="14"/>
  <c r="AO73" i="14"/>
  <c r="AH73" i="14"/>
  <c r="AL73" i="14"/>
  <c r="AG118" i="14"/>
  <c r="AK118" i="14"/>
  <c r="AN118" i="14"/>
  <c r="AF118" i="14"/>
  <c r="AJ118" i="14"/>
  <c r="AS143" i="14"/>
  <c r="AV101" i="14"/>
  <c r="AL82" i="14"/>
  <c r="AH82" i="14"/>
  <c r="AI82" i="14"/>
  <c r="AM82" i="14"/>
  <c r="AO82" i="14"/>
  <c r="AL139" i="14"/>
  <c r="AO139" i="14"/>
  <c r="AI139" i="14"/>
  <c r="AM139" i="14"/>
  <c r="AH139" i="14"/>
  <c r="AJ73" i="14"/>
  <c r="AK73" i="14"/>
  <c r="AN73" i="14"/>
  <c r="AF73" i="14"/>
  <c r="AG73" i="14"/>
  <c r="AS147" i="14"/>
  <c r="AV120" i="14"/>
  <c r="AU110" i="14"/>
  <c r="AW110" i="14" s="1"/>
  <c r="Z110" i="14" s="1"/>
  <c r="AU93" i="14"/>
  <c r="AW93" i="14" s="1"/>
  <c r="Z93" i="14" s="1"/>
  <c r="AU126" i="14"/>
  <c r="AV91" i="14"/>
  <c r="AH96" i="14"/>
  <c r="AI96" i="14"/>
  <c r="AL96" i="14"/>
  <c r="AM96" i="14"/>
  <c r="AO96" i="14"/>
  <c r="AV84" i="14"/>
  <c r="AV151" i="14"/>
  <c r="AV106" i="14"/>
  <c r="AU152" i="14"/>
  <c r="AW152" i="14" s="1"/>
  <c r="Z152" i="14" s="1"/>
  <c r="AU140" i="14"/>
  <c r="AW140" i="14" s="1"/>
  <c r="Z140" i="14" s="1"/>
  <c r="AU143" i="14"/>
  <c r="AS89" i="14"/>
  <c r="AT89" i="14" s="1"/>
  <c r="Y89" i="14" s="1"/>
  <c r="AV122" i="14"/>
  <c r="AI74" i="14"/>
  <c r="AL74" i="14"/>
  <c r="AM74" i="14"/>
  <c r="AO74" i="14"/>
  <c r="AH74" i="14"/>
  <c r="AL90" i="14"/>
  <c r="AH90" i="14"/>
  <c r="AI90" i="14"/>
  <c r="AM90" i="14"/>
  <c r="AO90" i="14"/>
  <c r="AM102" i="14"/>
  <c r="AO102" i="14"/>
  <c r="AI102" i="14"/>
  <c r="AL102" i="14"/>
  <c r="AH102" i="14"/>
  <c r="AS93" i="14"/>
  <c r="AT93" i="14" s="1"/>
  <c r="Y93" i="14" s="1"/>
  <c r="BK113" i="14"/>
  <c r="AU99" i="14"/>
  <c r="AS91" i="14"/>
  <c r="AN96" i="14"/>
  <c r="AG96" i="14"/>
  <c r="AK96" i="14"/>
  <c r="AJ96" i="14"/>
  <c r="AF96" i="14"/>
  <c r="AU84" i="14"/>
  <c r="AS151" i="14"/>
  <c r="AS106" i="14"/>
  <c r="AS140" i="14"/>
  <c r="AR122" i="14"/>
  <c r="AU101" i="14"/>
  <c r="AJ74" i="14"/>
  <c r="AK74" i="14"/>
  <c r="AN74" i="14"/>
  <c r="AF74" i="14"/>
  <c r="AG74" i="14"/>
  <c r="AN90" i="14"/>
  <c r="AG90" i="14"/>
  <c r="AF90" i="14"/>
  <c r="AJ90" i="14"/>
  <c r="AK90" i="14"/>
  <c r="AV90" i="14" s="1"/>
  <c r="AK102" i="14"/>
  <c r="AN102" i="14"/>
  <c r="AJ102" i="14"/>
  <c r="AF102" i="14"/>
  <c r="AG102" i="14"/>
  <c r="E131" i="14"/>
  <c r="AR120" i="14"/>
  <c r="AS58" i="14"/>
  <c r="AF155" i="14"/>
  <c r="AG155" i="14"/>
  <c r="AJ155" i="14"/>
  <c r="AK155" i="14"/>
  <c r="AN155" i="14"/>
  <c r="AS108" i="14"/>
  <c r="AS99" i="14"/>
  <c r="AS56" i="14"/>
  <c r="AV94" i="14"/>
  <c r="AW94" i="14" s="1"/>
  <c r="Z94" i="14" s="1"/>
  <c r="AS84" i="14"/>
  <c r="AR106" i="14"/>
  <c r="AR152" i="14"/>
  <c r="AT152" i="14" s="1"/>
  <c r="Y152" i="14" s="1"/>
  <c r="AV95" i="14"/>
  <c r="AT119" i="14"/>
  <c r="Y119" i="14" s="1"/>
  <c r="AR140" i="14"/>
  <c r="AU83" i="14"/>
  <c r="AR125" i="14"/>
  <c r="AS101" i="14"/>
  <c r="AH115" i="14"/>
  <c r="AL115" i="14"/>
  <c r="AM115" i="14"/>
  <c r="AO115" i="14"/>
  <c r="AI115" i="14"/>
  <c r="AM92" i="14"/>
  <c r="AH92" i="14"/>
  <c r="AI92" i="14"/>
  <c r="AL92" i="14"/>
  <c r="AO92" i="14"/>
  <c r="AO72" i="14"/>
  <c r="AH72" i="14"/>
  <c r="AI72" i="14"/>
  <c r="AL72" i="14"/>
  <c r="AM72" i="14"/>
  <c r="AT64" i="14"/>
  <c r="Y64" i="14" s="1"/>
  <c r="AS120" i="14"/>
  <c r="AU60" i="14"/>
  <c r="AR58" i="14"/>
  <c r="AT58" i="14" s="1"/>
  <c r="Y58" i="14" s="1"/>
  <c r="AF145" i="14"/>
  <c r="AG145" i="14"/>
  <c r="AJ145" i="14"/>
  <c r="AK145" i="14"/>
  <c r="AN145" i="14"/>
  <c r="AO155" i="14"/>
  <c r="AH155" i="14"/>
  <c r="AI155" i="14"/>
  <c r="AL155" i="14"/>
  <c r="AM155" i="14"/>
  <c r="AR108" i="14"/>
  <c r="AR99" i="14"/>
  <c r="AR56" i="14"/>
  <c r="AU116" i="14"/>
  <c r="AR84" i="14"/>
  <c r="AV68" i="14"/>
  <c r="AR95" i="14"/>
  <c r="AS83" i="14"/>
  <c r="AI153" i="14"/>
  <c r="AM153" i="14"/>
  <c r="AH153" i="14"/>
  <c r="AL153" i="14"/>
  <c r="AO153" i="14"/>
  <c r="AV125" i="14"/>
  <c r="AV59" i="14"/>
  <c r="AR101" i="14"/>
  <c r="AF115" i="14"/>
  <c r="AG115" i="14"/>
  <c r="AJ115" i="14"/>
  <c r="AN115" i="14"/>
  <c r="AK115" i="14"/>
  <c r="AN92" i="14"/>
  <c r="AF92" i="14"/>
  <c r="AJ92" i="14"/>
  <c r="AK92" i="14"/>
  <c r="AG92" i="14"/>
  <c r="AN72" i="14"/>
  <c r="AF72" i="14"/>
  <c r="AG72" i="14"/>
  <c r="AJ72" i="14"/>
  <c r="AK72" i="14"/>
  <c r="AL145" i="14"/>
  <c r="AI145" i="14"/>
  <c r="AH145" i="14"/>
  <c r="AO145" i="14"/>
  <c r="AM145" i="14"/>
  <c r="AV117" i="14"/>
  <c r="AW117" i="14" s="1"/>
  <c r="Z117" i="14" s="1"/>
  <c r="AV57" i="14"/>
  <c r="AR68" i="14"/>
  <c r="AT68" i="14" s="1"/>
  <c r="Y68" i="14" s="1"/>
  <c r="AW124" i="14"/>
  <c r="Z124" i="14" s="1"/>
  <c r="AR83" i="14"/>
  <c r="AU105" i="14"/>
  <c r="AV112" i="14"/>
  <c r="AN153" i="14"/>
  <c r="AF153" i="14"/>
  <c r="AG153" i="14"/>
  <c r="AJ153" i="14"/>
  <c r="AK153" i="14"/>
  <c r="AU125" i="14"/>
  <c r="AU59" i="14"/>
  <c r="AI63" i="14"/>
  <c r="AM63" i="14"/>
  <c r="AH63" i="14"/>
  <c r="AL63" i="14"/>
  <c r="AO63" i="14"/>
  <c r="AH123" i="14"/>
  <c r="AL123" i="14"/>
  <c r="AO123" i="14"/>
  <c r="AM123" i="14"/>
  <c r="AI123" i="14"/>
  <c r="AL70" i="14"/>
  <c r="AO70" i="14"/>
  <c r="AH70" i="14"/>
  <c r="AM70" i="14"/>
  <c r="AI70" i="14"/>
  <c r="AL128" i="14"/>
  <c r="AH128" i="14"/>
  <c r="AI128" i="14"/>
  <c r="AM128" i="14"/>
  <c r="AO128" i="14"/>
  <c r="AU62" i="14"/>
  <c r="AR60" i="14"/>
  <c r="AS100" i="14"/>
  <c r="AR61" i="14"/>
  <c r="AT61" i="14" s="1"/>
  <c r="Y61" i="14" s="1"/>
  <c r="AV58" i="14"/>
  <c r="AG146" i="14"/>
  <c r="AF146" i="14"/>
  <c r="AJ146" i="14"/>
  <c r="AN146" i="14"/>
  <c r="AK146" i="14"/>
  <c r="AV108" i="14"/>
  <c r="AV99" i="14"/>
  <c r="AV56" i="14"/>
  <c r="AS94" i="14"/>
  <c r="AV116" i="14"/>
  <c r="AU57" i="14"/>
  <c r="AU68" i="14"/>
  <c r="AU95" i="14"/>
  <c r="AW95" i="14" s="1"/>
  <c r="Z95" i="14" s="1"/>
  <c r="AV83" i="14"/>
  <c r="AV105" i="14"/>
  <c r="AU112" i="14"/>
  <c r="AV55" i="14"/>
  <c r="AR87" i="14"/>
  <c r="AT87" i="14" s="1"/>
  <c r="Y87" i="14" s="1"/>
  <c r="AS125" i="14"/>
  <c r="AS59" i="14"/>
  <c r="AJ63" i="14"/>
  <c r="AK63" i="14"/>
  <c r="AN63" i="14"/>
  <c r="AG63" i="14"/>
  <c r="AF63" i="14"/>
  <c r="AG123" i="14"/>
  <c r="AJ123" i="14"/>
  <c r="AK123" i="14"/>
  <c r="AN123" i="14"/>
  <c r="AF123" i="14"/>
  <c r="AK70" i="14"/>
  <c r="AN70" i="14"/>
  <c r="AF70" i="14"/>
  <c r="AG70" i="14"/>
  <c r="AJ70" i="14"/>
  <c r="AN128" i="14"/>
  <c r="AF128" i="14"/>
  <c r="AG128" i="14"/>
  <c r="AJ128" i="14"/>
  <c r="AK128" i="14"/>
  <c r="AI138" i="14"/>
  <c r="AO138" i="14"/>
  <c r="AH138" i="14"/>
  <c r="AL138" i="14"/>
  <c r="AM138" i="14"/>
  <c r="AS62" i="14"/>
  <c r="AV100" i="14"/>
  <c r="AU58" i="14"/>
  <c r="AR88" i="14"/>
  <c r="AL146" i="14"/>
  <c r="AM146" i="14"/>
  <c r="AH146" i="14"/>
  <c r="AO146" i="14"/>
  <c r="AI146" i="14"/>
  <c r="AU108" i="14"/>
  <c r="AR149" i="14"/>
  <c r="AT149" i="14" s="1"/>
  <c r="Y149" i="14" s="1"/>
  <c r="AS71" i="14"/>
  <c r="AV121" i="14"/>
  <c r="AW121" i="14" s="1"/>
  <c r="Z121" i="14" s="1"/>
  <c r="AR117" i="14"/>
  <c r="AT117" i="14" s="1"/>
  <c r="Y117" i="14" s="1"/>
  <c r="AU56" i="14"/>
  <c r="AR94" i="14"/>
  <c r="AS116" i="14"/>
  <c r="AT116" i="14" s="1"/>
  <c r="Y116" i="14" s="1"/>
  <c r="AV107" i="14"/>
  <c r="AS57" i="14"/>
  <c r="AS95" i="14"/>
  <c r="AR124" i="14"/>
  <c r="AT124" i="14" s="1"/>
  <c r="Y124" i="14" s="1"/>
  <c r="AL150" i="14"/>
  <c r="AO150" i="14"/>
  <c r="AH150" i="14"/>
  <c r="AI150" i="14"/>
  <c r="AM150" i="14"/>
  <c r="AS104" i="14"/>
  <c r="AU55" i="14"/>
  <c r="AR59" i="14"/>
  <c r="AG111" i="14"/>
  <c r="AF111" i="14"/>
  <c r="AJ111" i="14"/>
  <c r="AN111" i="14"/>
  <c r="AK111" i="14"/>
  <c r="AK109" i="14"/>
  <c r="AF109" i="14"/>
  <c r="AN109" i="14"/>
  <c r="AG109" i="14"/>
  <c r="AJ109" i="14"/>
  <c r="AF103" i="14"/>
  <c r="AJ103" i="14"/>
  <c r="AG103" i="14"/>
  <c r="AK103" i="14"/>
  <c r="AN103" i="14"/>
  <c r="AV62" i="14"/>
  <c r="AR62" i="14"/>
  <c r="AU64" i="14"/>
  <c r="AR100" i="14"/>
  <c r="AT100" i="14" s="1"/>
  <c r="Y100" i="14" s="1"/>
  <c r="AV61" i="14"/>
  <c r="AW61" i="14" s="1"/>
  <c r="Z61" i="14" s="1"/>
  <c r="AV149" i="14"/>
  <c r="AW149" i="14" s="1"/>
  <c r="Z149" i="14" s="1"/>
  <c r="AR71" i="14"/>
  <c r="AS121" i="14"/>
  <c r="AJ138" i="14"/>
  <c r="AK138" i="14"/>
  <c r="AF138" i="14"/>
  <c r="AG138" i="14"/>
  <c r="AN138" i="14"/>
  <c r="AV85" i="14"/>
  <c r="AW85" i="14" s="1"/>
  <c r="Z85" i="14" s="1"/>
  <c r="AR57" i="14"/>
  <c r="AU67" i="14"/>
  <c r="AN150" i="14"/>
  <c r="AG150" i="14"/>
  <c r="AJ150" i="14"/>
  <c r="AK150" i="14"/>
  <c r="AF150" i="14"/>
  <c r="AU127" i="14"/>
  <c r="AW127" i="14" s="1"/>
  <c r="Z127" i="14" s="1"/>
  <c r="AV104" i="14"/>
  <c r="AS105" i="14"/>
  <c r="AT105" i="14" s="1"/>
  <c r="Y105" i="14" s="1"/>
  <c r="AS55" i="14"/>
  <c r="AT55" i="14" s="1"/>
  <c r="Y55" i="14" s="1"/>
  <c r="AV87" i="14"/>
  <c r="AW87" i="14" s="1"/>
  <c r="Z87" i="14" s="1"/>
  <c r="AU65" i="14"/>
  <c r="AW65" i="14" s="1"/>
  <c r="Z65" i="14" s="1"/>
  <c r="AI97" i="14"/>
  <c r="AL97" i="14"/>
  <c r="AO97" i="14"/>
  <c r="AM97" i="14"/>
  <c r="AH97" i="14"/>
  <c r="AM111" i="14"/>
  <c r="AH111" i="14"/>
  <c r="AI111" i="14"/>
  <c r="AL111" i="14"/>
  <c r="AO111" i="14"/>
  <c r="AO109" i="14"/>
  <c r="AI109" i="14"/>
  <c r="AM109" i="14"/>
  <c r="AH109" i="14"/>
  <c r="AL109" i="14"/>
  <c r="AH103" i="14"/>
  <c r="AI103" i="14"/>
  <c r="AL103" i="14"/>
  <c r="AM103" i="14"/>
  <c r="AO103" i="14"/>
  <c r="I90" i="9"/>
  <c r="Q132" i="14" s="1"/>
  <c r="J90" i="9"/>
  <c r="R132" i="14" s="1"/>
  <c r="I35" i="9"/>
  <c r="Q77" i="14" s="1"/>
  <c r="E77" i="14" s="1"/>
  <c r="J36" i="9"/>
  <c r="R78" i="14" s="1"/>
  <c r="G246" i="37"/>
  <c r="M282" i="37"/>
  <c r="M246" i="37"/>
  <c r="G282" i="37"/>
  <c r="K38" i="25"/>
  <c r="J27" i="24" s="1"/>
  <c r="AC27" i="24" s="1"/>
  <c r="I38" i="25"/>
  <c r="G193" i="40" s="1"/>
  <c r="J38" i="25"/>
  <c r="I27" i="24" s="1"/>
  <c r="AA27" i="24" s="1"/>
  <c r="K68" i="25"/>
  <c r="J53" i="24" s="1"/>
  <c r="AC53" i="24" s="1"/>
  <c r="I26" i="33"/>
  <c r="J68" i="25"/>
  <c r="I53" i="24" s="1"/>
  <c r="AA53" i="24" s="1"/>
  <c r="I68" i="25"/>
  <c r="M193" i="40" s="1"/>
  <c r="L242" i="40" s="1"/>
  <c r="L299" i="40" s="1"/>
  <c r="I59" i="33"/>
  <c r="G59" i="33"/>
  <c r="J64" i="31" s="1"/>
  <c r="F61" i="32"/>
  <c r="G50" i="33"/>
  <c r="J61" i="31" s="1"/>
  <c r="G62" i="33"/>
  <c r="J58" i="31" s="1"/>
  <c r="I50" i="33"/>
  <c r="I38" i="33"/>
  <c r="F55" i="31"/>
  <c r="I35" i="33"/>
  <c r="F58" i="32"/>
  <c r="G26" i="33"/>
  <c r="S59" i="31" s="1"/>
  <c r="I61" i="31" s="1"/>
  <c r="I62" i="33"/>
  <c r="G53" i="33"/>
  <c r="J55" i="31" s="1"/>
  <c r="G29" i="33"/>
  <c r="S53" i="31" s="1"/>
  <c r="I55" i="31" s="1"/>
  <c r="F64" i="32"/>
  <c r="I29" i="33"/>
  <c r="F64" i="31"/>
  <c r="G38" i="33"/>
  <c r="S56" i="32" s="1"/>
  <c r="G35" i="33"/>
  <c r="S62" i="31" s="1"/>
  <c r="I64" i="31" s="1"/>
  <c r="F55" i="32"/>
  <c r="I53" i="33"/>
  <c r="F61" i="31"/>
  <c r="P69" i="25"/>
  <c r="I41" i="31"/>
  <c r="O70" i="25"/>
  <c r="P70" i="25" s="1"/>
  <c r="G69" i="25"/>
  <c r="H69" i="25" s="1"/>
  <c r="L194" i="40" s="1"/>
  <c r="K243" i="40" s="1"/>
  <c r="K300" i="40" s="1"/>
  <c r="S69" i="25"/>
  <c r="Q69" i="25"/>
  <c r="N70" i="25"/>
  <c r="G39" i="25"/>
  <c r="H39" i="25" s="1"/>
  <c r="F194" i="40" s="1"/>
  <c r="Q39" i="25"/>
  <c r="S39" i="25"/>
  <c r="I44" i="31"/>
  <c r="P39" i="25"/>
  <c r="AB40" i="25"/>
  <c r="N40" i="25"/>
  <c r="O40" i="25"/>
  <c r="I44" i="32"/>
  <c r="I41" i="32"/>
  <c r="D112" i="7"/>
  <c r="E72" i="7"/>
  <c r="E196" i="7" s="1"/>
  <c r="E236" i="7" s="1"/>
  <c r="F63" i="31"/>
  <c r="J143" i="1"/>
  <c r="D75" i="7" s="1"/>
  <c r="G61" i="33"/>
  <c r="J57" i="31" s="1"/>
  <c r="G34" i="33"/>
  <c r="S61" i="31" s="1"/>
  <c r="I63" i="31" s="1"/>
  <c r="I34" i="33"/>
  <c r="F57" i="32"/>
  <c r="I40" i="32"/>
  <c r="I43" i="31"/>
  <c r="I43" i="32"/>
  <c r="I46" i="32"/>
  <c r="AC54" i="14"/>
  <c r="AL54" i="14" s="1"/>
  <c r="AB54" i="14"/>
  <c r="AG54" i="14" s="1"/>
  <c r="F60" i="32"/>
  <c r="I52" i="33"/>
  <c r="I49" i="33"/>
  <c r="I25" i="33"/>
  <c r="F63" i="32"/>
  <c r="G37" i="33"/>
  <c r="S55" i="32" s="1"/>
  <c r="G52" i="33"/>
  <c r="J54" i="31" s="1"/>
  <c r="F57" i="31"/>
  <c r="G25" i="33"/>
  <c r="S58" i="32" s="1"/>
  <c r="F54" i="32"/>
  <c r="I58" i="33"/>
  <c r="F60" i="31"/>
  <c r="G28" i="33"/>
  <c r="S46" i="32" s="1"/>
  <c r="F54" i="31"/>
  <c r="G49" i="33"/>
  <c r="J60" i="32" s="1"/>
  <c r="I61" i="33"/>
  <c r="I37" i="33"/>
  <c r="I28" i="33"/>
  <c r="I40" i="31"/>
  <c r="J63" i="32"/>
  <c r="I46" i="31"/>
  <c r="I165" i="7"/>
  <c r="L170" i="1" s="1"/>
  <c r="G241" i="40"/>
  <c r="G298" i="40" s="1"/>
  <c r="E241" i="40"/>
  <c r="E298" i="40" s="1"/>
  <c r="J242" i="40"/>
  <c r="J299" i="40" s="1"/>
  <c r="H241" i="40"/>
  <c r="H298" i="40" s="1"/>
  <c r="F241" i="40"/>
  <c r="F298" i="40" s="1"/>
  <c r="I242" i="40"/>
  <c r="I299" i="40" s="1"/>
  <c r="G219" i="40"/>
  <c r="G277" i="40" s="1"/>
  <c r="E219" i="40"/>
  <c r="E277" i="40" s="1"/>
  <c r="H219" i="40"/>
  <c r="H277" i="40" s="1"/>
  <c r="F219" i="40"/>
  <c r="F277" i="40" s="1"/>
  <c r="L220" i="40"/>
  <c r="L278" i="40" s="1"/>
  <c r="J220" i="40"/>
  <c r="J278" i="40" s="1"/>
  <c r="I220" i="40"/>
  <c r="I278" i="40" s="1"/>
  <c r="D113" i="7"/>
  <c r="E93" i="7"/>
  <c r="E133" i="7" s="1"/>
  <c r="I41" i="7"/>
  <c r="L142" i="1" s="1"/>
  <c r="E73" i="7"/>
  <c r="E113" i="7" s="1"/>
  <c r="D217" i="7"/>
  <c r="D257" i="7" s="1"/>
  <c r="D94" i="7"/>
  <c r="E94" i="7" s="1"/>
  <c r="D74" i="7"/>
  <c r="D198" i="7" s="1"/>
  <c r="D238" i="7" s="1"/>
  <c r="J98" i="5"/>
  <c r="G173" i="1"/>
  <c r="E99" i="5" s="1"/>
  <c r="F99" i="5" s="1"/>
  <c r="G174" i="1"/>
  <c r="E100" i="5" s="1"/>
  <c r="F100" i="5" s="1"/>
  <c r="D99" i="5"/>
  <c r="I99" i="5" s="1"/>
  <c r="J46" i="5"/>
  <c r="G144" i="1"/>
  <c r="E47" i="5" s="1"/>
  <c r="F47" i="5" s="1"/>
  <c r="D47" i="5"/>
  <c r="I47" i="5" s="1"/>
  <c r="D29" i="23"/>
  <c r="K34" i="40"/>
  <c r="L34" i="40" s="1"/>
  <c r="L31" i="37"/>
  <c r="C55" i="24"/>
  <c r="J171" i="1"/>
  <c r="D54" i="23"/>
  <c r="K193" i="40"/>
  <c r="J193" i="40"/>
  <c r="E54" i="24"/>
  <c r="M30" i="37"/>
  <c r="F31" i="37"/>
  <c r="E34" i="40"/>
  <c r="F34" i="40" s="1"/>
  <c r="D193" i="40"/>
  <c r="E193" i="40"/>
  <c r="E28" i="24"/>
  <c r="C29" i="24"/>
  <c r="G30" i="37"/>
  <c r="E41" i="25"/>
  <c r="A41" i="25"/>
  <c r="D42" i="25"/>
  <c r="F41" i="25"/>
  <c r="D72" i="25"/>
  <c r="F71" i="25"/>
  <c r="E71" i="25"/>
  <c r="A71" i="25"/>
  <c r="A88" i="40"/>
  <c r="D223" i="40"/>
  <c r="A279" i="40"/>
  <c r="D280" i="40"/>
  <c r="A222" i="40"/>
  <c r="C197" i="40"/>
  <c r="A197" i="40" s="1"/>
  <c r="D37" i="40"/>
  <c r="A37" i="40" s="1"/>
  <c r="C62" i="40"/>
  <c r="A62" i="40" s="1"/>
  <c r="C89" i="40"/>
  <c r="C134" i="40" s="1"/>
  <c r="A134" i="40" s="1"/>
  <c r="D302" i="40"/>
  <c r="A245" i="40"/>
  <c r="I198" i="40"/>
  <c r="J38" i="40"/>
  <c r="I63" i="40"/>
  <c r="C161" i="40"/>
  <c r="A161" i="40" s="1"/>
  <c r="A301" i="40"/>
  <c r="D246" i="40"/>
  <c r="I90" i="40"/>
  <c r="C180" i="37"/>
  <c r="A180" i="37" s="1"/>
  <c r="A111" i="37"/>
  <c r="N111" i="37"/>
  <c r="X111" i="37"/>
  <c r="K34" i="37"/>
  <c r="I59" i="37"/>
  <c r="C112" i="37"/>
  <c r="C86" i="37"/>
  <c r="A58" i="37"/>
  <c r="X85" i="37"/>
  <c r="A85" i="37"/>
  <c r="N85" i="37"/>
  <c r="C153" i="37"/>
  <c r="A153" i="37" s="1"/>
  <c r="E34" i="37"/>
  <c r="A33" i="37"/>
  <c r="C59" i="37"/>
  <c r="A30" i="24"/>
  <c r="H144" i="1"/>
  <c r="I144" i="1" s="1"/>
  <c r="A144" i="1"/>
  <c r="O61" i="37"/>
  <c r="P61" i="37"/>
  <c r="A56" i="24"/>
  <c r="D174" i="1"/>
  <c r="C56" i="23"/>
  <c r="B57" i="24"/>
  <c r="C173" i="1"/>
  <c r="K173" i="1" s="1"/>
  <c r="Q61" i="37"/>
  <c r="R61" i="37"/>
  <c r="A30" i="23"/>
  <c r="D146" i="1"/>
  <c r="C145" i="1"/>
  <c r="K145" i="1" s="1"/>
  <c r="C31" i="23"/>
  <c r="B31" i="24"/>
  <c r="H172" i="1"/>
  <c r="I172" i="1" s="1"/>
  <c r="A172" i="1"/>
  <c r="A55" i="23"/>
  <c r="AW148" i="14" l="1"/>
  <c r="Z148" i="14" s="1"/>
  <c r="G148" i="14" s="1"/>
  <c r="AT88" i="14"/>
  <c r="Y88" i="14" s="1"/>
  <c r="AW60" i="14"/>
  <c r="Z60" i="14" s="1"/>
  <c r="AT126" i="14"/>
  <c r="Y126" i="14" s="1"/>
  <c r="AT56" i="14"/>
  <c r="Y56" i="14" s="1"/>
  <c r="AT60" i="14"/>
  <c r="Y60" i="14" s="1"/>
  <c r="AA148" i="14"/>
  <c r="AW126" i="14"/>
  <c r="Z126" i="14" s="1"/>
  <c r="AW88" i="14"/>
  <c r="Z88" i="14" s="1"/>
  <c r="AW125" i="14"/>
  <c r="Z125" i="14" s="1"/>
  <c r="AW68" i="14"/>
  <c r="Z68" i="14" s="1"/>
  <c r="AW100" i="14"/>
  <c r="Z100" i="14" s="1"/>
  <c r="G100" i="14" s="1"/>
  <c r="G144" i="14"/>
  <c r="E132" i="14"/>
  <c r="AV86" i="14"/>
  <c r="AU96" i="14"/>
  <c r="AT127" i="14"/>
  <c r="Y127" i="14" s="1"/>
  <c r="AU72" i="14"/>
  <c r="AT98" i="14"/>
  <c r="Y98" i="14" s="1"/>
  <c r="AR96" i="14"/>
  <c r="AT59" i="14"/>
  <c r="Y59" i="14" s="1"/>
  <c r="AW56" i="14"/>
  <c r="Z56" i="14" s="1"/>
  <c r="AW119" i="14"/>
  <c r="Z119" i="14" s="1"/>
  <c r="AA119" i="14" s="1"/>
  <c r="AV155" i="14"/>
  <c r="AU153" i="14"/>
  <c r="AV150" i="14"/>
  <c r="AT144" i="14"/>
  <c r="Y144" i="14" s="1"/>
  <c r="AW143" i="14"/>
  <c r="Z143" i="14" s="1"/>
  <c r="G143" i="14" s="1"/>
  <c r="AV141" i="14"/>
  <c r="AT140" i="14"/>
  <c r="Y140" i="14" s="1"/>
  <c r="AS139" i="14"/>
  <c r="AR139" i="14"/>
  <c r="AR138" i="14"/>
  <c r="AU128" i="14"/>
  <c r="AR123" i="14"/>
  <c r="AT122" i="14"/>
  <c r="Y122" i="14" s="1"/>
  <c r="K122" i="14" s="1"/>
  <c r="AT120" i="14"/>
  <c r="Y120" i="14" s="1"/>
  <c r="F120" i="14" s="1"/>
  <c r="AV115" i="14"/>
  <c r="AV114" i="14"/>
  <c r="AU114" i="14"/>
  <c r="AR114" i="14"/>
  <c r="AW112" i="14"/>
  <c r="Z112" i="14" s="1"/>
  <c r="AU111" i="14"/>
  <c r="AT108" i="14"/>
  <c r="Y108" i="14" s="1"/>
  <c r="AS102" i="14"/>
  <c r="AR102" i="14"/>
  <c r="AV102" i="14"/>
  <c r="AU102" i="14"/>
  <c r="AW101" i="14"/>
  <c r="Z101" i="14" s="1"/>
  <c r="AS96" i="14"/>
  <c r="AS92" i="14"/>
  <c r="AU92" i="14"/>
  <c r="AR90" i="14"/>
  <c r="AS90" i="14"/>
  <c r="AT90" i="14" s="1"/>
  <c r="Y90" i="14" s="1"/>
  <c r="AS86" i="14"/>
  <c r="AR86" i="14"/>
  <c r="AT85" i="14"/>
  <c r="Y85" i="14" s="1"/>
  <c r="AT83" i="14"/>
  <c r="Y83" i="14" s="1"/>
  <c r="AS74" i="14"/>
  <c r="AR74" i="14"/>
  <c r="AV74" i="14"/>
  <c r="AU74" i="14"/>
  <c r="AR73" i="14"/>
  <c r="AV73" i="14"/>
  <c r="AS73" i="14"/>
  <c r="AT71" i="14"/>
  <c r="Y71" i="14" s="1"/>
  <c r="AR70" i="14"/>
  <c r="AR69" i="14"/>
  <c r="AS69" i="14"/>
  <c r="AW67" i="14"/>
  <c r="Z67" i="14" s="1"/>
  <c r="O66" i="14"/>
  <c r="P66" i="14" s="1"/>
  <c r="F66" i="14"/>
  <c r="K66" i="14"/>
  <c r="BG66" i="14" s="1"/>
  <c r="AW64" i="14"/>
  <c r="Z64" i="14" s="1"/>
  <c r="AS63" i="14"/>
  <c r="AU63" i="14"/>
  <c r="AT62" i="14"/>
  <c r="Y62" i="14" s="1"/>
  <c r="AW59" i="14"/>
  <c r="Z59" i="14" s="1"/>
  <c r="AW58" i="14"/>
  <c r="Z58" i="14" s="1"/>
  <c r="O55" i="14"/>
  <c r="P55" i="14" s="1"/>
  <c r="F55" i="14"/>
  <c r="K55" i="14"/>
  <c r="S77" i="14"/>
  <c r="U77" i="14" s="1"/>
  <c r="V77" i="14" s="1"/>
  <c r="F105" i="14"/>
  <c r="K105" i="14"/>
  <c r="O105" i="14"/>
  <c r="P105" i="14" s="1"/>
  <c r="O93" i="14"/>
  <c r="P93" i="14" s="1"/>
  <c r="F93" i="14"/>
  <c r="K93" i="14"/>
  <c r="O116" i="14"/>
  <c r="P116" i="14" s="1"/>
  <c r="F116" i="14"/>
  <c r="K116" i="14"/>
  <c r="AA85" i="14"/>
  <c r="G85" i="14"/>
  <c r="G149" i="14"/>
  <c r="AA149" i="14"/>
  <c r="AB76" i="14"/>
  <c r="AC76" i="14"/>
  <c r="AA61" i="14"/>
  <c r="G61" i="14"/>
  <c r="AA87" i="14"/>
  <c r="G87" i="14"/>
  <c r="G94" i="14"/>
  <c r="AA94" i="14"/>
  <c r="G117" i="14"/>
  <c r="AA117" i="14"/>
  <c r="O120" i="14"/>
  <c r="P120" i="14" s="1"/>
  <c r="K120" i="14"/>
  <c r="G152" i="14"/>
  <c r="AA152" i="14"/>
  <c r="G110" i="14"/>
  <c r="AA110" i="14"/>
  <c r="F67" i="14"/>
  <c r="K67" i="14"/>
  <c r="O67" i="14"/>
  <c r="P67" i="14" s="1"/>
  <c r="AT91" i="14"/>
  <c r="Y91" i="14" s="1"/>
  <c r="AR113" i="14"/>
  <c r="AT104" i="14"/>
  <c r="Y104" i="14" s="1"/>
  <c r="AU97" i="14"/>
  <c r="F87" i="14"/>
  <c r="K87" i="14"/>
  <c r="O87" i="14"/>
  <c r="P87" i="14" s="1"/>
  <c r="G127" i="14"/>
  <c r="AA127" i="14"/>
  <c r="AV138" i="14"/>
  <c r="AV103" i="14"/>
  <c r="AR111" i="14"/>
  <c r="AS153" i="14"/>
  <c r="F112" i="14"/>
  <c r="K112" i="14"/>
  <c r="O112" i="14"/>
  <c r="P112" i="14" s="1"/>
  <c r="S131" i="14"/>
  <c r="U131" i="14" s="1"/>
  <c r="V131" i="14" s="1"/>
  <c r="K110" i="14"/>
  <c r="O110" i="14"/>
  <c r="P110" i="14" s="1"/>
  <c r="F110" i="14"/>
  <c r="AV118" i="14"/>
  <c r="AR82" i="14"/>
  <c r="AW106" i="14"/>
  <c r="Z106" i="14" s="1"/>
  <c r="AW120" i="14"/>
  <c r="Z120" i="14" s="1"/>
  <c r="AW91" i="14"/>
  <c r="Z91" i="14" s="1"/>
  <c r="AV97" i="14"/>
  <c r="H66" i="14"/>
  <c r="J66" i="14"/>
  <c r="L66" i="14" s="1"/>
  <c r="AR150" i="14"/>
  <c r="AU138" i="14"/>
  <c r="AS103" i="14"/>
  <c r="AS111" i="14"/>
  <c r="AV128" i="14"/>
  <c r="AW128" i="14" s="1"/>
  <c r="Z128" i="14" s="1"/>
  <c r="AV123" i="14"/>
  <c r="AA112" i="14"/>
  <c r="G112" i="14"/>
  <c r="AV146" i="14"/>
  <c r="AR153" i="14"/>
  <c r="AV72" i="14"/>
  <c r="AW72" i="14" s="1"/>
  <c r="Z72" i="14" s="1"/>
  <c r="AU115" i="14"/>
  <c r="AW115" i="14" s="1"/>
  <c r="Z115" i="14" s="1"/>
  <c r="AV96" i="14"/>
  <c r="AW96" i="14" s="1"/>
  <c r="Z96" i="14" s="1"/>
  <c r="AS118" i="14"/>
  <c r="O85" i="14"/>
  <c r="P85" i="14" s="1"/>
  <c r="F85" i="14"/>
  <c r="K85" i="14"/>
  <c r="AU113" i="14"/>
  <c r="AW122" i="14"/>
  <c r="Z122" i="14" s="1"/>
  <c r="AT121" i="14"/>
  <c r="Y121" i="14" s="1"/>
  <c r="AS97" i="14"/>
  <c r="AU103" i="14"/>
  <c r="F59" i="14"/>
  <c r="K59" i="14"/>
  <c r="O59" i="14"/>
  <c r="P59" i="14" s="1"/>
  <c r="AU123" i="14"/>
  <c r="AS115" i="14"/>
  <c r="AT95" i="14"/>
  <c r="Y95" i="14" s="1"/>
  <c r="AV82" i="14"/>
  <c r="AT151" i="14"/>
  <c r="Y151" i="14" s="1"/>
  <c r="G147" i="14"/>
  <c r="AA147" i="14"/>
  <c r="AS113" i="14"/>
  <c r="O65" i="14"/>
  <c r="P65" i="14" s="1"/>
  <c r="F65" i="14"/>
  <c r="K65" i="14"/>
  <c r="K126" i="14"/>
  <c r="F126" i="14"/>
  <c r="O126" i="14"/>
  <c r="P126" i="14" s="1"/>
  <c r="AR97" i="14"/>
  <c r="AW104" i="14"/>
  <c r="Z104" i="14" s="1"/>
  <c r="G71" i="14"/>
  <c r="AA71" i="14"/>
  <c r="AU150" i="14"/>
  <c r="AW150" i="14" s="1"/>
  <c r="Z150" i="14" s="1"/>
  <c r="K71" i="14"/>
  <c r="F71" i="14"/>
  <c r="O71" i="14"/>
  <c r="P71" i="14" s="1"/>
  <c r="AR103" i="14"/>
  <c r="AT103" i="14" s="1"/>
  <c r="Y103" i="14" s="1"/>
  <c r="AW55" i="14"/>
  <c r="Z55" i="14" s="1"/>
  <c r="AT94" i="14"/>
  <c r="Y94" i="14" s="1"/>
  <c r="K88" i="14"/>
  <c r="F88" i="14"/>
  <c r="O88" i="14"/>
  <c r="P88" i="14" s="1"/>
  <c r="AS128" i="14"/>
  <c r="AS123" i="14"/>
  <c r="AT123" i="14" s="1"/>
  <c r="Y123" i="14" s="1"/>
  <c r="AU146" i="14"/>
  <c r="AS72" i="14"/>
  <c r="AR115" i="14"/>
  <c r="AV145" i="14"/>
  <c r="AW74" i="14"/>
  <c r="Z74" i="14" s="1"/>
  <c r="AU82" i="14"/>
  <c r="AW107" i="14"/>
  <c r="Z107" i="14" s="1"/>
  <c r="H144" i="14"/>
  <c r="J144" i="14"/>
  <c r="AL75" i="14"/>
  <c r="AH75" i="14"/>
  <c r="AI75" i="14"/>
  <c r="AM75" i="14"/>
  <c r="AO75" i="14"/>
  <c r="G121" i="14"/>
  <c r="AA121" i="14"/>
  <c r="AS150" i="14"/>
  <c r="AU109" i="14"/>
  <c r="AA56" i="14"/>
  <c r="G56" i="14"/>
  <c r="AA58" i="14"/>
  <c r="G58" i="14"/>
  <c r="AR128" i="14"/>
  <c r="AR63" i="14"/>
  <c r="AA95" i="14"/>
  <c r="G95" i="14"/>
  <c r="AR146" i="14"/>
  <c r="AW105" i="14"/>
  <c r="Z105" i="14" s="1"/>
  <c r="AR72" i="14"/>
  <c r="AT101" i="14"/>
  <c r="Y101" i="14" s="1"/>
  <c r="AT84" i="14"/>
  <c r="Y84" i="14" s="1"/>
  <c r="AU145" i="14"/>
  <c r="AT125" i="14"/>
  <c r="Y125" i="14" s="1"/>
  <c r="AA101" i="14"/>
  <c r="G101" i="14"/>
  <c r="AS82" i="14"/>
  <c r="AT143" i="14"/>
  <c r="Y143" i="14" s="1"/>
  <c r="G142" i="14"/>
  <c r="AA142" i="14"/>
  <c r="G88" i="14"/>
  <c r="AA88" i="14"/>
  <c r="AK75" i="14"/>
  <c r="AF75" i="14"/>
  <c r="AG75" i="14"/>
  <c r="AJ75" i="14"/>
  <c r="AN75" i="14"/>
  <c r="AS109" i="14"/>
  <c r="K117" i="14"/>
  <c r="F117" i="14"/>
  <c r="O117" i="14"/>
  <c r="P117" i="14" s="1"/>
  <c r="AA68" i="14"/>
  <c r="G68" i="14"/>
  <c r="AS146" i="14"/>
  <c r="O83" i="14"/>
  <c r="P83" i="14" s="1"/>
  <c r="F83" i="14"/>
  <c r="K83" i="14"/>
  <c r="AW116" i="14"/>
  <c r="Z116" i="14" s="1"/>
  <c r="AS145" i="14"/>
  <c r="AW83" i="14"/>
  <c r="Z83" i="14" s="1"/>
  <c r="F122" i="14"/>
  <c r="AW99" i="14"/>
  <c r="Z99" i="14" s="1"/>
  <c r="F148" i="14"/>
  <c r="O148" i="14"/>
  <c r="P148" i="14" s="1"/>
  <c r="K148" i="14"/>
  <c r="BG148" i="14" s="1"/>
  <c r="AI130" i="14"/>
  <c r="AL130" i="14"/>
  <c r="AM130" i="14"/>
  <c r="AO130" i="14"/>
  <c r="AH130" i="14"/>
  <c r="G67" i="14"/>
  <c r="AA67" i="14"/>
  <c r="O100" i="14"/>
  <c r="P100" i="14" s="1"/>
  <c r="F100" i="14"/>
  <c r="K100" i="14"/>
  <c r="AU70" i="14"/>
  <c r="AW57" i="14"/>
  <c r="Z57" i="14" s="1"/>
  <c r="G124" i="14"/>
  <c r="AA124" i="14"/>
  <c r="K56" i="14"/>
  <c r="O56" i="14"/>
  <c r="P56" i="14" s="1"/>
  <c r="F56" i="14"/>
  <c r="AR145" i="14"/>
  <c r="O140" i="14"/>
  <c r="P140" i="14" s="1"/>
  <c r="F140" i="14"/>
  <c r="K140" i="14"/>
  <c r="AU155" i="14"/>
  <c r="F89" i="14"/>
  <c r="O89" i="14"/>
  <c r="P89" i="14" s="1"/>
  <c r="K89" i="14"/>
  <c r="AU73" i="14"/>
  <c r="AW73" i="14" s="1"/>
  <c r="Z73" i="14" s="1"/>
  <c r="H148" i="14"/>
  <c r="J148" i="14"/>
  <c r="AU154" i="14"/>
  <c r="AU141" i="14"/>
  <c r="AW141" i="14" s="1"/>
  <c r="Z141" i="14" s="1"/>
  <c r="AV69" i="14"/>
  <c r="AT147" i="14"/>
  <c r="Y147" i="14" s="1"/>
  <c r="AJ130" i="14"/>
  <c r="AK130" i="14"/>
  <c r="AN130" i="14"/>
  <c r="AF130" i="14"/>
  <c r="AG130" i="14"/>
  <c r="AA65" i="14"/>
  <c r="G65" i="14"/>
  <c r="AT57" i="14"/>
  <c r="Y57" i="14" s="1"/>
  <c r="G64" i="14"/>
  <c r="AA64" i="14"/>
  <c r="AR109" i="14"/>
  <c r="AS70" i="14"/>
  <c r="AT70" i="14" s="1"/>
  <c r="Y70" i="14" s="1"/>
  <c r="AV63" i="14"/>
  <c r="AW63" i="14" s="1"/>
  <c r="Z63" i="14" s="1"/>
  <c r="O61" i="14"/>
  <c r="P61" i="14" s="1"/>
  <c r="F61" i="14"/>
  <c r="K61" i="14"/>
  <c r="AV92" i="14"/>
  <c r="AW92" i="14" s="1"/>
  <c r="Z92" i="14" s="1"/>
  <c r="AT99" i="14"/>
  <c r="Y99" i="14" s="1"/>
  <c r="K58" i="14"/>
  <c r="O58" i="14"/>
  <c r="P58" i="14" s="1"/>
  <c r="F58" i="14"/>
  <c r="F119" i="14"/>
  <c r="O119" i="14"/>
  <c r="P119" i="14" s="1"/>
  <c r="K119" i="14"/>
  <c r="AS155" i="14"/>
  <c r="AU90" i="14"/>
  <c r="AW90" i="14" s="1"/>
  <c r="Z90" i="14" s="1"/>
  <c r="BK114" i="14"/>
  <c r="AS154" i="14"/>
  <c r="AS114" i="14"/>
  <c r="AT114" i="14" s="1"/>
  <c r="Y114" i="14" s="1"/>
  <c r="AR141" i="14"/>
  <c r="AU86" i="14"/>
  <c r="AW86" i="14" s="1"/>
  <c r="Z86" i="14" s="1"/>
  <c r="AU69" i="14"/>
  <c r="K62" i="14"/>
  <c r="O62" i="14"/>
  <c r="P62" i="14" s="1"/>
  <c r="F62" i="14"/>
  <c r="AV109" i="14"/>
  <c r="O149" i="14"/>
  <c r="P149" i="14" s="1"/>
  <c r="F149" i="14"/>
  <c r="K149" i="14"/>
  <c r="G59" i="14"/>
  <c r="AA59" i="14"/>
  <c r="K108" i="14"/>
  <c r="O108" i="14"/>
  <c r="P108" i="14" s="1"/>
  <c r="F108" i="14"/>
  <c r="AA60" i="14"/>
  <c r="G60" i="14"/>
  <c r="AR155" i="14"/>
  <c r="AA140" i="14"/>
  <c r="G140" i="14"/>
  <c r="AR154" i="14"/>
  <c r="AW151" i="14"/>
  <c r="Z151" i="14" s="1"/>
  <c r="S132" i="14"/>
  <c r="U132" i="14" s="1"/>
  <c r="V132" i="14" s="1"/>
  <c r="AV111" i="14"/>
  <c r="AW111" i="14" s="1"/>
  <c r="Z111" i="14" s="1"/>
  <c r="AW108" i="14"/>
  <c r="Z108" i="14" s="1"/>
  <c r="O60" i="14"/>
  <c r="P60" i="14" s="1"/>
  <c r="F60" i="14"/>
  <c r="K60" i="14"/>
  <c r="AA125" i="14"/>
  <c r="G125" i="14"/>
  <c r="AR92" i="14"/>
  <c r="F152" i="14"/>
  <c r="K152" i="14"/>
  <c r="O152" i="14"/>
  <c r="P152" i="14" s="1"/>
  <c r="G126" i="14"/>
  <c r="AA126" i="14"/>
  <c r="AU118" i="14"/>
  <c r="AV139" i="14"/>
  <c r="AV154" i="14"/>
  <c r="AS141" i="14"/>
  <c r="G89" i="14"/>
  <c r="AA89" i="14"/>
  <c r="K107" i="14"/>
  <c r="F107" i="14"/>
  <c r="O107" i="14"/>
  <c r="P107" i="14" s="1"/>
  <c r="AI129" i="14"/>
  <c r="AO129" i="14"/>
  <c r="AH129" i="14"/>
  <c r="AL129" i="14"/>
  <c r="AM129" i="14"/>
  <c r="AS138" i="14"/>
  <c r="AT138" i="14" s="1"/>
  <c r="Y138" i="14" s="1"/>
  <c r="F124" i="14"/>
  <c r="K124" i="14"/>
  <c r="O124" i="14"/>
  <c r="P124" i="14" s="1"/>
  <c r="AV70" i="14"/>
  <c r="AW62" i="14"/>
  <c r="Z62" i="14" s="1"/>
  <c r="AV153" i="14"/>
  <c r="AW153" i="14" s="1"/>
  <c r="Z153" i="14" s="1"/>
  <c r="K68" i="14"/>
  <c r="O68" i="14"/>
  <c r="P68" i="14" s="1"/>
  <c r="F68" i="14"/>
  <c r="F64" i="14"/>
  <c r="K64" i="14"/>
  <c r="O64" i="14"/>
  <c r="P64" i="14" s="1"/>
  <c r="AT106" i="14"/>
  <c r="Y106" i="14" s="1"/>
  <c r="AW84" i="14"/>
  <c r="Z84" i="14" s="1"/>
  <c r="AA93" i="14"/>
  <c r="G93" i="14"/>
  <c r="AR118" i="14"/>
  <c r="AU139" i="14"/>
  <c r="F127" i="14"/>
  <c r="O127" i="14"/>
  <c r="P127" i="14" s="1"/>
  <c r="K127" i="14"/>
  <c r="AW98" i="14"/>
  <c r="Z98" i="14" s="1"/>
  <c r="AV113" i="14"/>
  <c r="O142" i="14"/>
  <c r="P142" i="14" s="1"/>
  <c r="F142" i="14"/>
  <c r="K142" i="14"/>
  <c r="AN129" i="14"/>
  <c r="AF129" i="14"/>
  <c r="AG129" i="14"/>
  <c r="AK129" i="14"/>
  <c r="AJ129" i="14"/>
  <c r="J37" i="9"/>
  <c r="R79" i="14" s="1"/>
  <c r="I36" i="9"/>
  <c r="Q78" i="14" s="1"/>
  <c r="E78" i="14" s="1"/>
  <c r="J91" i="9"/>
  <c r="R133" i="14" s="1"/>
  <c r="I91" i="9"/>
  <c r="Q133" i="14" s="1"/>
  <c r="J58" i="32"/>
  <c r="K69" i="25"/>
  <c r="J54" i="24" s="1"/>
  <c r="AC54" i="24" s="1"/>
  <c r="J69" i="25"/>
  <c r="I54" i="24" s="1"/>
  <c r="AA54" i="24" s="1"/>
  <c r="K39" i="25"/>
  <c r="J28" i="24" s="1"/>
  <c r="AC28" i="24" s="1"/>
  <c r="J61" i="32"/>
  <c r="I39" i="25"/>
  <c r="G194" i="40" s="1"/>
  <c r="S56" i="31"/>
  <c r="I58" i="31" s="1"/>
  <c r="I69" i="25"/>
  <c r="M194" i="40" s="1"/>
  <c r="L243" i="40" s="1"/>
  <c r="L300" i="40" s="1"/>
  <c r="S62" i="32"/>
  <c r="S53" i="32"/>
  <c r="J64" i="32"/>
  <c r="S59" i="32"/>
  <c r="J55" i="32"/>
  <c r="O71" i="25"/>
  <c r="J39" i="25"/>
  <c r="I28" i="24" s="1"/>
  <c r="AA28" i="24" s="1"/>
  <c r="G70" i="25"/>
  <c r="I70" i="25" s="1"/>
  <c r="M195" i="40" s="1"/>
  <c r="L244" i="40" s="1"/>
  <c r="L301" i="40" s="1"/>
  <c r="Q70" i="25"/>
  <c r="S70" i="25"/>
  <c r="N71" i="25"/>
  <c r="G40" i="25"/>
  <c r="J40" i="25" s="1"/>
  <c r="Q40" i="25"/>
  <c r="S40" i="25"/>
  <c r="P40" i="25"/>
  <c r="E112" i="7"/>
  <c r="O41" i="25"/>
  <c r="AB41" i="25"/>
  <c r="N41" i="25"/>
  <c r="I33" i="33"/>
  <c r="S61" i="32"/>
  <c r="I36" i="33"/>
  <c r="J41" i="7"/>
  <c r="L143" i="1" s="1"/>
  <c r="J54" i="32"/>
  <c r="J243" i="40"/>
  <c r="J300" i="40" s="1"/>
  <c r="I243" i="40"/>
  <c r="I300" i="40" s="1"/>
  <c r="K221" i="40"/>
  <c r="K279" i="40" s="1"/>
  <c r="I221" i="40"/>
  <c r="I279" i="40" s="1"/>
  <c r="L221" i="40"/>
  <c r="L279" i="40" s="1"/>
  <c r="J221" i="40"/>
  <c r="J279" i="40" s="1"/>
  <c r="G33" i="33"/>
  <c r="S60" i="32" s="1"/>
  <c r="J57" i="32"/>
  <c r="AF54" i="14"/>
  <c r="AJ54" i="14"/>
  <c r="AK54" i="14"/>
  <c r="AN54" i="14"/>
  <c r="AI54" i="14"/>
  <c r="AH54" i="14"/>
  <c r="AM54" i="14"/>
  <c r="AO54" i="14"/>
  <c r="G36" i="33"/>
  <c r="S54" i="31" s="1"/>
  <c r="I56" i="31" s="1"/>
  <c r="S55" i="31"/>
  <c r="I57" i="31" s="1"/>
  <c r="G27" i="33"/>
  <c r="S45" i="31" s="1"/>
  <c r="I53" i="31" s="1"/>
  <c r="S46" i="31"/>
  <c r="I54" i="31" s="1"/>
  <c r="I27" i="33"/>
  <c r="J60" i="31"/>
  <c r="I24" i="33"/>
  <c r="G24" i="33"/>
  <c r="S57" i="31" s="1"/>
  <c r="I59" i="31" s="1"/>
  <c r="S58" i="31"/>
  <c r="I60" i="31" s="1"/>
  <c r="G242" i="40"/>
  <c r="G299" i="40" s="1"/>
  <c r="E242" i="40"/>
  <c r="E299" i="40" s="1"/>
  <c r="H242" i="40"/>
  <c r="H299" i="40" s="1"/>
  <c r="F242" i="40"/>
  <c r="F299" i="40" s="1"/>
  <c r="G220" i="40"/>
  <c r="G278" i="40" s="1"/>
  <c r="E220" i="40"/>
  <c r="E278" i="40" s="1"/>
  <c r="H220" i="40"/>
  <c r="H278" i="40" s="1"/>
  <c r="F220" i="40"/>
  <c r="F278" i="40" s="1"/>
  <c r="E217" i="7"/>
  <c r="E257" i="7" s="1"/>
  <c r="E197" i="7"/>
  <c r="E237" i="7" s="1"/>
  <c r="D114" i="7"/>
  <c r="D218" i="7"/>
  <c r="D258" i="7" s="1"/>
  <c r="E74" i="7"/>
  <c r="E114" i="7" s="1"/>
  <c r="D134" i="7"/>
  <c r="J165" i="7"/>
  <c r="L171" i="1" s="1"/>
  <c r="D95" i="7"/>
  <c r="D135" i="7" s="1"/>
  <c r="J99" i="5"/>
  <c r="J47" i="5"/>
  <c r="G145" i="1"/>
  <c r="E48" i="5" s="1"/>
  <c r="F48" i="5" s="1"/>
  <c r="G146" i="1"/>
  <c r="D48" i="5"/>
  <c r="K35" i="40"/>
  <c r="L35" i="40" s="1"/>
  <c r="L32" i="37"/>
  <c r="J172" i="1"/>
  <c r="D55" i="23"/>
  <c r="C56" i="24"/>
  <c r="K194" i="40"/>
  <c r="E55" i="24"/>
  <c r="J194" i="40"/>
  <c r="M31" i="37"/>
  <c r="F32" i="37"/>
  <c r="E35" i="40"/>
  <c r="F35" i="40" s="1"/>
  <c r="C30" i="24"/>
  <c r="J144" i="1"/>
  <c r="D30" i="23"/>
  <c r="D194" i="40"/>
  <c r="E194" i="40"/>
  <c r="E29" i="24"/>
  <c r="G31" i="37"/>
  <c r="E42" i="25"/>
  <c r="F42" i="25"/>
  <c r="D43" i="25"/>
  <c r="A42" i="25"/>
  <c r="E72" i="25"/>
  <c r="F72" i="25"/>
  <c r="D73" i="25"/>
  <c r="A72" i="25"/>
  <c r="A89" i="40"/>
  <c r="C90" i="40"/>
  <c r="C135" i="40" s="1"/>
  <c r="A135" i="40" s="1"/>
  <c r="A280" i="40"/>
  <c r="D281" i="40"/>
  <c r="A223" i="40"/>
  <c r="C63" i="40"/>
  <c r="A63" i="40" s="1"/>
  <c r="D38" i="40"/>
  <c r="A38" i="40" s="1"/>
  <c r="C198" i="40"/>
  <c r="A198" i="40" s="1"/>
  <c r="D224" i="40"/>
  <c r="C162" i="40"/>
  <c r="A162" i="40" s="1"/>
  <c r="I91" i="40"/>
  <c r="A302" i="40"/>
  <c r="D303" i="40"/>
  <c r="A246" i="40"/>
  <c r="I199" i="40"/>
  <c r="I64" i="40"/>
  <c r="D247" i="40"/>
  <c r="A112" i="37"/>
  <c r="C181" i="37"/>
  <c r="A181" i="37" s="1"/>
  <c r="X112" i="37"/>
  <c r="N112" i="37"/>
  <c r="C113" i="37"/>
  <c r="K35" i="37"/>
  <c r="I60" i="37"/>
  <c r="C87" i="37"/>
  <c r="A59" i="37"/>
  <c r="X86" i="37"/>
  <c r="C154" i="37"/>
  <c r="A154" i="37" s="1"/>
  <c r="N86" i="37"/>
  <c r="A86" i="37"/>
  <c r="E35" i="37"/>
  <c r="A34" i="37"/>
  <c r="C60" i="37"/>
  <c r="A31" i="24"/>
  <c r="H145" i="1"/>
  <c r="I145" i="1" s="1"/>
  <c r="A145" i="1"/>
  <c r="E134" i="7"/>
  <c r="E218" i="7"/>
  <c r="E258" i="7" s="1"/>
  <c r="A173" i="1"/>
  <c r="H173" i="1"/>
  <c r="I173" i="1" s="1"/>
  <c r="A56" i="23"/>
  <c r="D115" i="7"/>
  <c r="E75" i="7"/>
  <c r="D199" i="7"/>
  <c r="D239" i="7" s="1"/>
  <c r="A31" i="23"/>
  <c r="D147" i="1"/>
  <c r="C146" i="1"/>
  <c r="K146" i="1" s="1"/>
  <c r="C32" i="23"/>
  <c r="B32" i="24"/>
  <c r="A57" i="24"/>
  <c r="D175" i="1"/>
  <c r="C57" i="23"/>
  <c r="B58" i="24"/>
  <c r="C174" i="1"/>
  <c r="K174" i="1" s="1"/>
  <c r="AT74" i="14" l="1"/>
  <c r="Y74" i="14" s="1"/>
  <c r="AW102" i="14"/>
  <c r="Z102" i="14" s="1"/>
  <c r="O122" i="14"/>
  <c r="P122" i="14" s="1"/>
  <c r="AT73" i="14"/>
  <c r="Y73" i="14" s="1"/>
  <c r="AW114" i="14"/>
  <c r="Z114" i="14" s="1"/>
  <c r="AW155" i="14"/>
  <c r="Z155" i="14" s="1"/>
  <c r="AA100" i="14"/>
  <c r="G119" i="14"/>
  <c r="AT92" i="14"/>
  <c r="Y92" i="14" s="1"/>
  <c r="AT63" i="14"/>
  <c r="Y63" i="14" s="1"/>
  <c r="AA143" i="14"/>
  <c r="AT86" i="14"/>
  <c r="Y86" i="14" s="1"/>
  <c r="AT102" i="14"/>
  <c r="Y102" i="14" s="1"/>
  <c r="J119" i="14"/>
  <c r="H119" i="14"/>
  <c r="BG119" i="14"/>
  <c r="AT154" i="14"/>
  <c r="Y154" i="14" s="1"/>
  <c r="AW103" i="14"/>
  <c r="Z103" i="14" s="1"/>
  <c r="BF66" i="14"/>
  <c r="AT96" i="14"/>
  <c r="Y96" i="14" s="1"/>
  <c r="O96" i="14" s="1"/>
  <c r="P96" i="14" s="1"/>
  <c r="AT72" i="14"/>
  <c r="Y72" i="14" s="1"/>
  <c r="AT97" i="14"/>
  <c r="Y97" i="14" s="1"/>
  <c r="AT145" i="14"/>
  <c r="Y145" i="14" s="1"/>
  <c r="AW146" i="14"/>
  <c r="Z146" i="14" s="1"/>
  <c r="K98" i="14"/>
  <c r="O98" i="14"/>
  <c r="P98" i="14" s="1"/>
  <c r="F98" i="14"/>
  <c r="AW154" i="14"/>
  <c r="Z154" i="14" s="1"/>
  <c r="BD148" i="14"/>
  <c r="BH148" i="14"/>
  <c r="BE148" i="14"/>
  <c r="BC148" i="14"/>
  <c r="BA148" i="14"/>
  <c r="BI148" i="14"/>
  <c r="L148" i="14"/>
  <c r="M148" i="14" s="1"/>
  <c r="AT146" i="14"/>
  <c r="Y146" i="14" s="1"/>
  <c r="F144" i="14"/>
  <c r="K144" i="14"/>
  <c r="O144" i="14"/>
  <c r="P144" i="14" s="1"/>
  <c r="AT139" i="14"/>
  <c r="Y139" i="14" s="1"/>
  <c r="AR130" i="14"/>
  <c r="AS130" i="14"/>
  <c r="AU129" i="14"/>
  <c r="AR129" i="14"/>
  <c r="AT128" i="14"/>
  <c r="Y128" i="14" s="1"/>
  <c r="AW123" i="14"/>
  <c r="Z123" i="14" s="1"/>
  <c r="L119" i="14"/>
  <c r="AZ119" i="14" s="1"/>
  <c r="BH119" i="14"/>
  <c r="BF119" i="14"/>
  <c r="BE119" i="14"/>
  <c r="BC119" i="14"/>
  <c r="BD119" i="14"/>
  <c r="BI119" i="14"/>
  <c r="BB119" i="14"/>
  <c r="BA119" i="14"/>
  <c r="BJ119" i="14"/>
  <c r="AT118" i="14"/>
  <c r="Y118" i="14" s="1"/>
  <c r="AW118" i="14"/>
  <c r="Z118" i="14" s="1"/>
  <c r="G118" i="14" s="1"/>
  <c r="AT115" i="14"/>
  <c r="Y115" i="14" s="1"/>
  <c r="F115" i="14" s="1"/>
  <c r="AT109" i="14"/>
  <c r="Y109" i="14" s="1"/>
  <c r="K90" i="14"/>
  <c r="O90" i="14"/>
  <c r="P90" i="14" s="1"/>
  <c r="F90" i="14"/>
  <c r="AT82" i="14"/>
  <c r="Y82" i="14" s="1"/>
  <c r="AU75" i="14"/>
  <c r="AR75" i="14"/>
  <c r="AV75" i="14"/>
  <c r="AW69" i="14"/>
  <c r="Z69" i="14" s="1"/>
  <c r="AA69" i="14" s="1"/>
  <c r="AT69" i="14"/>
  <c r="Y69" i="14" s="1"/>
  <c r="BE66" i="14"/>
  <c r="BI66" i="14"/>
  <c r="BC66" i="14"/>
  <c r="BJ66" i="14"/>
  <c r="BD66" i="14"/>
  <c r="BL66" i="14" s="1"/>
  <c r="BB66" i="14"/>
  <c r="BA66" i="14"/>
  <c r="BH66" i="14"/>
  <c r="F114" i="14"/>
  <c r="K114" i="14"/>
  <c r="O114" i="14"/>
  <c r="P114" i="14" s="1"/>
  <c r="S78" i="14"/>
  <c r="U78" i="14" s="1"/>
  <c r="V78" i="14" s="1"/>
  <c r="AA111" i="14"/>
  <c r="G111" i="14"/>
  <c r="AA63" i="14"/>
  <c r="G63" i="14"/>
  <c r="AB77" i="14"/>
  <c r="AC77" i="14"/>
  <c r="AA153" i="14"/>
  <c r="G153" i="14"/>
  <c r="G96" i="14"/>
  <c r="AA96" i="14"/>
  <c r="K147" i="14"/>
  <c r="BG147" i="14" s="1"/>
  <c r="F147" i="14"/>
  <c r="O147" i="14"/>
  <c r="P147" i="14" s="1"/>
  <c r="E133" i="14"/>
  <c r="AA98" i="14"/>
  <c r="G98" i="14"/>
  <c r="AA108" i="14"/>
  <c r="G108" i="14"/>
  <c r="BD64" i="14"/>
  <c r="BL64" i="14" s="1"/>
  <c r="BE64" i="14"/>
  <c r="BF64" i="14"/>
  <c r="BH64" i="14"/>
  <c r="BI64" i="14"/>
  <c r="BB64" i="14"/>
  <c r="BJ64" i="14"/>
  <c r="H64" i="14"/>
  <c r="BA64" i="14"/>
  <c r="BC64" i="14"/>
  <c r="BG64" i="14"/>
  <c r="J64" i="14"/>
  <c r="L64" i="14" s="1"/>
  <c r="F145" i="14"/>
  <c r="K145" i="14"/>
  <c r="O145" i="14"/>
  <c r="P145" i="14" s="1"/>
  <c r="O101" i="14"/>
  <c r="P101" i="14" s="1"/>
  <c r="K101" i="14"/>
  <c r="BF101" i="14" s="1"/>
  <c r="F101" i="14"/>
  <c r="AW109" i="14"/>
  <c r="Z109" i="14" s="1"/>
  <c r="G74" i="14"/>
  <c r="AA74" i="14"/>
  <c r="AA55" i="14"/>
  <c r="G55" i="14"/>
  <c r="K95" i="14"/>
  <c r="BD95" i="14" s="1"/>
  <c r="BL95" i="14" s="1"/>
  <c r="O95" i="14"/>
  <c r="P95" i="14" s="1"/>
  <c r="F95" i="14"/>
  <c r="AA122" i="14"/>
  <c r="G122" i="14"/>
  <c r="BH112" i="14"/>
  <c r="BB112" i="14"/>
  <c r="BC112" i="14"/>
  <c r="BD112" i="14"/>
  <c r="BL112" i="14" s="1"/>
  <c r="BE112" i="14"/>
  <c r="BF112" i="14"/>
  <c r="BI112" i="14"/>
  <c r="H112" i="14"/>
  <c r="J112" i="14"/>
  <c r="L112" i="14" s="1"/>
  <c r="BA112" i="14"/>
  <c r="BG112" i="14"/>
  <c r="BJ112" i="14"/>
  <c r="AT111" i="14"/>
  <c r="Y111" i="14" s="1"/>
  <c r="H61" i="14"/>
  <c r="BG61" i="14"/>
  <c r="BH61" i="14"/>
  <c r="BI61" i="14"/>
  <c r="BA61" i="14"/>
  <c r="BB61" i="14"/>
  <c r="BC61" i="14"/>
  <c r="BE61" i="14"/>
  <c r="BF61" i="14"/>
  <c r="BD61" i="14"/>
  <c r="BL61" i="14" s="1"/>
  <c r="BJ61" i="14"/>
  <c r="J61" i="14"/>
  <c r="L61" i="14" s="1"/>
  <c r="K84" i="14"/>
  <c r="O84" i="14"/>
  <c r="P84" i="14" s="1"/>
  <c r="F84" i="14"/>
  <c r="BJ126" i="14"/>
  <c r="BB126" i="14"/>
  <c r="BD126" i="14"/>
  <c r="BE126" i="14"/>
  <c r="BF126" i="14"/>
  <c r="BH126" i="14"/>
  <c r="H126" i="14"/>
  <c r="BA126" i="14"/>
  <c r="BI126" i="14"/>
  <c r="BG126" i="14"/>
  <c r="BC126" i="14"/>
  <c r="J126" i="14"/>
  <c r="L126" i="14" s="1"/>
  <c r="AT155" i="14"/>
  <c r="Y155" i="14" s="1"/>
  <c r="H143" i="14"/>
  <c r="J143" i="14"/>
  <c r="AA141" i="14"/>
  <c r="G141" i="14"/>
  <c r="BJ88" i="14"/>
  <c r="BB88" i="14"/>
  <c r="BD88" i="14"/>
  <c r="BL88" i="14" s="1"/>
  <c r="BE88" i="14"/>
  <c r="BF88" i="14"/>
  <c r="H88" i="14"/>
  <c r="BG88" i="14"/>
  <c r="BH88" i="14"/>
  <c r="BI88" i="14"/>
  <c r="BA88" i="14"/>
  <c r="J88" i="14"/>
  <c r="L88" i="14" s="1"/>
  <c r="BC88" i="14"/>
  <c r="F72" i="14"/>
  <c r="K72" i="14"/>
  <c r="O72" i="14"/>
  <c r="P72" i="14" s="1"/>
  <c r="AA102" i="14"/>
  <c r="G102" i="14"/>
  <c r="K103" i="14"/>
  <c r="O103" i="14"/>
  <c r="P103" i="14" s="1"/>
  <c r="F103" i="14"/>
  <c r="AW113" i="14"/>
  <c r="Z113" i="14" s="1"/>
  <c r="AL76" i="14"/>
  <c r="AM76" i="14"/>
  <c r="AO76" i="14"/>
  <c r="AI76" i="14"/>
  <c r="AH76" i="14"/>
  <c r="BH56" i="14"/>
  <c r="BI56" i="14"/>
  <c r="BJ56" i="14"/>
  <c r="BA56" i="14"/>
  <c r="BB56" i="14"/>
  <c r="BC56" i="14"/>
  <c r="BD56" i="14"/>
  <c r="BL56" i="14" s="1"/>
  <c r="BE56" i="14"/>
  <c r="BF56" i="14"/>
  <c r="H56" i="14"/>
  <c r="BG56" i="14"/>
  <c r="J56" i="14"/>
  <c r="L56" i="14" s="1"/>
  <c r="F57" i="14"/>
  <c r="K57" i="14"/>
  <c r="O57" i="14"/>
  <c r="P57" i="14" s="1"/>
  <c r="G114" i="14"/>
  <c r="AA114" i="14"/>
  <c r="BB148" i="14"/>
  <c r="G105" i="14"/>
  <c r="AA105" i="14"/>
  <c r="H121" i="14"/>
  <c r="J121" i="14"/>
  <c r="G72" i="14"/>
  <c r="AA72" i="14"/>
  <c r="BM66" i="14"/>
  <c r="BN66" i="14"/>
  <c r="BO66" i="14"/>
  <c r="AF76" i="14"/>
  <c r="AG76" i="14"/>
  <c r="AK76" i="14"/>
  <c r="AN76" i="14"/>
  <c r="AJ76" i="14"/>
  <c r="M119" i="14"/>
  <c r="AB132" i="14"/>
  <c r="AC132" i="14"/>
  <c r="BA60" i="14"/>
  <c r="BB60" i="14"/>
  <c r="BD60" i="14"/>
  <c r="BL60" i="14" s="1"/>
  <c r="BE60" i="14"/>
  <c r="BF60" i="14"/>
  <c r="H60" i="14"/>
  <c r="BG60" i="14"/>
  <c r="BH60" i="14"/>
  <c r="BJ60" i="14"/>
  <c r="BC60" i="14"/>
  <c r="BI60" i="14"/>
  <c r="J60" i="14"/>
  <c r="L60" i="14" s="1"/>
  <c r="BK115" i="14"/>
  <c r="AA154" i="14"/>
  <c r="G154" i="14"/>
  <c r="G99" i="14"/>
  <c r="AA99" i="14"/>
  <c r="BI68" i="14"/>
  <c r="BJ68" i="14"/>
  <c r="BA68" i="14"/>
  <c r="BC68" i="14"/>
  <c r="BD68" i="14"/>
  <c r="BL68" i="14" s="1"/>
  <c r="BF68" i="14"/>
  <c r="H68" i="14"/>
  <c r="BB68" i="14"/>
  <c r="BE68" i="14"/>
  <c r="BG68" i="14"/>
  <c r="BH68" i="14"/>
  <c r="J68" i="14"/>
  <c r="L68" i="14" s="1"/>
  <c r="BB142" i="14"/>
  <c r="BC142" i="14"/>
  <c r="BH142" i="14"/>
  <c r="BI142" i="14"/>
  <c r="BE142" i="14"/>
  <c r="BF142" i="14"/>
  <c r="BJ142" i="14"/>
  <c r="BA142" i="14"/>
  <c r="BD142" i="14"/>
  <c r="BG142" i="14"/>
  <c r="H142" i="14"/>
  <c r="J142" i="14"/>
  <c r="L142" i="14" s="1"/>
  <c r="O146" i="14"/>
  <c r="P146" i="14" s="1"/>
  <c r="F146" i="14"/>
  <c r="K146" i="14"/>
  <c r="K115" i="14"/>
  <c r="G123" i="14"/>
  <c r="AA123" i="14"/>
  <c r="BE127" i="14"/>
  <c r="BF127" i="14"/>
  <c r="H127" i="14"/>
  <c r="BG127" i="14"/>
  <c r="BI127" i="14"/>
  <c r="BA127" i="14"/>
  <c r="BC127" i="14"/>
  <c r="BB127" i="14"/>
  <c r="BJ127" i="14"/>
  <c r="BH127" i="14"/>
  <c r="BD127" i="14"/>
  <c r="J127" i="14"/>
  <c r="L127" i="14" s="1"/>
  <c r="BF100" i="14"/>
  <c r="BI100" i="14"/>
  <c r="BA100" i="14"/>
  <c r="BC100" i="14"/>
  <c r="BE100" i="14"/>
  <c r="H100" i="14"/>
  <c r="BG100" i="14"/>
  <c r="BH100" i="14"/>
  <c r="BJ100" i="14"/>
  <c r="BD100" i="14"/>
  <c r="BL100" i="14" s="1"/>
  <c r="BB100" i="14"/>
  <c r="J100" i="14"/>
  <c r="L100" i="14" s="1"/>
  <c r="BB67" i="14"/>
  <c r="BC67" i="14"/>
  <c r="BE67" i="14"/>
  <c r="BF67" i="14"/>
  <c r="BH67" i="14"/>
  <c r="BI67" i="14"/>
  <c r="BA67" i="14"/>
  <c r="BD67" i="14"/>
  <c r="BL67" i="14" s="1"/>
  <c r="BG67" i="14"/>
  <c r="BJ67" i="14"/>
  <c r="H67" i="14"/>
  <c r="J67" i="14"/>
  <c r="L67" i="14" s="1"/>
  <c r="K82" i="14"/>
  <c r="O82" i="14"/>
  <c r="P82" i="14" s="1"/>
  <c r="F82" i="14"/>
  <c r="AV129" i="14"/>
  <c r="AW129" i="14" s="1"/>
  <c r="Z129" i="14" s="1"/>
  <c r="K123" i="14"/>
  <c r="O123" i="14"/>
  <c r="P123" i="14" s="1"/>
  <c r="F123" i="14"/>
  <c r="F99" i="14"/>
  <c r="O99" i="14"/>
  <c r="P99" i="14" s="1"/>
  <c r="K99" i="14"/>
  <c r="BA65" i="14"/>
  <c r="BC65" i="14"/>
  <c r="BD65" i="14"/>
  <c r="BL65" i="14" s="1"/>
  <c r="BF65" i="14"/>
  <c r="H65" i="14"/>
  <c r="BG65" i="14"/>
  <c r="BI65" i="14"/>
  <c r="BJ65" i="14"/>
  <c r="BB65" i="14"/>
  <c r="BE65" i="14"/>
  <c r="BH65" i="14"/>
  <c r="J65" i="14"/>
  <c r="L65" i="14" s="1"/>
  <c r="AA73" i="14"/>
  <c r="G73" i="14"/>
  <c r="BH124" i="14"/>
  <c r="BI124" i="14"/>
  <c r="BJ124" i="14"/>
  <c r="BB124" i="14"/>
  <c r="BC124" i="14"/>
  <c r="BD124" i="14"/>
  <c r="BF124" i="14"/>
  <c r="BE124" i="14"/>
  <c r="BG124" i="14"/>
  <c r="BA124" i="14"/>
  <c r="H124" i="14"/>
  <c r="J124" i="14"/>
  <c r="L124" i="14" s="1"/>
  <c r="G128" i="14"/>
  <c r="AA128" i="14"/>
  <c r="BI117" i="14"/>
  <c r="BJ117" i="14"/>
  <c r="BB117" i="14"/>
  <c r="BD117" i="14"/>
  <c r="BF117" i="14"/>
  <c r="BA117" i="14"/>
  <c r="BE117" i="14"/>
  <c r="BG117" i="14"/>
  <c r="BH117" i="14"/>
  <c r="H117" i="14"/>
  <c r="BC117" i="14"/>
  <c r="J117" i="14"/>
  <c r="L117" i="14" s="1"/>
  <c r="K73" i="14"/>
  <c r="O73" i="14"/>
  <c r="P73" i="14" s="1"/>
  <c r="F73" i="14"/>
  <c r="AW139" i="14"/>
  <c r="Z139" i="14" s="1"/>
  <c r="AS129" i="14"/>
  <c r="F118" i="14"/>
  <c r="O118" i="14"/>
  <c r="P118" i="14" s="1"/>
  <c r="K118" i="14"/>
  <c r="G62" i="14"/>
  <c r="AA62" i="14"/>
  <c r="AA151" i="14"/>
  <c r="G151" i="14"/>
  <c r="BF148" i="14"/>
  <c r="K143" i="14"/>
  <c r="BD143" i="14" s="1"/>
  <c r="O143" i="14"/>
  <c r="P143" i="14" s="1"/>
  <c r="F143" i="14"/>
  <c r="H95" i="14"/>
  <c r="BG95" i="14"/>
  <c r="BJ95" i="14"/>
  <c r="BA95" i="14"/>
  <c r="BB95" i="14"/>
  <c r="BC95" i="14"/>
  <c r="BH95" i="14"/>
  <c r="BI95" i="14"/>
  <c r="BF95" i="14"/>
  <c r="J95" i="14"/>
  <c r="L95" i="14" s="1"/>
  <c r="AA146" i="14"/>
  <c r="G146" i="14"/>
  <c r="G150" i="14"/>
  <c r="AA150" i="14"/>
  <c r="H147" i="14"/>
  <c r="J147" i="14"/>
  <c r="AW138" i="14"/>
  <c r="Z138" i="14" s="1"/>
  <c r="F74" i="14"/>
  <c r="K74" i="14"/>
  <c r="O74" i="14"/>
  <c r="P74" i="14" s="1"/>
  <c r="BD149" i="14"/>
  <c r="BI149" i="14"/>
  <c r="BA149" i="14"/>
  <c r="H149" i="14"/>
  <c r="BB149" i="14"/>
  <c r="BC149" i="14"/>
  <c r="BF149" i="14"/>
  <c r="BG149" i="14"/>
  <c r="BE149" i="14"/>
  <c r="BH149" i="14"/>
  <c r="BJ149" i="14"/>
  <c r="J149" i="14"/>
  <c r="L149" i="14" s="1"/>
  <c r="F92" i="14"/>
  <c r="K92" i="14"/>
  <c r="O92" i="14"/>
  <c r="P92" i="14" s="1"/>
  <c r="G57" i="14"/>
  <c r="AA57" i="14"/>
  <c r="K63" i="14"/>
  <c r="O63" i="14"/>
  <c r="P63" i="14" s="1"/>
  <c r="F63" i="14"/>
  <c r="H71" i="14"/>
  <c r="BF71" i="14"/>
  <c r="BG71" i="14"/>
  <c r="BH71" i="14"/>
  <c r="BI71" i="14"/>
  <c r="BJ71" i="14"/>
  <c r="BA71" i="14"/>
  <c r="BB71" i="14"/>
  <c r="BC71" i="14"/>
  <c r="BD71" i="14"/>
  <c r="BL71" i="14" s="1"/>
  <c r="BE71" i="14"/>
  <c r="J71" i="14"/>
  <c r="L71" i="14" s="1"/>
  <c r="AT150" i="14"/>
  <c r="Y150" i="14" s="1"/>
  <c r="AB131" i="14"/>
  <c r="AC131" i="14"/>
  <c r="BF110" i="14"/>
  <c r="BJ110" i="14"/>
  <c r="BA110" i="14"/>
  <c r="BD110" i="14"/>
  <c r="BL110" i="14" s="1"/>
  <c r="BG110" i="14"/>
  <c r="BH110" i="14"/>
  <c r="BI110" i="14"/>
  <c r="H110" i="14"/>
  <c r="BC110" i="14"/>
  <c r="BE110" i="14"/>
  <c r="BB110" i="14"/>
  <c r="J110" i="14"/>
  <c r="L110" i="14" s="1"/>
  <c r="K109" i="14"/>
  <c r="F109" i="14"/>
  <c r="O109" i="14"/>
  <c r="P109" i="14" s="1"/>
  <c r="F91" i="14"/>
  <c r="K91" i="14"/>
  <c r="O91" i="14"/>
  <c r="P91" i="14" s="1"/>
  <c r="BI93" i="14"/>
  <c r="BA93" i="14"/>
  <c r="BB93" i="14"/>
  <c r="BE93" i="14"/>
  <c r="H93" i="14"/>
  <c r="BG93" i="14"/>
  <c r="BH93" i="14"/>
  <c r="BJ93" i="14"/>
  <c r="BC93" i="14"/>
  <c r="BD93" i="14"/>
  <c r="BL93" i="14" s="1"/>
  <c r="BF93" i="14"/>
  <c r="J93" i="14"/>
  <c r="L93" i="14" s="1"/>
  <c r="BE89" i="14"/>
  <c r="BF89" i="14"/>
  <c r="H89" i="14"/>
  <c r="BG89" i="14"/>
  <c r="BI89" i="14"/>
  <c r="BA89" i="14"/>
  <c r="BB89" i="14"/>
  <c r="BD89" i="14"/>
  <c r="BL89" i="14" s="1"/>
  <c r="BH89" i="14"/>
  <c r="BC89" i="14"/>
  <c r="BJ89" i="14"/>
  <c r="J89" i="14"/>
  <c r="L89" i="14" s="1"/>
  <c r="K154" i="14"/>
  <c r="O154" i="14"/>
  <c r="P154" i="14" s="1"/>
  <c r="F154" i="14"/>
  <c r="G92" i="14"/>
  <c r="AA92" i="14"/>
  <c r="K138" i="14"/>
  <c r="F138" i="14"/>
  <c r="O138" i="14"/>
  <c r="P138" i="14" s="1"/>
  <c r="AT130" i="14"/>
  <c r="Y130" i="14" s="1"/>
  <c r="AW70" i="14"/>
  <c r="Z70" i="14" s="1"/>
  <c r="AA83" i="14"/>
  <c r="G83" i="14"/>
  <c r="K128" i="14"/>
  <c r="F128" i="14"/>
  <c r="O128" i="14"/>
  <c r="P128" i="14" s="1"/>
  <c r="K151" i="14"/>
  <c r="F151" i="14"/>
  <c r="O151" i="14"/>
  <c r="P151" i="14" s="1"/>
  <c r="G115" i="14"/>
  <c r="AA115" i="14"/>
  <c r="BQ66" i="14"/>
  <c r="M66" i="14"/>
  <c r="AZ66" i="14"/>
  <c r="H94" i="14"/>
  <c r="J94" i="14"/>
  <c r="F94" i="14"/>
  <c r="K94" i="14"/>
  <c r="BJ94" i="14" s="1"/>
  <c r="O94" i="14"/>
  <c r="P94" i="14" s="1"/>
  <c r="K121" i="14"/>
  <c r="BF121" i="14" s="1"/>
  <c r="O121" i="14"/>
  <c r="P121" i="14" s="1"/>
  <c r="F121" i="14"/>
  <c r="G84" i="14"/>
  <c r="AA84" i="14"/>
  <c r="H125" i="14"/>
  <c r="J125" i="14"/>
  <c r="BE59" i="14"/>
  <c r="BF59" i="14"/>
  <c r="H59" i="14"/>
  <c r="BG59" i="14"/>
  <c r="BI59" i="14"/>
  <c r="BJ59" i="14"/>
  <c r="BA59" i="14"/>
  <c r="BB59" i="14"/>
  <c r="BC59" i="14"/>
  <c r="BD59" i="14"/>
  <c r="BL59" i="14" s="1"/>
  <c r="BH59" i="14"/>
  <c r="J59" i="14"/>
  <c r="L59" i="14" s="1"/>
  <c r="G90" i="14"/>
  <c r="AA90" i="14"/>
  <c r="BJ148" i="14"/>
  <c r="G155" i="14"/>
  <c r="AA155" i="14"/>
  <c r="BD101" i="14"/>
  <c r="BL101" i="14" s="1"/>
  <c r="H101" i="14"/>
  <c r="J101" i="14"/>
  <c r="L101" i="14" s="1"/>
  <c r="AA104" i="14"/>
  <c r="G104" i="14"/>
  <c r="G103" i="14"/>
  <c r="AA103" i="14"/>
  <c r="AA91" i="14"/>
  <c r="G91" i="14"/>
  <c r="AW97" i="14"/>
  <c r="Z97" i="14" s="1"/>
  <c r="BB152" i="14"/>
  <c r="BD152" i="14"/>
  <c r="BF152" i="14"/>
  <c r="H152" i="14"/>
  <c r="BG152" i="14"/>
  <c r="BI152" i="14"/>
  <c r="BJ152" i="14"/>
  <c r="BE152" i="14"/>
  <c r="BA152" i="14"/>
  <c r="BC152" i="14"/>
  <c r="BH152" i="14"/>
  <c r="J152" i="14"/>
  <c r="L152" i="14" s="1"/>
  <c r="BA85" i="14"/>
  <c r="BB85" i="14"/>
  <c r="BC85" i="14"/>
  <c r="BE85" i="14"/>
  <c r="BF85" i="14"/>
  <c r="H85" i="14"/>
  <c r="BG85" i="14"/>
  <c r="BH85" i="14"/>
  <c r="J85" i="14"/>
  <c r="L85" i="14" s="1"/>
  <c r="BI85" i="14"/>
  <c r="BJ85" i="14"/>
  <c r="BD85" i="14"/>
  <c r="BL85" i="14" s="1"/>
  <c r="F70" i="14"/>
  <c r="K70" i="14"/>
  <c r="O70" i="14"/>
  <c r="P70" i="14" s="1"/>
  <c r="F106" i="14"/>
  <c r="O106" i="14"/>
  <c r="P106" i="14" s="1"/>
  <c r="K106" i="14"/>
  <c r="BA140" i="14"/>
  <c r="BF140" i="14"/>
  <c r="H140" i="14"/>
  <c r="BG140" i="14"/>
  <c r="BJ140" i="14"/>
  <c r="BC140" i="14"/>
  <c r="BD140" i="14"/>
  <c r="BE140" i="14"/>
  <c r="BH140" i="14"/>
  <c r="BI140" i="14"/>
  <c r="BB140" i="14"/>
  <c r="J140" i="14"/>
  <c r="L140" i="14" s="1"/>
  <c r="G86" i="14"/>
  <c r="AA86" i="14"/>
  <c r="AV130" i="14"/>
  <c r="AA116" i="14"/>
  <c r="G116" i="14"/>
  <c r="F125" i="14"/>
  <c r="K125" i="14"/>
  <c r="BB125" i="14" s="1"/>
  <c r="O125" i="14"/>
  <c r="P125" i="14" s="1"/>
  <c r="BJ58" i="14"/>
  <c r="BA58" i="14"/>
  <c r="BB58" i="14"/>
  <c r="BC58" i="14"/>
  <c r="BD58" i="14"/>
  <c r="BL58" i="14" s="1"/>
  <c r="BE58" i="14"/>
  <c r="BF58" i="14"/>
  <c r="H58" i="14"/>
  <c r="BG58" i="14"/>
  <c r="BH58" i="14"/>
  <c r="BI58" i="14"/>
  <c r="J58" i="14"/>
  <c r="L58" i="14" s="1"/>
  <c r="AA107" i="14"/>
  <c r="G107" i="14"/>
  <c r="F97" i="14"/>
  <c r="K97" i="14"/>
  <c r="O97" i="14"/>
  <c r="P97" i="14" s="1"/>
  <c r="AT153" i="14"/>
  <c r="Y153" i="14" s="1"/>
  <c r="G120" i="14"/>
  <c r="AA120" i="14"/>
  <c r="O104" i="14"/>
  <c r="P104" i="14" s="1"/>
  <c r="F104" i="14"/>
  <c r="K104" i="14"/>
  <c r="AT141" i="14"/>
  <c r="Y141" i="14" s="1"/>
  <c r="AU130" i="14"/>
  <c r="AS75" i="14"/>
  <c r="AT75" i="14" s="1"/>
  <c r="Y75" i="14" s="1"/>
  <c r="AW145" i="14"/>
  <c r="Z145" i="14" s="1"/>
  <c r="AW82" i="14"/>
  <c r="Z82" i="14" s="1"/>
  <c r="G106" i="14"/>
  <c r="AA106" i="14"/>
  <c r="AT113" i="14"/>
  <c r="Y113" i="14" s="1"/>
  <c r="BC87" i="14"/>
  <c r="BD87" i="14"/>
  <c r="BL87" i="14" s="1"/>
  <c r="BE87" i="14"/>
  <c r="H87" i="14"/>
  <c r="BG87" i="14"/>
  <c r="BI87" i="14"/>
  <c r="BJ87" i="14"/>
  <c r="BA87" i="14"/>
  <c r="BF87" i="14"/>
  <c r="BH87" i="14"/>
  <c r="BB87" i="14"/>
  <c r="J87" i="14"/>
  <c r="L87" i="14" s="1"/>
  <c r="I92" i="9"/>
  <c r="Q134" i="14" s="1"/>
  <c r="J92" i="9"/>
  <c r="R134" i="14" s="1"/>
  <c r="I37" i="9"/>
  <c r="Q79" i="14" s="1"/>
  <c r="E79" i="14" s="1"/>
  <c r="J38" i="9"/>
  <c r="R80" i="14" s="1"/>
  <c r="K40" i="25"/>
  <c r="J29" i="24" s="1"/>
  <c r="AC29" i="24" s="1"/>
  <c r="I40" i="25"/>
  <c r="G195" i="40" s="1"/>
  <c r="L222" i="40" s="1"/>
  <c r="L280" i="40" s="1"/>
  <c r="H70" i="25"/>
  <c r="L195" i="40" s="1"/>
  <c r="K244" i="40" s="1"/>
  <c r="K301" i="40" s="1"/>
  <c r="H40" i="25"/>
  <c r="F195" i="40" s="1"/>
  <c r="K222" i="40" s="1"/>
  <c r="K280" i="40" s="1"/>
  <c r="K70" i="25"/>
  <c r="J55" i="24" s="1"/>
  <c r="AC55" i="24" s="1"/>
  <c r="J70" i="25"/>
  <c r="I55" i="24" s="1"/>
  <c r="AA55" i="24" s="1"/>
  <c r="P71" i="25"/>
  <c r="N72" i="25"/>
  <c r="O72" i="25"/>
  <c r="G71" i="25"/>
  <c r="H71" i="25" s="1"/>
  <c r="L196" i="40" s="1"/>
  <c r="K245" i="40" s="1"/>
  <c r="K302" i="40" s="1"/>
  <c r="Q71" i="25"/>
  <c r="S71" i="25"/>
  <c r="G41" i="25"/>
  <c r="J41" i="25" s="1"/>
  <c r="S41" i="25"/>
  <c r="Q41" i="25"/>
  <c r="N42" i="25"/>
  <c r="P41" i="25"/>
  <c r="AB42" i="25"/>
  <c r="O42" i="25"/>
  <c r="J244" i="40"/>
  <c r="J301" i="40" s="1"/>
  <c r="I244" i="40"/>
  <c r="I301" i="40" s="1"/>
  <c r="J222" i="40"/>
  <c r="J280" i="40" s="1"/>
  <c r="I222" i="40"/>
  <c r="I280" i="40" s="1"/>
  <c r="H243" i="40"/>
  <c r="H300" i="40" s="1"/>
  <c r="F243" i="40"/>
  <c r="F300" i="40" s="1"/>
  <c r="G243" i="40"/>
  <c r="G300" i="40" s="1"/>
  <c r="E243" i="40"/>
  <c r="E300" i="40" s="1"/>
  <c r="H221" i="40"/>
  <c r="H279" i="40" s="1"/>
  <c r="F221" i="40"/>
  <c r="F279" i="40" s="1"/>
  <c r="G221" i="40"/>
  <c r="G279" i="40" s="1"/>
  <c r="E221" i="40"/>
  <c r="E279" i="40" s="1"/>
  <c r="O100" i="5"/>
  <c r="N100" i="5"/>
  <c r="S60" i="31"/>
  <c r="I62" i="31" s="1"/>
  <c r="AU54" i="14"/>
  <c r="AV54" i="14"/>
  <c r="AR54" i="14"/>
  <c r="AS54" i="14"/>
  <c r="S54" i="32"/>
  <c r="S45" i="32"/>
  <c r="S57" i="32"/>
  <c r="E198" i="7"/>
  <c r="E238" i="7" s="1"/>
  <c r="K41" i="7"/>
  <c r="L144" i="1" s="1"/>
  <c r="K165" i="7"/>
  <c r="L172" i="1" s="1"/>
  <c r="D219" i="7"/>
  <c r="D259" i="7" s="1"/>
  <c r="E95" i="7"/>
  <c r="E219" i="7" s="1"/>
  <c r="E259" i="7" s="1"/>
  <c r="D76" i="7"/>
  <c r="D200" i="7" s="1"/>
  <c r="D240" i="7" s="1"/>
  <c r="J48" i="5"/>
  <c r="D96" i="7"/>
  <c r="D220" i="7" s="1"/>
  <c r="D260" i="7" s="1"/>
  <c r="K36" i="40"/>
  <c r="L36" i="40" s="1"/>
  <c r="L33" i="37"/>
  <c r="C57" i="24"/>
  <c r="D56" i="23"/>
  <c r="J173" i="1"/>
  <c r="E56" i="24"/>
  <c r="K195" i="40"/>
  <c r="N92" i="5"/>
  <c r="N96" i="5"/>
  <c r="O90" i="5"/>
  <c r="G90" i="5" s="1"/>
  <c r="N99" i="5"/>
  <c r="O95" i="5"/>
  <c r="N93" i="5"/>
  <c r="O96" i="5"/>
  <c r="O94" i="5"/>
  <c r="N91" i="5"/>
  <c r="O93" i="5"/>
  <c r="O92" i="5"/>
  <c r="N97" i="5"/>
  <c r="O89" i="5"/>
  <c r="G89" i="5" s="1"/>
  <c r="N94" i="5"/>
  <c r="O91" i="5"/>
  <c r="N95" i="5"/>
  <c r="D64" i="5"/>
  <c r="D73" i="5" s="1"/>
  <c r="O99" i="5"/>
  <c r="N98" i="5"/>
  <c r="F64" i="5"/>
  <c r="O97" i="5"/>
  <c r="O98" i="5"/>
  <c r="F66" i="5"/>
  <c r="D66" i="5"/>
  <c r="J195" i="40"/>
  <c r="M32" i="37"/>
  <c r="F33" i="37"/>
  <c r="E36" i="40"/>
  <c r="F36" i="40" s="1"/>
  <c r="D31" i="23"/>
  <c r="C31" i="24"/>
  <c r="J145" i="1"/>
  <c r="N44" i="5"/>
  <c r="N48" i="5"/>
  <c r="O46" i="5"/>
  <c r="N42" i="5"/>
  <c r="O44" i="5"/>
  <c r="N40" i="5"/>
  <c r="O48" i="5"/>
  <c r="N47" i="5"/>
  <c r="O41" i="5"/>
  <c r="N43" i="5"/>
  <c r="O40" i="5"/>
  <c r="O45" i="5"/>
  <c r="N45" i="5"/>
  <c r="N46" i="5"/>
  <c r="O39" i="5"/>
  <c r="G39" i="5" s="1"/>
  <c r="N41" i="5"/>
  <c r="O42" i="5"/>
  <c r="O47" i="5"/>
  <c r="O43" i="5"/>
  <c r="D16" i="5"/>
  <c r="F16" i="5"/>
  <c r="D14" i="5"/>
  <c r="D23" i="5" s="1"/>
  <c r="F14" i="5"/>
  <c r="E195" i="40"/>
  <c r="I29" i="24"/>
  <c r="AA29" i="24" s="1"/>
  <c r="D195" i="40"/>
  <c r="E30" i="24"/>
  <c r="G32" i="37"/>
  <c r="F43" i="25"/>
  <c r="E43" i="25"/>
  <c r="A43" i="25"/>
  <c r="D44" i="25"/>
  <c r="A73" i="25"/>
  <c r="D74" i="25"/>
  <c r="E73" i="25"/>
  <c r="F73" i="25"/>
  <c r="A90" i="40"/>
  <c r="D225" i="40"/>
  <c r="A224" i="40"/>
  <c r="D282" i="40"/>
  <c r="C199" i="40"/>
  <c r="A199" i="40" s="1"/>
  <c r="E38" i="40"/>
  <c r="F38" i="40"/>
  <c r="C64" i="40"/>
  <c r="A64" i="40" s="1"/>
  <c r="C91" i="40"/>
  <c r="C136" i="40" s="1"/>
  <c r="A136" i="40" s="1"/>
  <c r="A281" i="40"/>
  <c r="D248" i="40"/>
  <c r="A247" i="40"/>
  <c r="D304" i="40"/>
  <c r="I92" i="40"/>
  <c r="A303" i="40"/>
  <c r="C163" i="40"/>
  <c r="A163" i="40" s="1"/>
  <c r="C114" i="37"/>
  <c r="N113" i="37"/>
  <c r="A113" i="37"/>
  <c r="X113" i="37"/>
  <c r="C182" i="37"/>
  <c r="A182" i="37" s="1"/>
  <c r="I61" i="37"/>
  <c r="C88" i="37"/>
  <c r="A60" i="37"/>
  <c r="N87" i="37"/>
  <c r="X87" i="37"/>
  <c r="C155" i="37"/>
  <c r="A155" i="37" s="1"/>
  <c r="A87" i="37"/>
  <c r="C61" i="37"/>
  <c r="F35" i="37"/>
  <c r="A35" i="37"/>
  <c r="A58" i="24"/>
  <c r="C58" i="23"/>
  <c r="B59" i="24"/>
  <c r="C175" i="1"/>
  <c r="K175" i="1" s="1"/>
  <c r="G176" i="1"/>
  <c r="A32" i="23"/>
  <c r="C147" i="1"/>
  <c r="K147" i="1" s="1"/>
  <c r="C33" i="23"/>
  <c r="B33" i="24"/>
  <c r="G148" i="1"/>
  <c r="E199" i="7"/>
  <c r="E239" i="7" s="1"/>
  <c r="E115" i="7"/>
  <c r="A174" i="1"/>
  <c r="H174" i="1"/>
  <c r="I174" i="1" s="1"/>
  <c r="A57" i="23"/>
  <c r="A32" i="24"/>
  <c r="H146" i="1"/>
  <c r="I146" i="1" s="1"/>
  <c r="A146" i="1"/>
  <c r="BA101" i="14" l="1"/>
  <c r="BI101" i="14"/>
  <c r="BE101" i="14"/>
  <c r="BC101" i="14"/>
  <c r="BB101" i="14"/>
  <c r="BJ101" i="14"/>
  <c r="G69" i="14"/>
  <c r="BB147" i="14"/>
  <c r="BH101" i="14"/>
  <c r="BG101" i="14"/>
  <c r="AT129" i="14"/>
  <c r="Y129" i="14" s="1"/>
  <c r="F129" i="14" s="1"/>
  <c r="AA118" i="14"/>
  <c r="BF118" i="14" s="1"/>
  <c r="K96" i="14"/>
  <c r="O115" i="14"/>
  <c r="P115" i="14" s="1"/>
  <c r="F96" i="14"/>
  <c r="O102" i="14"/>
  <c r="P102" i="14" s="1"/>
  <c r="F102" i="14"/>
  <c r="K102" i="14"/>
  <c r="F86" i="14"/>
  <c r="O86" i="14"/>
  <c r="P86" i="14" s="1"/>
  <c r="K86" i="14"/>
  <c r="BQ148" i="14"/>
  <c r="AZ148" i="14"/>
  <c r="L147" i="14"/>
  <c r="BA147" i="14"/>
  <c r="BI147" i="14"/>
  <c r="BD147" i="14"/>
  <c r="BC147" i="14"/>
  <c r="BJ147" i="14"/>
  <c r="BF147" i="14"/>
  <c r="BE147" i="14"/>
  <c r="BH147" i="14"/>
  <c r="BE144" i="14"/>
  <c r="BJ144" i="14"/>
  <c r="BB144" i="14"/>
  <c r="BD144" i="14"/>
  <c r="BF144" i="14"/>
  <c r="BH144" i="14"/>
  <c r="BA144" i="14"/>
  <c r="BC144" i="14"/>
  <c r="BG144" i="14"/>
  <c r="BI144" i="14"/>
  <c r="L144" i="14"/>
  <c r="BC143" i="14"/>
  <c r="BJ143" i="14"/>
  <c r="F139" i="14"/>
  <c r="K139" i="14"/>
  <c r="O139" i="14"/>
  <c r="P139" i="14" s="1"/>
  <c r="BF125" i="14"/>
  <c r="BB121" i="14"/>
  <c r="L121" i="14"/>
  <c r="BQ121" i="14" s="1"/>
  <c r="BQ119" i="14"/>
  <c r="BE95" i="14"/>
  <c r="BI94" i="14"/>
  <c r="AW75" i="14"/>
  <c r="Z75" i="14" s="1"/>
  <c r="F69" i="14"/>
  <c r="K69" i="14"/>
  <c r="O69" i="14"/>
  <c r="P69" i="14" s="1"/>
  <c r="G129" i="14"/>
  <c r="AA129" i="14"/>
  <c r="BN94" i="14"/>
  <c r="BO94" i="14"/>
  <c r="BM94" i="14"/>
  <c r="F75" i="14"/>
  <c r="K75" i="14"/>
  <c r="O75" i="14"/>
  <c r="P75" i="14" s="1"/>
  <c r="AC78" i="14"/>
  <c r="AB78" i="14"/>
  <c r="S79" i="14"/>
  <c r="U79" i="14" s="1"/>
  <c r="V79" i="14" s="1"/>
  <c r="M142" i="14"/>
  <c r="AZ142" i="14"/>
  <c r="BQ142" i="14"/>
  <c r="M68" i="14"/>
  <c r="AZ68" i="14"/>
  <c r="BQ68" i="14"/>
  <c r="BB99" i="14"/>
  <c r="BD99" i="14"/>
  <c r="BL99" i="14" s="1"/>
  <c r="BE99" i="14"/>
  <c r="BF99" i="14"/>
  <c r="BH99" i="14"/>
  <c r="BA99" i="14"/>
  <c r="H99" i="14"/>
  <c r="BC99" i="14"/>
  <c r="J99" i="14"/>
  <c r="L99" i="14" s="1"/>
  <c r="BG99" i="14"/>
  <c r="BJ99" i="14"/>
  <c r="BI99" i="14"/>
  <c r="BO60" i="14"/>
  <c r="BM60" i="14"/>
  <c r="BN60" i="14"/>
  <c r="BH105" i="14"/>
  <c r="BI105" i="14"/>
  <c r="BJ105" i="14"/>
  <c r="H105" i="14"/>
  <c r="BA105" i="14"/>
  <c r="BC105" i="14"/>
  <c r="BD105" i="14"/>
  <c r="BL105" i="14" s="1"/>
  <c r="BG105" i="14"/>
  <c r="BB105" i="14"/>
  <c r="BE105" i="14"/>
  <c r="BF105" i="14"/>
  <c r="J105" i="14"/>
  <c r="L105" i="14" s="1"/>
  <c r="M88" i="14"/>
  <c r="AZ88" i="14"/>
  <c r="BQ88" i="14"/>
  <c r="H141" i="14"/>
  <c r="J141" i="14"/>
  <c r="BA55" i="14"/>
  <c r="BB55" i="14"/>
  <c r="BC55" i="14"/>
  <c r="BD55" i="14"/>
  <c r="BL55" i="14" s="1"/>
  <c r="BE55" i="14"/>
  <c r="BF55" i="14"/>
  <c r="H55" i="14"/>
  <c r="BG55" i="14"/>
  <c r="BH55" i="14"/>
  <c r="J55" i="14"/>
  <c r="L55" i="14" s="1"/>
  <c r="BI55" i="14"/>
  <c r="BJ55" i="14"/>
  <c r="AM77" i="14"/>
  <c r="AH77" i="14"/>
  <c r="AI77" i="14"/>
  <c r="AL77" i="14"/>
  <c r="AO77" i="14"/>
  <c r="M140" i="14"/>
  <c r="AZ140" i="14"/>
  <c r="BQ140" i="14"/>
  <c r="BH125" i="14"/>
  <c r="BG94" i="14"/>
  <c r="O150" i="14"/>
  <c r="P150" i="14" s="1"/>
  <c r="F150" i="14"/>
  <c r="K150" i="14"/>
  <c r="BO58" i="14"/>
  <c r="BN58" i="14"/>
  <c r="BM58" i="14"/>
  <c r="BA104" i="14"/>
  <c r="BC104" i="14"/>
  <c r="H104" i="14"/>
  <c r="BH104" i="14"/>
  <c r="BI104" i="14"/>
  <c r="J104" i="14"/>
  <c r="L104" i="14" s="1"/>
  <c r="BJ104" i="14"/>
  <c r="BB104" i="14"/>
  <c r="BD104" i="14"/>
  <c r="BL104" i="14" s="1"/>
  <c r="BG104" i="14"/>
  <c r="BE104" i="14"/>
  <c r="BF104" i="14"/>
  <c r="BA125" i="14"/>
  <c r="M71" i="14"/>
  <c r="AZ71" i="14"/>
  <c r="BQ71" i="14"/>
  <c r="BB62" i="14"/>
  <c r="BC62" i="14"/>
  <c r="BD62" i="14"/>
  <c r="BL62" i="14" s="1"/>
  <c r="BF62" i="14"/>
  <c r="H62" i="14"/>
  <c r="BG62" i="14"/>
  <c r="BI62" i="14"/>
  <c r="BJ62" i="14"/>
  <c r="BA62" i="14"/>
  <c r="BE62" i="14"/>
  <c r="BH62" i="14"/>
  <c r="J62" i="14"/>
  <c r="L62" i="14" s="1"/>
  <c r="AZ124" i="14"/>
  <c r="M124" i="14"/>
  <c r="BQ124" i="14"/>
  <c r="BH121" i="14"/>
  <c r="L143" i="14"/>
  <c r="F155" i="14"/>
  <c r="O155" i="14"/>
  <c r="P155" i="14" s="1"/>
  <c r="K155" i="14"/>
  <c r="BG155" i="14" s="1"/>
  <c r="BD74" i="14"/>
  <c r="BL74" i="14" s="1"/>
  <c r="BE74" i="14"/>
  <c r="BI74" i="14"/>
  <c r="BJ74" i="14"/>
  <c r="BA74" i="14"/>
  <c r="BB74" i="14"/>
  <c r="H74" i="14"/>
  <c r="BC74" i="14"/>
  <c r="BF74" i="14"/>
  <c r="BG74" i="14"/>
  <c r="BH74" i="14"/>
  <c r="J74" i="14"/>
  <c r="BA118" i="14"/>
  <c r="BC118" i="14"/>
  <c r="BH118" i="14"/>
  <c r="AN77" i="14"/>
  <c r="AF77" i="14"/>
  <c r="AJ77" i="14"/>
  <c r="AK77" i="14"/>
  <c r="AG77" i="14"/>
  <c r="BB92" i="14"/>
  <c r="BD92" i="14"/>
  <c r="BL92" i="14" s="1"/>
  <c r="BF92" i="14"/>
  <c r="BA92" i="14"/>
  <c r="BC92" i="14"/>
  <c r="BG92" i="14"/>
  <c r="BI92" i="14"/>
  <c r="BJ92" i="14"/>
  <c r="BH92" i="14"/>
  <c r="H92" i="14"/>
  <c r="BE92" i="14"/>
  <c r="J92" i="14"/>
  <c r="L92" i="14" s="1"/>
  <c r="H151" i="14"/>
  <c r="BG151" i="14"/>
  <c r="BI151" i="14"/>
  <c r="BB151" i="14"/>
  <c r="BA151" i="14"/>
  <c r="BC151" i="14"/>
  <c r="BD151" i="14"/>
  <c r="BJ151" i="14"/>
  <c r="BE151" i="14"/>
  <c r="BF151" i="14"/>
  <c r="BH151" i="14"/>
  <c r="J151" i="14"/>
  <c r="L151" i="14" s="1"/>
  <c r="E134" i="14"/>
  <c r="M58" i="14"/>
  <c r="AZ58" i="14"/>
  <c r="BQ58" i="14"/>
  <c r="J155" i="14"/>
  <c r="L155" i="14" s="1"/>
  <c r="H155" i="14"/>
  <c r="BJ125" i="14"/>
  <c r="BF94" i="14"/>
  <c r="AA138" i="14"/>
  <c r="G138" i="14"/>
  <c r="BI73" i="14"/>
  <c r="BJ73" i="14"/>
  <c r="BA73" i="14"/>
  <c r="BB73" i="14"/>
  <c r="BC73" i="14"/>
  <c r="BD73" i="14"/>
  <c r="BL73" i="14" s="1"/>
  <c r="BE73" i="14"/>
  <c r="BF73" i="14"/>
  <c r="H73" i="14"/>
  <c r="BG73" i="14"/>
  <c r="BH73" i="14"/>
  <c r="J73" i="14"/>
  <c r="AU76" i="14"/>
  <c r="BC121" i="14"/>
  <c r="AA113" i="14"/>
  <c r="G113" i="14"/>
  <c r="BA143" i="14"/>
  <c r="M126" i="14"/>
  <c r="AZ126" i="14"/>
  <c r="BQ126" i="14"/>
  <c r="M117" i="14"/>
  <c r="AZ117" i="14"/>
  <c r="BQ117" i="14"/>
  <c r="BF120" i="14"/>
  <c r="H120" i="14"/>
  <c r="BG120" i="14"/>
  <c r="BC120" i="14"/>
  <c r="BA120" i="14"/>
  <c r="BD120" i="14"/>
  <c r="BH120" i="14"/>
  <c r="BI120" i="14"/>
  <c r="BJ120" i="14"/>
  <c r="BE120" i="14"/>
  <c r="BB120" i="14"/>
  <c r="J120" i="14"/>
  <c r="L120" i="14" s="1"/>
  <c r="BH154" i="14"/>
  <c r="BE154" i="14"/>
  <c r="BF154" i="14"/>
  <c r="BG154" i="14"/>
  <c r="BI154" i="14"/>
  <c r="BA154" i="14"/>
  <c r="BC154" i="14"/>
  <c r="BB154" i="14"/>
  <c r="H154" i="14"/>
  <c r="J154" i="14"/>
  <c r="L154" i="14" s="1"/>
  <c r="BD154" i="14"/>
  <c r="BJ154" i="14"/>
  <c r="BI121" i="14"/>
  <c r="BB114" i="14"/>
  <c r="BH114" i="14"/>
  <c r="BI114" i="14"/>
  <c r="BJ114" i="14"/>
  <c r="BA114" i="14"/>
  <c r="BC114" i="14"/>
  <c r="BD114" i="14"/>
  <c r="BL114" i="14" s="1"/>
  <c r="BF114" i="14"/>
  <c r="BE114" i="14"/>
  <c r="J114" i="14"/>
  <c r="L114" i="14" s="1"/>
  <c r="BG114" i="14"/>
  <c r="H114" i="14"/>
  <c r="BI143" i="14"/>
  <c r="G109" i="14"/>
  <c r="AA109" i="14"/>
  <c r="BN64" i="14"/>
  <c r="BO64" i="14"/>
  <c r="BM64" i="14"/>
  <c r="BD98" i="14"/>
  <c r="BL98" i="14" s="1"/>
  <c r="H98" i="14"/>
  <c r="BG98" i="14"/>
  <c r="BI98" i="14"/>
  <c r="BJ98" i="14"/>
  <c r="BA98" i="14"/>
  <c r="BB98" i="14"/>
  <c r="BC98" i="14"/>
  <c r="BF98" i="14"/>
  <c r="BH98" i="14"/>
  <c r="BE98" i="14"/>
  <c r="J98" i="14"/>
  <c r="L98" i="14" s="1"/>
  <c r="BI63" i="14"/>
  <c r="BJ63" i="14"/>
  <c r="BA63" i="14"/>
  <c r="BB63" i="14"/>
  <c r="BD63" i="14"/>
  <c r="BL63" i="14" s="1"/>
  <c r="BE63" i="14"/>
  <c r="H63" i="14"/>
  <c r="BG63" i="14"/>
  <c r="BF63" i="14"/>
  <c r="BH63" i="14"/>
  <c r="BC63" i="14"/>
  <c r="J63" i="14"/>
  <c r="L63" i="14" s="1"/>
  <c r="AK131" i="14"/>
  <c r="AG131" i="14"/>
  <c r="AJ131" i="14"/>
  <c r="AN131" i="14"/>
  <c r="AF131" i="14"/>
  <c r="K113" i="14"/>
  <c r="F113" i="14"/>
  <c r="O113" i="14"/>
  <c r="P113" i="14" s="1"/>
  <c r="BG125" i="14"/>
  <c r="BC94" i="14"/>
  <c r="BQ89" i="14"/>
  <c r="M89" i="14"/>
  <c r="AZ89" i="14"/>
  <c r="BQ93" i="14"/>
  <c r="AZ93" i="14"/>
  <c r="M93" i="14"/>
  <c r="BC57" i="14"/>
  <c r="BD57" i="14"/>
  <c r="BL57" i="14" s="1"/>
  <c r="BE57" i="14"/>
  <c r="BF57" i="14"/>
  <c r="H57" i="14"/>
  <c r="BG57" i="14"/>
  <c r="BH57" i="14"/>
  <c r="BI57" i="14"/>
  <c r="BJ57" i="14"/>
  <c r="BA57" i="14"/>
  <c r="BB57" i="14"/>
  <c r="J57" i="14"/>
  <c r="L57" i="14" s="1"/>
  <c r="BM95" i="14"/>
  <c r="BN95" i="14"/>
  <c r="BO95" i="14"/>
  <c r="BQ67" i="14"/>
  <c r="AZ67" i="14"/>
  <c r="M67" i="14"/>
  <c r="M100" i="14"/>
  <c r="AZ100" i="14"/>
  <c r="BQ100" i="14"/>
  <c r="BQ127" i="14"/>
  <c r="M127" i="14"/>
  <c r="AZ127" i="14"/>
  <c r="BD123" i="14"/>
  <c r="BH123" i="14"/>
  <c r="BG123" i="14"/>
  <c r="BI123" i="14"/>
  <c r="BJ123" i="14"/>
  <c r="BA123" i="14"/>
  <c r="BB123" i="14"/>
  <c r="H123" i="14"/>
  <c r="BE123" i="14"/>
  <c r="J123" i="14"/>
  <c r="L123" i="14" s="1"/>
  <c r="BC123" i="14"/>
  <c r="BF123" i="14"/>
  <c r="AV76" i="14"/>
  <c r="BG121" i="14"/>
  <c r="BH143" i="14"/>
  <c r="S133" i="14"/>
  <c r="U133" i="14" s="1"/>
  <c r="V133" i="14"/>
  <c r="AZ149" i="14"/>
  <c r="BQ149" i="14"/>
  <c r="M149" i="14"/>
  <c r="BC106" i="14"/>
  <c r="BH106" i="14"/>
  <c r="BI106" i="14"/>
  <c r="BJ106" i="14"/>
  <c r="BB106" i="14"/>
  <c r="BD106" i="14"/>
  <c r="BL106" i="14" s="1"/>
  <c r="BG106" i="14"/>
  <c r="BA106" i="14"/>
  <c r="BF106" i="14"/>
  <c r="BE106" i="14"/>
  <c r="H106" i="14"/>
  <c r="J106" i="14"/>
  <c r="L106" i="14" s="1"/>
  <c r="O153" i="14"/>
  <c r="P153" i="14" s="1"/>
  <c r="K153" i="14"/>
  <c r="BF153" i="14" s="1"/>
  <c r="F153" i="14"/>
  <c r="BB90" i="14"/>
  <c r="BD90" i="14"/>
  <c r="BL90" i="14" s="1"/>
  <c r="H90" i="14"/>
  <c r="BG90" i="14"/>
  <c r="BH90" i="14"/>
  <c r="BC90" i="14"/>
  <c r="BE90" i="14"/>
  <c r="BF90" i="14"/>
  <c r="BJ90" i="14"/>
  <c r="BA90" i="14"/>
  <c r="BI90" i="14"/>
  <c r="J90" i="14"/>
  <c r="L90" i="14" s="1"/>
  <c r="L94" i="14"/>
  <c r="BA83" i="14"/>
  <c r="BC83" i="14"/>
  <c r="BD83" i="14"/>
  <c r="BL83" i="14" s="1"/>
  <c r="BE83" i="14"/>
  <c r="BF83" i="14"/>
  <c r="H83" i="14"/>
  <c r="BG83" i="14"/>
  <c r="BH83" i="14"/>
  <c r="BI83" i="14"/>
  <c r="BB83" i="14"/>
  <c r="BJ83" i="14"/>
  <c r="J83" i="14"/>
  <c r="L83" i="14" s="1"/>
  <c r="BO89" i="14"/>
  <c r="BM89" i="14"/>
  <c r="BN89" i="14"/>
  <c r="BK116" i="14"/>
  <c r="AS76" i="14"/>
  <c r="BE121" i="14"/>
  <c r="BF143" i="14"/>
  <c r="M61" i="14"/>
  <c r="AZ61" i="14"/>
  <c r="BQ61" i="14"/>
  <c r="O111" i="14"/>
  <c r="P111" i="14" s="1"/>
  <c r="F111" i="14"/>
  <c r="K111" i="14"/>
  <c r="BA111" i="14" s="1"/>
  <c r="H111" i="14"/>
  <c r="J111" i="14"/>
  <c r="L111" i="14" s="1"/>
  <c r="BC108" i="14"/>
  <c r="BD108" i="14"/>
  <c r="BL108" i="14" s="1"/>
  <c r="BH108" i="14"/>
  <c r="BJ108" i="14"/>
  <c r="BB108" i="14"/>
  <c r="BA108" i="14"/>
  <c r="BE108" i="14"/>
  <c r="BF108" i="14"/>
  <c r="J108" i="14"/>
  <c r="L108" i="14" s="1"/>
  <c r="BI108" i="14"/>
  <c r="BG108" i="14"/>
  <c r="H108" i="14"/>
  <c r="M147" i="14"/>
  <c r="AZ147" i="14"/>
  <c r="BQ147" i="14"/>
  <c r="BQ87" i="14"/>
  <c r="M87" i="14"/>
  <c r="AZ87" i="14"/>
  <c r="BE125" i="14"/>
  <c r="BA94" i="14"/>
  <c r="G70" i="14"/>
  <c r="AA70" i="14"/>
  <c r="H146" i="14"/>
  <c r="BG146" i="14"/>
  <c r="BA146" i="14"/>
  <c r="BD146" i="14"/>
  <c r="BB146" i="14"/>
  <c r="BE146" i="14"/>
  <c r="BH146" i="14"/>
  <c r="BI146" i="14"/>
  <c r="BJ146" i="14"/>
  <c r="BC146" i="14"/>
  <c r="BF146" i="14"/>
  <c r="J146" i="14"/>
  <c r="L146" i="14" s="1"/>
  <c r="M65" i="14"/>
  <c r="AZ65" i="14"/>
  <c r="BQ65" i="14"/>
  <c r="BN67" i="14"/>
  <c r="BO67" i="14"/>
  <c r="BM67" i="14"/>
  <c r="AR76" i="14"/>
  <c r="BN56" i="14"/>
  <c r="BO56" i="14"/>
  <c r="BM56" i="14"/>
  <c r="BE143" i="14"/>
  <c r="BO61" i="14"/>
  <c r="BM61" i="14"/>
  <c r="BN61" i="14"/>
  <c r="BN112" i="14"/>
  <c r="BO112" i="14"/>
  <c r="BM112" i="14"/>
  <c r="BA153" i="14"/>
  <c r="BC153" i="14"/>
  <c r="BG153" i="14"/>
  <c r="BH153" i="14"/>
  <c r="H153" i="14"/>
  <c r="J153" i="14"/>
  <c r="L153" i="14" s="1"/>
  <c r="G82" i="14"/>
  <c r="AA82" i="14"/>
  <c r="BQ152" i="14"/>
  <c r="AZ152" i="14"/>
  <c r="M152" i="14"/>
  <c r="K130" i="14"/>
  <c r="F130" i="14"/>
  <c r="O130" i="14"/>
  <c r="P130" i="14" s="1"/>
  <c r="BO71" i="14"/>
  <c r="BM71" i="14"/>
  <c r="BN71" i="14"/>
  <c r="M95" i="14"/>
  <c r="AZ95" i="14"/>
  <c r="BQ95" i="14"/>
  <c r="G139" i="14"/>
  <c r="AA139" i="14"/>
  <c r="BM100" i="14"/>
  <c r="BO100" i="14"/>
  <c r="BN100" i="14"/>
  <c r="BD121" i="14"/>
  <c r="BA102" i="14"/>
  <c r="BB102" i="14"/>
  <c r="BC102" i="14"/>
  <c r="BE102" i="14"/>
  <c r="BG102" i="14"/>
  <c r="BH102" i="14"/>
  <c r="BI102" i="14"/>
  <c r="BJ102" i="14"/>
  <c r="H102" i="14"/>
  <c r="BF102" i="14"/>
  <c r="BD102" i="14"/>
  <c r="BL102" i="14" s="1"/>
  <c r="J102" i="14"/>
  <c r="L102" i="14" s="1"/>
  <c r="BB143" i="14"/>
  <c r="BI122" i="14"/>
  <c r="BA122" i="14"/>
  <c r="BE122" i="14"/>
  <c r="BC122" i="14"/>
  <c r="BD122" i="14"/>
  <c r="BF122" i="14"/>
  <c r="BH122" i="14"/>
  <c r="BB122" i="14"/>
  <c r="H122" i="14"/>
  <c r="BG122" i="14"/>
  <c r="BJ122" i="14"/>
  <c r="J122" i="14"/>
  <c r="L122" i="14" s="1"/>
  <c r="BM59" i="14"/>
  <c r="BO59" i="14"/>
  <c r="BN59" i="14"/>
  <c r="G97" i="14"/>
  <c r="AA97" i="14"/>
  <c r="BM101" i="14"/>
  <c r="BN101" i="14"/>
  <c r="BO101" i="14"/>
  <c r="BD125" i="14"/>
  <c r="BB94" i="14"/>
  <c r="G145" i="14"/>
  <c r="AA145" i="14"/>
  <c r="BA116" i="14"/>
  <c r="BB116" i="14"/>
  <c r="BC116" i="14"/>
  <c r="BE116" i="14"/>
  <c r="H116" i="14"/>
  <c r="BG116" i="14"/>
  <c r="BI116" i="14"/>
  <c r="BF116" i="14"/>
  <c r="BH116" i="14"/>
  <c r="BJ116" i="14"/>
  <c r="BD116" i="14"/>
  <c r="J116" i="14"/>
  <c r="L116" i="14" s="1"/>
  <c r="BM85" i="14"/>
  <c r="BN85" i="14"/>
  <c r="BO85" i="14"/>
  <c r="BD69" i="14"/>
  <c r="BL69" i="14" s="1"/>
  <c r="BE69" i="14"/>
  <c r="H69" i="14"/>
  <c r="BG69" i="14"/>
  <c r="BH69" i="14"/>
  <c r="BJ69" i="14"/>
  <c r="BA69" i="14"/>
  <c r="BF69" i="14"/>
  <c r="BI69" i="14"/>
  <c r="BB69" i="14"/>
  <c r="BC69" i="14"/>
  <c r="J69" i="14"/>
  <c r="L69" i="14" s="1"/>
  <c r="BC125" i="14"/>
  <c r="BH94" i="14"/>
  <c r="BF115" i="14"/>
  <c r="BG115" i="14"/>
  <c r="BH115" i="14"/>
  <c r="BJ115" i="14"/>
  <c r="BN115" i="14" s="1"/>
  <c r="BA115" i="14"/>
  <c r="BB115" i="14"/>
  <c r="BD115" i="14"/>
  <c r="BL115" i="14" s="1"/>
  <c r="BE115" i="14"/>
  <c r="BI115" i="14"/>
  <c r="H115" i="14"/>
  <c r="BC115" i="14"/>
  <c r="J115" i="14"/>
  <c r="L115" i="14" s="1"/>
  <c r="BM93" i="14"/>
  <c r="BO93" i="14"/>
  <c r="BN93" i="14"/>
  <c r="BM110" i="14"/>
  <c r="BN110" i="14"/>
  <c r="BO110" i="14"/>
  <c r="BA121" i="14"/>
  <c r="BG143" i="14"/>
  <c r="BB96" i="14"/>
  <c r="BE96" i="14"/>
  <c r="H96" i="14"/>
  <c r="BG96" i="14"/>
  <c r="BH96" i="14"/>
  <c r="BI96" i="14"/>
  <c r="BA96" i="14"/>
  <c r="BC96" i="14"/>
  <c r="BD96" i="14"/>
  <c r="BL96" i="14" s="1"/>
  <c r="BF96" i="14"/>
  <c r="BJ96" i="14"/>
  <c r="J96" i="14"/>
  <c r="L96" i="14" s="1"/>
  <c r="O141" i="14"/>
  <c r="P141" i="14" s="1"/>
  <c r="F141" i="14"/>
  <c r="K141" i="14"/>
  <c r="BJ141" i="14" s="1"/>
  <c r="BB128" i="14"/>
  <c r="BD128" i="14"/>
  <c r="BF128" i="14"/>
  <c r="H128" i="14"/>
  <c r="BG128" i="14"/>
  <c r="BH128" i="14"/>
  <c r="BJ128" i="14"/>
  <c r="BA128" i="14"/>
  <c r="BC128" i="14"/>
  <c r="BE128" i="14"/>
  <c r="BI128" i="14"/>
  <c r="J128" i="14"/>
  <c r="L128" i="14" s="1"/>
  <c r="BI125" i="14"/>
  <c r="BO87" i="14"/>
  <c r="BN87" i="14"/>
  <c r="BM87" i="14"/>
  <c r="H91" i="14"/>
  <c r="BG91" i="14"/>
  <c r="BI91" i="14"/>
  <c r="BB91" i="14"/>
  <c r="BE91" i="14"/>
  <c r="BF91" i="14"/>
  <c r="BJ91" i="14"/>
  <c r="BA91" i="14"/>
  <c r="BC91" i="14"/>
  <c r="BD91" i="14"/>
  <c r="BL91" i="14" s="1"/>
  <c r="BH91" i="14"/>
  <c r="J91" i="14"/>
  <c r="L91" i="14" s="1"/>
  <c r="BQ59" i="14"/>
  <c r="M59" i="14"/>
  <c r="AZ59" i="14"/>
  <c r="L125" i="14"/>
  <c r="BF84" i="14"/>
  <c r="H84" i="14"/>
  <c r="BG84" i="14"/>
  <c r="BH84" i="14"/>
  <c r="BJ84" i="14"/>
  <c r="BA84" i="14"/>
  <c r="BB84" i="14"/>
  <c r="BC84" i="14"/>
  <c r="BD84" i="14"/>
  <c r="BL84" i="14" s="1"/>
  <c r="BE84" i="14"/>
  <c r="BI84" i="14"/>
  <c r="J84" i="14"/>
  <c r="L84" i="14" s="1"/>
  <c r="BD94" i="14"/>
  <c r="BL94" i="14" s="1"/>
  <c r="M60" i="14"/>
  <c r="AZ60" i="14"/>
  <c r="BQ60" i="14"/>
  <c r="AL132" i="14"/>
  <c r="AH132" i="14"/>
  <c r="AI132" i="14"/>
  <c r="AO132" i="14"/>
  <c r="AM132" i="14"/>
  <c r="BJ121" i="14"/>
  <c r="M56" i="14"/>
  <c r="AZ56" i="14"/>
  <c r="BQ56" i="14"/>
  <c r="M112" i="14"/>
  <c r="AZ112" i="14"/>
  <c r="BQ112" i="14"/>
  <c r="M101" i="14"/>
  <c r="BQ101" i="14"/>
  <c r="AZ101" i="14"/>
  <c r="BE94" i="14"/>
  <c r="BB150" i="14"/>
  <c r="BC150" i="14"/>
  <c r="BD150" i="14"/>
  <c r="BE150" i="14"/>
  <c r="BG150" i="14"/>
  <c r="BH150" i="14"/>
  <c r="H150" i="14"/>
  <c r="BA150" i="14"/>
  <c r="BF150" i="14"/>
  <c r="BI150" i="14"/>
  <c r="BJ150" i="14"/>
  <c r="J150" i="14"/>
  <c r="L150" i="14" s="1"/>
  <c r="AW130" i="14"/>
  <c r="Z130" i="14" s="1"/>
  <c r="BH107" i="14"/>
  <c r="BI107" i="14"/>
  <c r="BA107" i="14"/>
  <c r="BC107" i="14"/>
  <c r="BD107" i="14"/>
  <c r="BL107" i="14" s="1"/>
  <c r="BG107" i="14"/>
  <c r="H107" i="14"/>
  <c r="BB107" i="14"/>
  <c r="BF107" i="14"/>
  <c r="BJ107" i="14"/>
  <c r="BE107" i="14"/>
  <c r="J107" i="14"/>
  <c r="L107" i="14" s="1"/>
  <c r="BH86" i="14"/>
  <c r="BI86" i="14"/>
  <c r="BJ86" i="14"/>
  <c r="BB86" i="14"/>
  <c r="BC86" i="14"/>
  <c r="BD86" i="14"/>
  <c r="BL86" i="14" s="1"/>
  <c r="BE86" i="14"/>
  <c r="BF86" i="14"/>
  <c r="H86" i="14"/>
  <c r="BA86" i="14"/>
  <c r="BG86" i="14"/>
  <c r="J86" i="14"/>
  <c r="L86" i="14" s="1"/>
  <c r="BQ85" i="14"/>
  <c r="M85" i="14"/>
  <c r="AZ85" i="14"/>
  <c r="BF103" i="14"/>
  <c r="BH103" i="14"/>
  <c r="BI103" i="14"/>
  <c r="BJ103" i="14"/>
  <c r="BC103" i="14"/>
  <c r="BD103" i="14"/>
  <c r="BL103" i="14" s="1"/>
  <c r="BE103" i="14"/>
  <c r="BG103" i="14"/>
  <c r="H103" i="14"/>
  <c r="BB103" i="14"/>
  <c r="BA103" i="14"/>
  <c r="J103" i="14"/>
  <c r="L103" i="14" s="1"/>
  <c r="M110" i="14"/>
  <c r="AZ110" i="14"/>
  <c r="BQ110" i="14"/>
  <c r="AH131" i="14"/>
  <c r="AI131" i="14"/>
  <c r="AL131" i="14"/>
  <c r="AO131" i="14"/>
  <c r="AM131" i="14"/>
  <c r="BN65" i="14"/>
  <c r="BM65" i="14"/>
  <c r="BO65" i="14"/>
  <c r="BM68" i="14"/>
  <c r="BN68" i="14"/>
  <c r="BO68" i="14"/>
  <c r="AF132" i="14"/>
  <c r="AK132" i="14"/>
  <c r="AN132" i="14"/>
  <c r="AG132" i="14"/>
  <c r="AJ132" i="14"/>
  <c r="BB72" i="14"/>
  <c r="BC72" i="14"/>
  <c r="BD72" i="14"/>
  <c r="BL72" i="14" s="1"/>
  <c r="BF72" i="14"/>
  <c r="H72" i="14"/>
  <c r="BG72" i="14"/>
  <c r="BH72" i="14"/>
  <c r="BI72" i="14"/>
  <c r="BJ72" i="14"/>
  <c r="BA72" i="14"/>
  <c r="BE72" i="14"/>
  <c r="J72" i="14"/>
  <c r="L72" i="14" s="1"/>
  <c r="BN88" i="14"/>
  <c r="BO88" i="14"/>
  <c r="BM88" i="14"/>
  <c r="BQ64" i="14"/>
  <c r="M64" i="14"/>
  <c r="AZ64" i="14"/>
  <c r="J39" i="9"/>
  <c r="R81" i="14" s="1"/>
  <c r="J93" i="9"/>
  <c r="R135" i="14" s="1"/>
  <c r="I38" i="9"/>
  <c r="Q80" i="14" s="1"/>
  <c r="E80" i="14" s="1"/>
  <c r="I93" i="9"/>
  <c r="Q135" i="14" s="1"/>
  <c r="G72" i="25"/>
  <c r="I72" i="25" s="1"/>
  <c r="M197" i="40" s="1"/>
  <c r="L246" i="40" s="1"/>
  <c r="L303" i="40" s="1"/>
  <c r="Q72" i="25"/>
  <c r="S72" i="25"/>
  <c r="P72" i="25"/>
  <c r="I71" i="25"/>
  <c r="M196" i="40" s="1"/>
  <c r="L245" i="40" s="1"/>
  <c r="L302" i="40" s="1"/>
  <c r="J71" i="25"/>
  <c r="I56" i="24" s="1"/>
  <c r="AA56" i="24" s="1"/>
  <c r="K71" i="25"/>
  <c r="J56" i="24" s="1"/>
  <c r="AC56" i="24" s="1"/>
  <c r="N73" i="25"/>
  <c r="H41" i="25"/>
  <c r="F196" i="40" s="1"/>
  <c r="K223" i="40" s="1"/>
  <c r="K281" i="40" s="1"/>
  <c r="K41" i="25"/>
  <c r="J30" i="24" s="1"/>
  <c r="AC30" i="24" s="1"/>
  <c r="I41" i="25"/>
  <c r="G196" i="40" s="1"/>
  <c r="L223" i="40" s="1"/>
  <c r="L281" i="40" s="1"/>
  <c r="O73" i="25"/>
  <c r="P74" i="25"/>
  <c r="G42" i="25"/>
  <c r="J42" i="25" s="1"/>
  <c r="Q42" i="25"/>
  <c r="S42" i="25"/>
  <c r="P42" i="25"/>
  <c r="AB43" i="25"/>
  <c r="O43" i="25"/>
  <c r="A44" i="25"/>
  <c r="P44" i="25"/>
  <c r="N43" i="25"/>
  <c r="I245" i="40"/>
  <c r="I302" i="40" s="1"/>
  <c r="A74" i="25"/>
  <c r="J245" i="40"/>
  <c r="J302" i="40" s="1"/>
  <c r="I223" i="40"/>
  <c r="I281" i="40" s="1"/>
  <c r="J223" i="40"/>
  <c r="J281" i="40" s="1"/>
  <c r="G244" i="40"/>
  <c r="G301" i="40" s="1"/>
  <c r="E244" i="40"/>
  <c r="E301" i="40" s="1"/>
  <c r="H244" i="40"/>
  <c r="H301" i="40" s="1"/>
  <c r="F244" i="40"/>
  <c r="F301" i="40" s="1"/>
  <c r="G222" i="40"/>
  <c r="G280" i="40" s="1"/>
  <c r="E222" i="40"/>
  <c r="E280" i="40" s="1"/>
  <c r="H222" i="40"/>
  <c r="H280" i="40" s="1"/>
  <c r="F222" i="40"/>
  <c r="F280" i="40" s="1"/>
  <c r="G100" i="5"/>
  <c r="H100" i="5" s="1"/>
  <c r="K100" i="5" s="1"/>
  <c r="AT54" i="14"/>
  <c r="Y54" i="14" s="1"/>
  <c r="F54" i="14" s="1"/>
  <c r="AW54" i="14"/>
  <c r="Z54" i="14" s="1"/>
  <c r="G54" i="14" s="1"/>
  <c r="Q33" i="24"/>
  <c r="R33" i="24"/>
  <c r="X33" i="24"/>
  <c r="AD33" i="24"/>
  <c r="Z33" i="24"/>
  <c r="AB33" i="24"/>
  <c r="O33" i="24"/>
  <c r="P33" i="24"/>
  <c r="E76" i="7"/>
  <c r="E116" i="7" s="1"/>
  <c r="D77" i="7"/>
  <c r="D117" i="7" s="1"/>
  <c r="D116" i="7"/>
  <c r="L41" i="7"/>
  <c r="L145" i="1" s="1"/>
  <c r="E135" i="7"/>
  <c r="D136" i="7"/>
  <c r="E96" i="7"/>
  <c r="E136" i="7" s="1"/>
  <c r="G45" i="5"/>
  <c r="L45" i="5" s="1"/>
  <c r="G43" i="5"/>
  <c r="L43" i="5" s="1"/>
  <c r="G48" i="5"/>
  <c r="H48" i="5" s="1"/>
  <c r="K48" i="5" s="1"/>
  <c r="G46" i="5"/>
  <c r="H46" i="5" s="1"/>
  <c r="K46" i="5" s="1"/>
  <c r="G94" i="5"/>
  <c r="H94" i="5" s="1"/>
  <c r="K94" i="5" s="1"/>
  <c r="G96" i="5"/>
  <c r="L96" i="5" s="1"/>
  <c r="G91" i="5"/>
  <c r="H91" i="5" s="1"/>
  <c r="K91" i="5" s="1"/>
  <c r="L165" i="7"/>
  <c r="L173" i="1" s="1"/>
  <c r="G40" i="5"/>
  <c r="L40" i="5" s="1"/>
  <c r="G44" i="5"/>
  <c r="H44" i="5" s="1"/>
  <c r="K44" i="5" s="1"/>
  <c r="D97" i="7"/>
  <c r="D221" i="7" s="1"/>
  <c r="D261" i="7" s="1"/>
  <c r="K37" i="40"/>
  <c r="L37" i="40" s="1"/>
  <c r="L34" i="37"/>
  <c r="D57" i="23"/>
  <c r="C58" i="24"/>
  <c r="J174" i="1"/>
  <c r="H176" i="1" s="1"/>
  <c r="G93" i="5"/>
  <c r="L89" i="5"/>
  <c r="H89" i="5"/>
  <c r="K89" i="5" s="1"/>
  <c r="G97" i="5"/>
  <c r="G99" i="5"/>
  <c r="G98" i="5"/>
  <c r="H90" i="5"/>
  <c r="K90" i="5" s="1"/>
  <c r="L90" i="5"/>
  <c r="J196" i="40"/>
  <c r="D75" i="5"/>
  <c r="J61" i="37" s="1"/>
  <c r="F75" i="5"/>
  <c r="G92" i="5"/>
  <c r="E57" i="24"/>
  <c r="K196" i="40"/>
  <c r="F77" i="5"/>
  <c r="D77" i="5"/>
  <c r="K61" i="37" s="1"/>
  <c r="G95" i="5"/>
  <c r="M33" i="37"/>
  <c r="E37" i="40"/>
  <c r="F37" i="40" s="1"/>
  <c r="F34" i="37"/>
  <c r="J146" i="1"/>
  <c r="H148" i="1" s="1"/>
  <c r="D32" i="23"/>
  <c r="C32" i="24"/>
  <c r="E196" i="40"/>
  <c r="G41" i="5"/>
  <c r="G47" i="5"/>
  <c r="I30" i="24"/>
  <c r="AA30" i="24" s="1"/>
  <c r="D196" i="40"/>
  <c r="L39" i="5"/>
  <c r="H39" i="5"/>
  <c r="K39" i="5" s="1"/>
  <c r="E31" i="24"/>
  <c r="D25" i="5"/>
  <c r="F25" i="5"/>
  <c r="F27" i="5"/>
  <c r="D27" i="5"/>
  <c r="G42" i="5"/>
  <c r="G33" i="37"/>
  <c r="J72" i="25"/>
  <c r="K72" i="25"/>
  <c r="H72" i="25"/>
  <c r="L197" i="40" s="1"/>
  <c r="I246" i="40" s="1"/>
  <c r="I303" i="40" s="1"/>
  <c r="E64" i="40"/>
  <c r="F64" i="40"/>
  <c r="D64" i="40"/>
  <c r="C92" i="40"/>
  <c r="C137" i="40" s="1"/>
  <c r="A137" i="40" s="1"/>
  <c r="A282" i="40"/>
  <c r="F225" i="40"/>
  <c r="D283" i="40"/>
  <c r="A225" i="40"/>
  <c r="E92" i="40"/>
  <c r="E137" i="40" s="1"/>
  <c r="D92" i="40"/>
  <c r="D226" i="40"/>
  <c r="F199" i="40"/>
  <c r="G199" i="40"/>
  <c r="E199" i="40"/>
  <c r="D199" i="40"/>
  <c r="A91" i="40"/>
  <c r="C164" i="40"/>
  <c r="A164" i="40" s="1"/>
  <c r="A304" i="40"/>
  <c r="A248" i="40"/>
  <c r="D305" i="40"/>
  <c r="C115" i="37"/>
  <c r="N115" i="37" s="1"/>
  <c r="C183" i="37"/>
  <c r="A183" i="37" s="1"/>
  <c r="N114" i="37"/>
  <c r="A114" i="37"/>
  <c r="X114" i="37"/>
  <c r="O89" i="37"/>
  <c r="D89" i="37" s="1"/>
  <c r="G35" i="37"/>
  <c r="Y89" i="37"/>
  <c r="E89" i="37" s="1"/>
  <c r="N88" i="37"/>
  <c r="A88" i="37"/>
  <c r="X88" i="37"/>
  <c r="C156" i="37"/>
  <c r="A156" i="37" s="1"/>
  <c r="C89" i="37"/>
  <c r="A61" i="37"/>
  <c r="F61" i="37"/>
  <c r="D61" i="37"/>
  <c r="E61" i="37"/>
  <c r="D33" i="23"/>
  <c r="A33" i="23"/>
  <c r="A175" i="1"/>
  <c r="H175" i="1"/>
  <c r="I175" i="1" s="1"/>
  <c r="A58" i="23"/>
  <c r="C33" i="24"/>
  <c r="E33" i="24" s="1"/>
  <c r="A33" i="24"/>
  <c r="I147" i="1"/>
  <c r="J147" i="1"/>
  <c r="H147" i="1"/>
  <c r="A147" i="1"/>
  <c r="A59" i="24"/>
  <c r="BB118" i="14" l="1"/>
  <c r="BI118" i="14"/>
  <c r="BG118" i="14"/>
  <c r="H118" i="14"/>
  <c r="BE118" i="14"/>
  <c r="BD118" i="14"/>
  <c r="J118" i="14"/>
  <c r="L118" i="14" s="1"/>
  <c r="BJ118" i="14"/>
  <c r="O129" i="14"/>
  <c r="P129" i="14" s="1"/>
  <c r="K129" i="14"/>
  <c r="AT76" i="14"/>
  <c r="Y76" i="14" s="1"/>
  <c r="BJ155" i="14"/>
  <c r="BF155" i="14"/>
  <c r="BE155" i="14"/>
  <c r="BD155" i="14"/>
  <c r="BB155" i="14"/>
  <c r="BA155" i="14"/>
  <c r="BI155" i="14"/>
  <c r="BC155" i="14"/>
  <c r="BH155" i="14"/>
  <c r="BD153" i="14"/>
  <c r="BJ153" i="14"/>
  <c r="BE153" i="14"/>
  <c r="BI153" i="14"/>
  <c r="BB153" i="14"/>
  <c r="AZ144" i="14"/>
  <c r="M144" i="14"/>
  <c r="BQ144" i="14"/>
  <c r="BF141" i="14"/>
  <c r="AZ121" i="14"/>
  <c r="M121" i="14"/>
  <c r="BM115" i="14"/>
  <c r="AS77" i="14"/>
  <c r="AV77" i="14"/>
  <c r="G75" i="14"/>
  <c r="AA75" i="14"/>
  <c r="AC79" i="14"/>
  <c r="AB79" i="14"/>
  <c r="S80" i="14"/>
  <c r="U80" i="14" s="1"/>
  <c r="V80" i="14" s="1"/>
  <c r="BQ111" i="14"/>
  <c r="AZ111" i="14"/>
  <c r="M111" i="14"/>
  <c r="BC109" i="14"/>
  <c r="BE109" i="14"/>
  <c r="BF109" i="14"/>
  <c r="BI109" i="14"/>
  <c r="BJ109" i="14"/>
  <c r="H109" i="14"/>
  <c r="BA109" i="14"/>
  <c r="BB109" i="14"/>
  <c r="BG109" i="14"/>
  <c r="BD109" i="14"/>
  <c r="BL109" i="14" s="1"/>
  <c r="BH109" i="14"/>
  <c r="J109" i="14"/>
  <c r="L109" i="14" s="1"/>
  <c r="H113" i="14"/>
  <c r="BG113" i="14"/>
  <c r="BI113" i="14"/>
  <c r="BJ113" i="14"/>
  <c r="BD113" i="14"/>
  <c r="BL113" i="14" s="1"/>
  <c r="BE113" i="14"/>
  <c r="BF113" i="14"/>
  <c r="BB113" i="14"/>
  <c r="BA113" i="14"/>
  <c r="BC113" i="14"/>
  <c r="BH113" i="14"/>
  <c r="J113" i="14"/>
  <c r="L113" i="14" s="1"/>
  <c r="BO74" i="14"/>
  <c r="BM74" i="14"/>
  <c r="BN74" i="14"/>
  <c r="M62" i="14"/>
  <c r="AZ62" i="14"/>
  <c r="BQ62" i="14"/>
  <c r="BD141" i="14"/>
  <c r="BQ116" i="14"/>
  <c r="M116" i="14"/>
  <c r="AZ116" i="14"/>
  <c r="AZ150" i="14"/>
  <c r="M150" i="14"/>
  <c r="BQ150" i="14"/>
  <c r="BQ102" i="14"/>
  <c r="M102" i="14"/>
  <c r="AZ102" i="14"/>
  <c r="M72" i="14"/>
  <c r="AZ72" i="14"/>
  <c r="BQ72" i="14"/>
  <c r="AU132" i="14"/>
  <c r="BM107" i="14"/>
  <c r="BO107" i="14"/>
  <c r="BN107" i="14"/>
  <c r="M146" i="14"/>
  <c r="AZ146" i="14"/>
  <c r="BQ146" i="14"/>
  <c r="BB70" i="14"/>
  <c r="BC70" i="14"/>
  <c r="BE70" i="14"/>
  <c r="BJ70" i="14"/>
  <c r="BA70" i="14"/>
  <c r="BD70" i="14"/>
  <c r="BL70" i="14" s="1"/>
  <c r="BF70" i="14"/>
  <c r="H70" i="14"/>
  <c r="BG70" i="14"/>
  <c r="BH70" i="14"/>
  <c r="J70" i="14"/>
  <c r="L70" i="14" s="1"/>
  <c r="BI70" i="14"/>
  <c r="BI111" i="14"/>
  <c r="BM73" i="14"/>
  <c r="BN73" i="14"/>
  <c r="BO73" i="14"/>
  <c r="AU77" i="14"/>
  <c r="BC141" i="14"/>
  <c r="AF78" i="14"/>
  <c r="AK78" i="14"/>
  <c r="AN78" i="14"/>
  <c r="AG78" i="14"/>
  <c r="AJ78" i="14"/>
  <c r="M86" i="14"/>
  <c r="AZ86" i="14"/>
  <c r="BQ86" i="14"/>
  <c r="BQ91" i="14"/>
  <c r="M91" i="14"/>
  <c r="AZ91" i="14"/>
  <c r="AS132" i="14"/>
  <c r="BM69" i="14"/>
  <c r="BO69" i="14"/>
  <c r="BN69" i="14"/>
  <c r="BQ108" i="14"/>
  <c r="AZ108" i="14"/>
  <c r="M108" i="14"/>
  <c r="BJ111" i="14"/>
  <c r="AW76" i="14"/>
  <c r="Z76" i="14" s="1"/>
  <c r="BQ155" i="14"/>
  <c r="M155" i="14"/>
  <c r="AZ155" i="14"/>
  <c r="AR77" i="14"/>
  <c r="AT77" i="14" s="1"/>
  <c r="Y77" i="14" s="1"/>
  <c r="BE141" i="14"/>
  <c r="AH78" i="14"/>
  <c r="AM78" i="14"/>
  <c r="AO78" i="14"/>
  <c r="AL78" i="14"/>
  <c r="AI78" i="14"/>
  <c r="M107" i="14"/>
  <c r="AZ107" i="14"/>
  <c r="BQ107" i="14"/>
  <c r="BO84" i="14"/>
  <c r="BM84" i="14"/>
  <c r="BN84" i="14"/>
  <c r="BF111" i="14"/>
  <c r="BN92" i="14"/>
  <c r="BM92" i="14"/>
  <c r="BO92" i="14"/>
  <c r="BB141" i="14"/>
  <c r="G130" i="14"/>
  <c r="AA130" i="14"/>
  <c r="BM103" i="14"/>
  <c r="BO103" i="14"/>
  <c r="BN103" i="14"/>
  <c r="BO102" i="14"/>
  <c r="BM102" i="14"/>
  <c r="BN102" i="14"/>
  <c r="BD139" i="14"/>
  <c r="BE139" i="14"/>
  <c r="BF139" i="14"/>
  <c r="BJ139" i="14"/>
  <c r="BC139" i="14"/>
  <c r="H139" i="14"/>
  <c r="BA139" i="14"/>
  <c r="BB139" i="14"/>
  <c r="BG139" i="14"/>
  <c r="BI139" i="14"/>
  <c r="J139" i="14"/>
  <c r="L139" i="14" s="1"/>
  <c r="BH139" i="14"/>
  <c r="BC111" i="14"/>
  <c r="M83" i="14"/>
  <c r="AZ83" i="14"/>
  <c r="BQ83" i="14"/>
  <c r="M94" i="14"/>
  <c r="AZ94" i="14"/>
  <c r="BQ94" i="14"/>
  <c r="BO106" i="14"/>
  <c r="BM106" i="14"/>
  <c r="BN106" i="14"/>
  <c r="BQ57" i="14"/>
  <c r="M57" i="14"/>
  <c r="AZ57" i="14"/>
  <c r="AR131" i="14"/>
  <c r="BM98" i="14"/>
  <c r="BN98" i="14"/>
  <c r="BO98" i="14"/>
  <c r="AZ120" i="14"/>
  <c r="BQ120" i="14"/>
  <c r="M120" i="14"/>
  <c r="BI138" i="14"/>
  <c r="BJ138" i="14"/>
  <c r="BC138" i="14"/>
  <c r="BD138" i="14"/>
  <c r="BE138" i="14"/>
  <c r="BH138" i="14"/>
  <c r="BB138" i="14"/>
  <c r="BF138" i="14"/>
  <c r="BG138" i="14"/>
  <c r="H138" i="14"/>
  <c r="BA138" i="14"/>
  <c r="J138" i="14"/>
  <c r="L138" i="14" s="1"/>
  <c r="BQ118" i="14"/>
  <c r="AZ118" i="14"/>
  <c r="M118" i="14"/>
  <c r="BN62" i="14"/>
  <c r="BM62" i="14"/>
  <c r="BO62" i="14"/>
  <c r="BA141" i="14"/>
  <c r="M151" i="14"/>
  <c r="AZ151" i="14"/>
  <c r="BQ151" i="14"/>
  <c r="BN72" i="14"/>
  <c r="BM72" i="14"/>
  <c r="BO72" i="14"/>
  <c r="E135" i="14"/>
  <c r="AR132" i="14"/>
  <c r="AT132" i="14" s="1"/>
  <c r="Y132" i="14" s="1"/>
  <c r="BM91" i="14"/>
  <c r="BN91" i="14"/>
  <c r="BO91" i="14"/>
  <c r="BB111" i="14"/>
  <c r="BM83" i="14"/>
  <c r="BN83" i="14"/>
  <c r="BO83" i="14"/>
  <c r="M90" i="14"/>
  <c r="AZ90" i="14"/>
  <c r="BQ90" i="14"/>
  <c r="M114" i="14"/>
  <c r="BQ114" i="14"/>
  <c r="AZ114" i="14"/>
  <c r="BH141" i="14"/>
  <c r="BD111" i="14"/>
  <c r="BL111" i="14" s="1"/>
  <c r="BN114" i="14"/>
  <c r="BO114" i="14"/>
  <c r="BM114" i="14"/>
  <c r="AV132" i="14"/>
  <c r="AZ115" i="14"/>
  <c r="M115" i="14"/>
  <c r="BQ115" i="14"/>
  <c r="BI97" i="14"/>
  <c r="BB97" i="14"/>
  <c r="BC97" i="14"/>
  <c r="BD97" i="14"/>
  <c r="BL97" i="14" s="1"/>
  <c r="BF97" i="14"/>
  <c r="H97" i="14"/>
  <c r="BA97" i="14"/>
  <c r="BE97" i="14"/>
  <c r="BG97" i="14"/>
  <c r="BH97" i="14"/>
  <c r="BJ97" i="14"/>
  <c r="J97" i="14"/>
  <c r="L97" i="14" s="1"/>
  <c r="H82" i="14"/>
  <c r="BG82" i="14"/>
  <c r="BH82" i="14"/>
  <c r="BI82" i="14"/>
  <c r="BA82" i="14"/>
  <c r="BC82" i="14"/>
  <c r="BD82" i="14"/>
  <c r="BL82" i="14" s="1"/>
  <c r="BE82" i="14"/>
  <c r="BF82" i="14"/>
  <c r="BJ82" i="14"/>
  <c r="BB82" i="14"/>
  <c r="J82" i="14"/>
  <c r="L82" i="14" s="1"/>
  <c r="O76" i="14"/>
  <c r="P76" i="14" s="1"/>
  <c r="F76" i="14"/>
  <c r="K76" i="14"/>
  <c r="BH111" i="14"/>
  <c r="M123" i="14"/>
  <c r="AZ123" i="14"/>
  <c r="BQ123" i="14"/>
  <c r="AU131" i="14"/>
  <c r="M154" i="14"/>
  <c r="AZ154" i="14"/>
  <c r="BQ154" i="14"/>
  <c r="BG141" i="14"/>
  <c r="BN99" i="14"/>
  <c r="BM99" i="14"/>
  <c r="BO99" i="14"/>
  <c r="BQ122" i="14"/>
  <c r="M122" i="14"/>
  <c r="AZ122" i="14"/>
  <c r="M128" i="14"/>
  <c r="AZ128" i="14"/>
  <c r="BQ128" i="14"/>
  <c r="BO108" i="14"/>
  <c r="BN108" i="14"/>
  <c r="BM108" i="14"/>
  <c r="BG111" i="14"/>
  <c r="BM57" i="14"/>
  <c r="BN57" i="14"/>
  <c r="BO57" i="14"/>
  <c r="AS131" i="14"/>
  <c r="BM63" i="14"/>
  <c r="BO63" i="14"/>
  <c r="BN63" i="14"/>
  <c r="BQ143" i="14"/>
  <c r="AZ143" i="14"/>
  <c r="M143" i="14"/>
  <c r="BN96" i="14"/>
  <c r="BO96" i="14"/>
  <c r="BM96" i="14"/>
  <c r="M92" i="14"/>
  <c r="BQ92" i="14"/>
  <c r="AZ92" i="14"/>
  <c r="BO86" i="14"/>
  <c r="BM86" i="14"/>
  <c r="BN86" i="14"/>
  <c r="M84" i="14"/>
  <c r="AZ84" i="14"/>
  <c r="BQ84" i="14"/>
  <c r="BQ125" i="14"/>
  <c r="M125" i="14"/>
  <c r="AZ125" i="14"/>
  <c r="BQ69" i="14"/>
  <c r="M69" i="14"/>
  <c r="AZ69" i="14"/>
  <c r="M153" i="14"/>
  <c r="BQ153" i="14"/>
  <c r="AZ153" i="14"/>
  <c r="BO115" i="14"/>
  <c r="BO90" i="14"/>
  <c r="BN90" i="14"/>
  <c r="BM90" i="14"/>
  <c r="AZ106" i="14"/>
  <c r="M106" i="14"/>
  <c r="BQ106" i="14"/>
  <c r="AV131" i="14"/>
  <c r="BM55" i="14"/>
  <c r="BN55" i="14"/>
  <c r="BO55" i="14"/>
  <c r="L141" i="14"/>
  <c r="BN105" i="14"/>
  <c r="BM105" i="14"/>
  <c r="BO105" i="14"/>
  <c r="BQ99" i="14"/>
  <c r="AZ99" i="14"/>
  <c r="M99" i="14"/>
  <c r="BE145" i="14"/>
  <c r="BF145" i="14"/>
  <c r="BI145" i="14"/>
  <c r="H145" i="14"/>
  <c r="BA145" i="14"/>
  <c r="BB145" i="14"/>
  <c r="BC145" i="14"/>
  <c r="BD145" i="14"/>
  <c r="BH145" i="14"/>
  <c r="BJ145" i="14"/>
  <c r="BG145" i="14"/>
  <c r="J145" i="14"/>
  <c r="L145" i="14" s="1"/>
  <c r="AC133" i="14"/>
  <c r="AB133" i="14"/>
  <c r="BE111" i="14"/>
  <c r="BM116" i="14"/>
  <c r="BN116" i="14"/>
  <c r="BO116" i="14"/>
  <c r="BK117" i="14"/>
  <c r="BL116" i="14"/>
  <c r="BQ63" i="14"/>
  <c r="M63" i="14"/>
  <c r="AZ63" i="14"/>
  <c r="AZ98" i="14"/>
  <c r="M98" i="14"/>
  <c r="BQ98" i="14"/>
  <c r="BM104" i="14"/>
  <c r="BN104" i="14"/>
  <c r="BO104" i="14"/>
  <c r="BI141" i="14"/>
  <c r="H129" i="14"/>
  <c r="BI129" i="14"/>
  <c r="BB129" i="14"/>
  <c r="BC129" i="14"/>
  <c r="BE129" i="14"/>
  <c r="BA129" i="14"/>
  <c r="BF129" i="14"/>
  <c r="BG129" i="14"/>
  <c r="BH129" i="14"/>
  <c r="BJ129" i="14"/>
  <c r="BD129" i="14"/>
  <c r="J129" i="14"/>
  <c r="L129" i="14" s="1"/>
  <c r="M105" i="14"/>
  <c r="BQ105" i="14"/>
  <c r="AZ105" i="14"/>
  <c r="M103" i="14"/>
  <c r="AZ103" i="14"/>
  <c r="BQ103" i="14"/>
  <c r="BQ96" i="14"/>
  <c r="M96" i="14"/>
  <c r="AZ96" i="14"/>
  <c r="S134" i="14"/>
  <c r="U134" i="14" s="1"/>
  <c r="V134" i="14" s="1"/>
  <c r="M104" i="14"/>
  <c r="BQ104" i="14"/>
  <c r="AZ104" i="14"/>
  <c r="BQ55" i="14"/>
  <c r="M55" i="14"/>
  <c r="AZ55" i="14"/>
  <c r="I94" i="9"/>
  <c r="Q136" i="14" s="1"/>
  <c r="I39" i="9"/>
  <c r="Q81" i="14" s="1"/>
  <c r="E81" i="14" s="1"/>
  <c r="J94" i="9"/>
  <c r="R136" i="14" s="1"/>
  <c r="E136" i="14" s="1"/>
  <c r="R36" i="5"/>
  <c r="E50" i="40"/>
  <c r="E47" i="37"/>
  <c r="D47" i="37"/>
  <c r="D50" i="40"/>
  <c r="Q36" i="5"/>
  <c r="K42" i="25"/>
  <c r="J31" i="24" s="1"/>
  <c r="AC31" i="24" s="1"/>
  <c r="I42" i="25"/>
  <c r="G197" i="40" s="1"/>
  <c r="L224" i="40" s="1"/>
  <c r="L282" i="40" s="1"/>
  <c r="H42" i="25"/>
  <c r="F197" i="40" s="1"/>
  <c r="K224" i="40" s="1"/>
  <c r="K282" i="40" s="1"/>
  <c r="S73" i="25"/>
  <c r="Q73" i="25"/>
  <c r="G73" i="25"/>
  <c r="I73" i="25" s="1"/>
  <c r="M198" i="40" s="1"/>
  <c r="P73" i="25"/>
  <c r="G43" i="25"/>
  <c r="I43" i="25" s="1"/>
  <c r="G198" i="40" s="1"/>
  <c r="Q43" i="25"/>
  <c r="S43" i="25"/>
  <c r="P43" i="25"/>
  <c r="L61" i="37"/>
  <c r="J74" i="25"/>
  <c r="J199" i="40" s="1"/>
  <c r="K74" i="25"/>
  <c r="K199" i="40" s="1"/>
  <c r="H74" i="25"/>
  <c r="L199" i="40" s="1"/>
  <c r="I74" i="25"/>
  <c r="M199" i="40" s="1"/>
  <c r="J246" i="40"/>
  <c r="J303" i="40" s="1"/>
  <c r="J224" i="40"/>
  <c r="J282" i="40" s="1"/>
  <c r="I224" i="40"/>
  <c r="I282" i="40" s="1"/>
  <c r="H245" i="40"/>
  <c r="H302" i="40" s="1"/>
  <c r="F245" i="40"/>
  <c r="F302" i="40" s="1"/>
  <c r="G245" i="40"/>
  <c r="G302" i="40" s="1"/>
  <c r="E245" i="40"/>
  <c r="E302" i="40" s="1"/>
  <c r="G223" i="40"/>
  <c r="G281" i="40" s="1"/>
  <c r="E223" i="40"/>
  <c r="E281" i="40" s="1"/>
  <c r="H223" i="40"/>
  <c r="H281" i="40" s="1"/>
  <c r="F223" i="40"/>
  <c r="F281" i="40" s="1"/>
  <c r="L100" i="5"/>
  <c r="R100" i="5" s="1"/>
  <c r="H45" i="5"/>
  <c r="K45" i="5" s="1"/>
  <c r="Q45" i="5" s="1"/>
  <c r="G28" i="24" s="1"/>
  <c r="W28" i="24" s="1"/>
  <c r="K38" i="40"/>
  <c r="L38" i="40" s="1"/>
  <c r="L35" i="37"/>
  <c r="J175" i="1"/>
  <c r="N165" i="7" s="1"/>
  <c r="L175" i="1" s="1"/>
  <c r="D58" i="23"/>
  <c r="C59" i="24"/>
  <c r="Q101" i="5"/>
  <c r="J64" i="40"/>
  <c r="R101" i="5"/>
  <c r="K64" i="40"/>
  <c r="L46" i="5"/>
  <c r="R46" i="5" s="1"/>
  <c r="H29" i="24" s="1"/>
  <c r="Y29" i="24" s="1"/>
  <c r="J50" i="40"/>
  <c r="Q87" i="5"/>
  <c r="J47" i="37"/>
  <c r="K50" i="40"/>
  <c r="R87" i="5"/>
  <c r="K47" i="37"/>
  <c r="R47" i="37" s="1"/>
  <c r="K54" i="14"/>
  <c r="O54" i="14"/>
  <c r="P54" i="14" s="1"/>
  <c r="AA54" i="14"/>
  <c r="J54" i="14" s="1"/>
  <c r="L54" i="14" s="1"/>
  <c r="M54" i="14" s="1"/>
  <c r="AA88" i="37"/>
  <c r="AC88" i="37"/>
  <c r="S88" i="37"/>
  <c r="Q88" i="37"/>
  <c r="J51" i="40"/>
  <c r="Q88" i="5"/>
  <c r="J48" i="37"/>
  <c r="K51" i="40"/>
  <c r="R88" i="5"/>
  <c r="K48" i="37"/>
  <c r="Y102" i="37" s="1"/>
  <c r="Q37" i="5"/>
  <c r="D51" i="40"/>
  <c r="D48" i="37"/>
  <c r="E48" i="37"/>
  <c r="R37" i="5"/>
  <c r="E51" i="40"/>
  <c r="J46" i="37"/>
  <c r="Q46" i="37" s="1"/>
  <c r="Q86" i="5"/>
  <c r="J49" i="40"/>
  <c r="K46" i="37"/>
  <c r="R46" i="37" s="1"/>
  <c r="K49" i="40"/>
  <c r="R86" i="5"/>
  <c r="E46" i="37"/>
  <c r="P46" i="37" s="1"/>
  <c r="E49" i="40"/>
  <c r="R35" i="5"/>
  <c r="Q35" i="5"/>
  <c r="D46" i="37"/>
  <c r="D49" i="40"/>
  <c r="D77" i="40" s="1"/>
  <c r="D122" i="40" s="1"/>
  <c r="H40" i="5"/>
  <c r="K40" i="5" s="1"/>
  <c r="Q40" i="5" s="1"/>
  <c r="G23" i="24" s="1"/>
  <c r="W23" i="24" s="1"/>
  <c r="E200" i="7"/>
  <c r="E240" i="7" s="1"/>
  <c r="D201" i="7"/>
  <c r="D241" i="7" s="1"/>
  <c r="E77" i="7"/>
  <c r="E201" i="7" s="1"/>
  <c r="E241" i="7" s="1"/>
  <c r="E220" i="7"/>
  <c r="E260" i="7" s="1"/>
  <c r="Q85" i="5"/>
  <c r="J48" i="40"/>
  <c r="J45" i="37"/>
  <c r="R85" i="5"/>
  <c r="K45" i="37"/>
  <c r="Y99" i="37" s="1"/>
  <c r="K48" i="40"/>
  <c r="D45" i="37"/>
  <c r="O45" i="37" s="1"/>
  <c r="D48" i="40"/>
  <c r="Q34" i="5"/>
  <c r="E48" i="40"/>
  <c r="E45" i="37"/>
  <c r="P45" i="37" s="1"/>
  <c r="R34" i="5"/>
  <c r="E97" i="7"/>
  <c r="E221" i="7" s="1"/>
  <c r="E261" i="7" s="1"/>
  <c r="D137" i="7"/>
  <c r="M41" i="7"/>
  <c r="L146" i="1" s="1"/>
  <c r="D78" i="7"/>
  <c r="E78" i="7" s="1"/>
  <c r="E52" i="40"/>
  <c r="R38" i="5"/>
  <c r="E49" i="37"/>
  <c r="Y77" i="37" s="1"/>
  <c r="D49" i="37"/>
  <c r="D52" i="40"/>
  <c r="D80" i="40" s="1"/>
  <c r="D125" i="40" s="1"/>
  <c r="F125" i="40" s="1"/>
  <c r="Q38" i="5"/>
  <c r="L91" i="5"/>
  <c r="R91" i="5" s="1"/>
  <c r="H49" i="24" s="1"/>
  <c r="Y49" i="24" s="1"/>
  <c r="L44" i="5"/>
  <c r="R44" i="5" s="1"/>
  <c r="H27" i="24" s="1"/>
  <c r="Y27" i="24" s="1"/>
  <c r="K246" i="40"/>
  <c r="K303" i="40" s="1"/>
  <c r="J225" i="40"/>
  <c r="J283" i="40" s="1"/>
  <c r="I225" i="40"/>
  <c r="I283" i="40" s="1"/>
  <c r="E225" i="40"/>
  <c r="E283" i="40" s="1"/>
  <c r="H43" i="5"/>
  <c r="K43" i="5" s="1"/>
  <c r="Q43" i="5" s="1"/>
  <c r="G26" i="24" s="1"/>
  <c r="W26" i="24" s="1"/>
  <c r="L94" i="5"/>
  <c r="R94" i="5" s="1"/>
  <c r="H52" i="24" s="1"/>
  <c r="Y52" i="24" s="1"/>
  <c r="L48" i="5"/>
  <c r="R48" i="5" s="1"/>
  <c r="H31" i="24" s="1"/>
  <c r="Y31" i="24" s="1"/>
  <c r="H96" i="5"/>
  <c r="K96" i="5" s="1"/>
  <c r="J56" i="37" s="1"/>
  <c r="D98" i="7"/>
  <c r="D222" i="7" s="1"/>
  <c r="D262" i="7" s="1"/>
  <c r="M165" i="7"/>
  <c r="L174" i="1" s="1"/>
  <c r="J57" i="24"/>
  <c r="AC57" i="24" s="1"/>
  <c r="K197" i="40"/>
  <c r="Q90" i="5"/>
  <c r="G48" i="24" s="1"/>
  <c r="W48" i="24" s="1"/>
  <c r="J53" i="40"/>
  <c r="J81" i="40" s="1"/>
  <c r="D153" i="40" s="1"/>
  <c r="F153" i="40" s="1"/>
  <c r="J50" i="37"/>
  <c r="L93" i="5"/>
  <c r="H93" i="5"/>
  <c r="K93" i="5" s="1"/>
  <c r="I57" i="24"/>
  <c r="AA57" i="24" s="1"/>
  <c r="J197" i="40"/>
  <c r="L98" i="5"/>
  <c r="H98" i="5"/>
  <c r="K98" i="5" s="1"/>
  <c r="J49" i="37"/>
  <c r="Q100" i="5"/>
  <c r="J63" i="40"/>
  <c r="J91" i="40" s="1"/>
  <c r="J60" i="37"/>
  <c r="Q60" i="37" s="1"/>
  <c r="Q94" i="5"/>
  <c r="G52" i="24" s="1"/>
  <c r="W52" i="24" s="1"/>
  <c r="J57" i="40"/>
  <c r="J85" i="40" s="1"/>
  <c r="D157" i="40" s="1"/>
  <c r="F157" i="40" s="1"/>
  <c r="J54" i="37"/>
  <c r="H99" i="5"/>
  <c r="K99" i="5" s="1"/>
  <c r="L99" i="5"/>
  <c r="E58" i="24"/>
  <c r="L97" i="5"/>
  <c r="H97" i="5"/>
  <c r="K97" i="5" s="1"/>
  <c r="L95" i="5"/>
  <c r="H95" i="5"/>
  <c r="K95" i="5" s="1"/>
  <c r="H92" i="5"/>
  <c r="K92" i="5" s="1"/>
  <c r="L92" i="5"/>
  <c r="R96" i="5"/>
  <c r="H54" i="24" s="1"/>
  <c r="Y54" i="24" s="1"/>
  <c r="K59" i="40"/>
  <c r="K56" i="37"/>
  <c r="Q89" i="5"/>
  <c r="J52" i="40"/>
  <c r="J80" i="40" s="1"/>
  <c r="D152" i="40" s="1"/>
  <c r="F152" i="40" s="1"/>
  <c r="M34" i="37"/>
  <c r="Q91" i="5"/>
  <c r="G49" i="24" s="1"/>
  <c r="W49" i="24" s="1"/>
  <c r="J54" i="40"/>
  <c r="J82" i="40" s="1"/>
  <c r="D154" i="40" s="1"/>
  <c r="F154" i="40" s="1"/>
  <c r="J51" i="37"/>
  <c r="R90" i="5"/>
  <c r="H48" i="24" s="1"/>
  <c r="Y48" i="24" s="1"/>
  <c r="K53" i="40"/>
  <c r="K50" i="37"/>
  <c r="K49" i="37"/>
  <c r="K52" i="40"/>
  <c r="K80" i="40" s="1"/>
  <c r="E152" i="40" s="1"/>
  <c r="R89" i="5"/>
  <c r="R49" i="5"/>
  <c r="L344" i="40"/>
  <c r="E63" i="40"/>
  <c r="G91" i="40" s="1"/>
  <c r="H136" i="40" s="1"/>
  <c r="E60" i="37"/>
  <c r="R45" i="5"/>
  <c r="H28" i="24" s="1"/>
  <c r="Y28" i="24" s="1"/>
  <c r="E56" i="37"/>
  <c r="E59" i="40"/>
  <c r="R40" i="5"/>
  <c r="H23" i="24" s="1"/>
  <c r="Y23" i="24" s="1"/>
  <c r="E54" i="40"/>
  <c r="E51" i="37"/>
  <c r="Q44" i="5"/>
  <c r="G27" i="24" s="1"/>
  <c r="W27" i="24" s="1"/>
  <c r="D58" i="40"/>
  <c r="D86" i="40" s="1"/>
  <c r="D131" i="40" s="1"/>
  <c r="F131" i="40" s="1"/>
  <c r="D55" i="37"/>
  <c r="Q39" i="5"/>
  <c r="D50" i="37"/>
  <c r="D53" i="40"/>
  <c r="D81" i="40" s="1"/>
  <c r="D126" i="40" s="1"/>
  <c r="F126" i="40" s="1"/>
  <c r="E62" i="40"/>
  <c r="E59" i="37"/>
  <c r="AE87" i="37" s="1"/>
  <c r="R39" i="5"/>
  <c r="E53" i="40"/>
  <c r="E50" i="37"/>
  <c r="Q48" i="5"/>
  <c r="G31" i="24" s="1"/>
  <c r="W31" i="24" s="1"/>
  <c r="D62" i="40"/>
  <c r="D90" i="40" s="1"/>
  <c r="D135" i="40" s="1"/>
  <c r="F135" i="40" s="1"/>
  <c r="D59" i="37"/>
  <c r="O87" i="37" s="1"/>
  <c r="E32" i="24"/>
  <c r="E197" i="40"/>
  <c r="Q46" i="5"/>
  <c r="G29" i="24" s="1"/>
  <c r="W29" i="24" s="1"/>
  <c r="D60" i="40"/>
  <c r="D88" i="40" s="1"/>
  <c r="D133" i="40" s="1"/>
  <c r="F133" i="40" s="1"/>
  <c r="D57" i="37"/>
  <c r="R43" i="5"/>
  <c r="H26" i="24" s="1"/>
  <c r="Y26" i="24" s="1"/>
  <c r="E54" i="37"/>
  <c r="E57" i="40"/>
  <c r="I31" i="24"/>
  <c r="AA31" i="24" s="1"/>
  <c r="D197" i="40"/>
  <c r="Q49" i="5"/>
  <c r="G344" i="40"/>
  <c r="D60" i="37"/>
  <c r="D63" i="40"/>
  <c r="L47" i="5"/>
  <c r="H47" i="5"/>
  <c r="K47" i="5" s="1"/>
  <c r="O88" i="37"/>
  <c r="D88" i="37" s="1"/>
  <c r="G34" i="37"/>
  <c r="Y88" i="37"/>
  <c r="E88" i="37" s="1"/>
  <c r="H42" i="5"/>
  <c r="K42" i="5" s="1"/>
  <c r="L42" i="5"/>
  <c r="H41" i="5"/>
  <c r="K41" i="5" s="1"/>
  <c r="L41" i="5"/>
  <c r="D91" i="40"/>
  <c r="D136" i="40" s="1"/>
  <c r="F136" i="40" s="1"/>
  <c r="E91" i="40"/>
  <c r="E136" i="40" s="1"/>
  <c r="G92" i="40"/>
  <c r="H137" i="40" s="1"/>
  <c r="A92" i="40"/>
  <c r="F92" i="40"/>
  <c r="D137" i="40"/>
  <c r="A283" i="40"/>
  <c r="F283" i="40"/>
  <c r="E226" i="40"/>
  <c r="G226" i="40"/>
  <c r="D284" i="40"/>
  <c r="H226" i="40"/>
  <c r="L226" i="40"/>
  <c r="I226" i="40"/>
  <c r="F226" i="40"/>
  <c r="J226" i="40"/>
  <c r="K226" i="40"/>
  <c r="A226" i="40"/>
  <c r="A305" i="40"/>
  <c r="A115" i="37"/>
  <c r="X115" i="37"/>
  <c r="C184" i="37"/>
  <c r="A184" i="37" s="1"/>
  <c r="X89" i="37"/>
  <c r="A89" i="37"/>
  <c r="N89" i="37"/>
  <c r="C157" i="37"/>
  <c r="A157" i="37" s="1"/>
  <c r="U89" i="37"/>
  <c r="J89" i="37" s="1"/>
  <c r="AE89" i="37"/>
  <c r="K89" i="37" s="1"/>
  <c r="D79" i="7"/>
  <c r="N41" i="7"/>
  <c r="L147" i="1" s="1"/>
  <c r="I148" i="1"/>
  <c r="B209" i="1" s="1"/>
  <c r="G33" i="24"/>
  <c r="W33" i="24" s="1"/>
  <c r="H33" i="24"/>
  <c r="Y33" i="24" s="1"/>
  <c r="I33" i="24"/>
  <c r="AA33" i="24" s="1"/>
  <c r="J33" i="24"/>
  <c r="AC33" i="24" s="1"/>
  <c r="I176" i="1"/>
  <c r="B210" i="1" s="1"/>
  <c r="J33" i="23"/>
  <c r="K33" i="23"/>
  <c r="BQ129" i="14" l="1"/>
  <c r="AZ129" i="14"/>
  <c r="M129" i="14"/>
  <c r="AW77" i="14"/>
  <c r="Z77" i="14" s="1"/>
  <c r="BE75" i="14"/>
  <c r="BF75" i="14"/>
  <c r="H75" i="14"/>
  <c r="BG75" i="14"/>
  <c r="BH75" i="14"/>
  <c r="BI75" i="14"/>
  <c r="BA75" i="14"/>
  <c r="BB75" i="14"/>
  <c r="BC75" i="14"/>
  <c r="BJ75" i="14"/>
  <c r="J75" i="14"/>
  <c r="BD75" i="14"/>
  <c r="BL75" i="14" s="1"/>
  <c r="AB134" i="14"/>
  <c r="AC134" i="14"/>
  <c r="S81" i="14"/>
  <c r="U81" i="14" s="1"/>
  <c r="V81" i="14" s="1"/>
  <c r="AB80" i="14"/>
  <c r="AC80" i="14"/>
  <c r="BO82" i="14"/>
  <c r="BN82" i="14"/>
  <c r="BM82" i="14"/>
  <c r="BQ138" i="14"/>
  <c r="AZ138" i="14"/>
  <c r="M138" i="14"/>
  <c r="BO109" i="14"/>
  <c r="BM109" i="14"/>
  <c r="BN109" i="14"/>
  <c r="G76" i="14"/>
  <c r="AA76" i="14"/>
  <c r="BM113" i="14"/>
  <c r="BN113" i="14"/>
  <c r="BO113" i="14"/>
  <c r="BD130" i="14"/>
  <c r="BI130" i="14"/>
  <c r="BJ130" i="14"/>
  <c r="BE130" i="14"/>
  <c r="BF130" i="14"/>
  <c r="BG130" i="14"/>
  <c r="BH130" i="14"/>
  <c r="H130" i="14"/>
  <c r="BC130" i="14"/>
  <c r="BA130" i="14"/>
  <c r="BB130" i="14"/>
  <c r="J130" i="14"/>
  <c r="L130" i="14" s="1"/>
  <c r="BM111" i="14"/>
  <c r="BO111" i="14"/>
  <c r="BN111" i="14"/>
  <c r="S136" i="14"/>
  <c r="U136" i="14" s="1"/>
  <c r="V136" i="14" s="1"/>
  <c r="AF133" i="14"/>
  <c r="AG133" i="14"/>
  <c r="AK133" i="14"/>
  <c r="AN133" i="14"/>
  <c r="AJ133" i="14"/>
  <c r="AM133" i="14"/>
  <c r="AL133" i="14"/>
  <c r="AO133" i="14"/>
  <c r="AH133" i="14"/>
  <c r="AI133" i="14"/>
  <c r="AU78" i="14"/>
  <c r="M70" i="14"/>
  <c r="AZ70" i="14"/>
  <c r="BQ70" i="14"/>
  <c r="M145" i="14"/>
  <c r="AZ145" i="14"/>
  <c r="BQ145" i="14"/>
  <c r="AS78" i="14"/>
  <c r="M113" i="14"/>
  <c r="AZ113" i="14"/>
  <c r="BQ113" i="14"/>
  <c r="BQ109" i="14"/>
  <c r="AZ109" i="14"/>
  <c r="M109" i="14"/>
  <c r="AT131" i="14"/>
  <c r="Y131" i="14" s="1"/>
  <c r="AV78" i="14"/>
  <c r="AR78" i="14"/>
  <c r="K132" i="14"/>
  <c r="O132" i="14"/>
  <c r="P132" i="14" s="1"/>
  <c r="F132" i="14"/>
  <c r="BQ139" i="14"/>
  <c r="M139" i="14"/>
  <c r="AZ139" i="14"/>
  <c r="O77" i="14"/>
  <c r="P77" i="14" s="1"/>
  <c r="K77" i="14"/>
  <c r="F77" i="14"/>
  <c r="AW132" i="14"/>
  <c r="Z132" i="14" s="1"/>
  <c r="BL117" i="14"/>
  <c r="BN117" i="14"/>
  <c r="BK118" i="14"/>
  <c r="BM117" i="14"/>
  <c r="BO117" i="14"/>
  <c r="M82" i="14"/>
  <c r="AZ82" i="14"/>
  <c r="BQ82" i="14"/>
  <c r="M97" i="14"/>
  <c r="AZ97" i="14"/>
  <c r="BQ97" i="14"/>
  <c r="S135" i="14"/>
  <c r="U135" i="14" s="1"/>
  <c r="V135" i="14" s="1"/>
  <c r="AA77" i="14"/>
  <c r="G77" i="14"/>
  <c r="AJ79" i="14"/>
  <c r="AK79" i="14"/>
  <c r="AF79" i="14"/>
  <c r="AG79" i="14"/>
  <c r="AN79" i="14"/>
  <c r="BQ141" i="14"/>
  <c r="AZ141" i="14"/>
  <c r="M141" i="14"/>
  <c r="AW131" i="14"/>
  <c r="Z131" i="14" s="1"/>
  <c r="BN97" i="14"/>
  <c r="BO97" i="14"/>
  <c r="BM97" i="14"/>
  <c r="BM70" i="14"/>
  <c r="BN70" i="14"/>
  <c r="BO70" i="14"/>
  <c r="AO79" i="14"/>
  <c r="AH79" i="14"/>
  <c r="AL79" i="14"/>
  <c r="AM79" i="14"/>
  <c r="AI79" i="14"/>
  <c r="J95" i="9"/>
  <c r="R137" i="14" s="1"/>
  <c r="I95" i="9"/>
  <c r="Q137" i="14" s="1"/>
  <c r="O75" i="37"/>
  <c r="D75" i="37" s="1"/>
  <c r="U75" i="37"/>
  <c r="J75" i="37" s="1"/>
  <c r="AE75" i="37"/>
  <c r="Y75" i="37"/>
  <c r="E75" i="37" s="1"/>
  <c r="G78" i="40"/>
  <c r="H123" i="40" s="1"/>
  <c r="E78" i="40"/>
  <c r="E123" i="40" s="1"/>
  <c r="G19" i="24"/>
  <c r="W19" i="24" s="1"/>
  <c r="H19" i="23"/>
  <c r="J19" i="23" s="1"/>
  <c r="L65" i="7"/>
  <c r="D78" i="40"/>
  <c r="D123" i="40" s="1"/>
  <c r="F123" i="40" s="1"/>
  <c r="F78" i="40"/>
  <c r="G123" i="40" s="1"/>
  <c r="F50" i="40"/>
  <c r="O47" i="37"/>
  <c r="F47" i="37"/>
  <c r="K75" i="37"/>
  <c r="P105" i="7"/>
  <c r="H19" i="24"/>
  <c r="Y19" i="24" s="1"/>
  <c r="I19" i="23"/>
  <c r="K19" i="23" s="1"/>
  <c r="K43" i="25"/>
  <c r="J32" i="24" s="1"/>
  <c r="J73" i="25"/>
  <c r="I58" i="24" s="1"/>
  <c r="G200" i="40"/>
  <c r="H73" i="25"/>
  <c r="L198" i="40" s="1"/>
  <c r="L200" i="40" s="1"/>
  <c r="K73" i="25"/>
  <c r="J58" i="24" s="1"/>
  <c r="H43" i="25"/>
  <c r="F198" i="40" s="1"/>
  <c r="K225" i="40" s="1"/>
  <c r="K283" i="40" s="1"/>
  <c r="J43" i="25"/>
  <c r="I32" i="24" s="1"/>
  <c r="D99" i="7"/>
  <c r="E99" i="7" s="1"/>
  <c r="M200" i="40"/>
  <c r="D56" i="37"/>
  <c r="O84" i="37" s="1"/>
  <c r="D84" i="37" s="1"/>
  <c r="D59" i="40"/>
  <c r="D87" i="40" s="1"/>
  <c r="D132" i="40" s="1"/>
  <c r="F132" i="40" s="1"/>
  <c r="E57" i="37"/>
  <c r="AE85" i="37" s="1"/>
  <c r="K85" i="37" s="1"/>
  <c r="O85" i="37"/>
  <c r="D85" i="37" s="1"/>
  <c r="U85" i="37"/>
  <c r="J85" i="37" s="1"/>
  <c r="Y84" i="37"/>
  <c r="E84" i="37" s="1"/>
  <c r="AE84" i="37"/>
  <c r="K84" i="37" s="1"/>
  <c r="O110" i="37"/>
  <c r="D110" i="37" s="1"/>
  <c r="U110" i="37"/>
  <c r="J110" i="37" s="1"/>
  <c r="Y110" i="37"/>
  <c r="E110" i="37" s="1"/>
  <c r="AE110" i="37"/>
  <c r="K110" i="37" s="1"/>
  <c r="L64" i="40"/>
  <c r="K60" i="37"/>
  <c r="R60" i="37" s="1"/>
  <c r="K63" i="40"/>
  <c r="M91" i="40" s="1"/>
  <c r="H163" i="40" s="1"/>
  <c r="I247" i="40"/>
  <c r="I304" i="40" s="1"/>
  <c r="J247" i="40"/>
  <c r="J304" i="40" s="1"/>
  <c r="H246" i="40"/>
  <c r="H303" i="40" s="1"/>
  <c r="F246" i="40"/>
  <c r="F303" i="40" s="1"/>
  <c r="G246" i="40"/>
  <c r="G303" i="40" s="1"/>
  <c r="E246" i="40"/>
  <c r="E303" i="40" s="1"/>
  <c r="H224" i="40"/>
  <c r="H282" i="40" s="1"/>
  <c r="F224" i="40"/>
  <c r="F282" i="40" s="1"/>
  <c r="G224" i="40"/>
  <c r="G282" i="40" s="1"/>
  <c r="E224" i="40"/>
  <c r="E282" i="40" s="1"/>
  <c r="M87" i="40"/>
  <c r="H159" i="40" s="1"/>
  <c r="K87" i="40"/>
  <c r="E159" i="40" s="1"/>
  <c r="O114" i="37"/>
  <c r="D114" i="37" s="1"/>
  <c r="G87" i="40"/>
  <c r="H132" i="40" s="1"/>
  <c r="E87" i="40"/>
  <c r="E132" i="40" s="1"/>
  <c r="G90" i="40"/>
  <c r="H135" i="40" s="1"/>
  <c r="E90" i="40"/>
  <c r="E135" i="40" s="1"/>
  <c r="E55" i="37"/>
  <c r="F55" i="37" s="1"/>
  <c r="E60" i="40"/>
  <c r="F60" i="40" s="1"/>
  <c r="K57" i="40"/>
  <c r="K85" i="40" s="1"/>
  <c r="E157" i="40" s="1"/>
  <c r="E58" i="40"/>
  <c r="G86" i="40" s="1"/>
  <c r="H131" i="40" s="1"/>
  <c r="P139" i="7"/>
  <c r="I58" i="23"/>
  <c r="K58" i="23" s="1"/>
  <c r="L99" i="7"/>
  <c r="H58" i="23"/>
  <c r="J58" i="23" s="1"/>
  <c r="E59" i="24"/>
  <c r="E102" i="37"/>
  <c r="O115" i="37"/>
  <c r="Y115" i="37"/>
  <c r="E115" i="37" s="1"/>
  <c r="M35" i="37"/>
  <c r="K92" i="40"/>
  <c r="E164" i="40" s="1"/>
  <c r="J92" i="40"/>
  <c r="D164" i="40" s="1"/>
  <c r="F164" i="40" s="1"/>
  <c r="L248" i="40"/>
  <c r="L305" i="40" s="1"/>
  <c r="G248" i="40"/>
  <c r="G305" i="40" s="1"/>
  <c r="E248" i="40"/>
  <c r="E305" i="40" s="1"/>
  <c r="H248" i="40"/>
  <c r="H305" i="40" s="1"/>
  <c r="L92" i="40"/>
  <c r="G164" i="40" s="1"/>
  <c r="M92" i="40"/>
  <c r="H164" i="40" s="1"/>
  <c r="I248" i="40"/>
  <c r="I305" i="40" s="1"/>
  <c r="F248" i="40"/>
  <c r="F305" i="40" s="1"/>
  <c r="J248" i="40"/>
  <c r="J305" i="40" s="1"/>
  <c r="K248" i="40"/>
  <c r="K305" i="40" s="1"/>
  <c r="E77" i="37"/>
  <c r="D87" i="37"/>
  <c r="O101" i="37"/>
  <c r="D101" i="37" s="1"/>
  <c r="U101" i="37"/>
  <c r="J101" i="37" s="1"/>
  <c r="AE101" i="37"/>
  <c r="K101" i="37" s="1"/>
  <c r="Y101" i="37"/>
  <c r="E101" i="37" s="1"/>
  <c r="M78" i="40"/>
  <c r="H150" i="40" s="1"/>
  <c r="K78" i="40"/>
  <c r="E150" i="40" s="1"/>
  <c r="I44" i="23"/>
  <c r="K44" i="23" s="1"/>
  <c r="H45" i="24"/>
  <c r="Y45" i="24" s="1"/>
  <c r="P125" i="7"/>
  <c r="Q47" i="37"/>
  <c r="L47" i="37"/>
  <c r="G45" i="24"/>
  <c r="W45" i="24" s="1"/>
  <c r="H44" i="23"/>
  <c r="J44" i="23" s="1"/>
  <c r="L85" i="7"/>
  <c r="J78" i="40"/>
  <c r="D150" i="40" s="1"/>
  <c r="L78" i="40"/>
  <c r="G150" i="40" s="1"/>
  <c r="L50" i="40"/>
  <c r="BH54" i="14"/>
  <c r="H54" i="14"/>
  <c r="BD54" i="14"/>
  <c r="BB54" i="14"/>
  <c r="BG54" i="14"/>
  <c r="BJ54" i="14"/>
  <c r="BM54" i="14" s="1"/>
  <c r="BE54" i="14"/>
  <c r="AZ54" i="14"/>
  <c r="BI54" i="14"/>
  <c r="BF54" i="14"/>
  <c r="BA54" i="14"/>
  <c r="BC54" i="14"/>
  <c r="Q89" i="37"/>
  <c r="F89" i="37" s="1"/>
  <c r="S89" i="37"/>
  <c r="H89" i="37" s="1"/>
  <c r="G157" i="37" s="1"/>
  <c r="AA89" i="37"/>
  <c r="G89" i="37" s="1"/>
  <c r="E157" i="37" s="1"/>
  <c r="AC89" i="37"/>
  <c r="I89" i="37" s="1"/>
  <c r="E99" i="37"/>
  <c r="M79" i="40"/>
  <c r="H151" i="40" s="1"/>
  <c r="K79" i="40"/>
  <c r="E151" i="40" s="1"/>
  <c r="Q48" i="37"/>
  <c r="O102" i="37"/>
  <c r="AE76" i="37"/>
  <c r="K76" i="37" s="1"/>
  <c r="Y76" i="37"/>
  <c r="O48" i="37"/>
  <c r="O76" i="37"/>
  <c r="G79" i="40"/>
  <c r="H124" i="40" s="1"/>
  <c r="E79" i="40"/>
  <c r="E124" i="40" s="1"/>
  <c r="AE102" i="37"/>
  <c r="K102" i="37" s="1"/>
  <c r="R48" i="37"/>
  <c r="H46" i="24"/>
  <c r="Y46" i="24" s="1"/>
  <c r="I45" i="23"/>
  <c r="K45" i="23" s="1"/>
  <c r="P126" i="7"/>
  <c r="U102" i="37"/>
  <c r="L48" i="37"/>
  <c r="H45" i="23"/>
  <c r="J45" i="23" s="1"/>
  <c r="L86" i="7"/>
  <c r="G46" i="24"/>
  <c r="W46" i="24" s="1"/>
  <c r="J79" i="40"/>
  <c r="D151" i="40" s="1"/>
  <c r="F151" i="40" s="1"/>
  <c r="L51" i="40"/>
  <c r="L79" i="40"/>
  <c r="G151" i="40" s="1"/>
  <c r="O74" i="37"/>
  <c r="O46" i="37"/>
  <c r="P106" i="7"/>
  <c r="H20" i="24"/>
  <c r="Y20" i="24" s="1"/>
  <c r="I20" i="23"/>
  <c r="K20" i="23" s="1"/>
  <c r="P48" i="37"/>
  <c r="U76" i="37"/>
  <c r="F48" i="37"/>
  <c r="D79" i="40"/>
  <c r="D124" i="40" s="1"/>
  <c r="F79" i="40"/>
  <c r="G124" i="40" s="1"/>
  <c r="I124" i="40" s="1"/>
  <c r="F51" i="40"/>
  <c r="G20" i="24"/>
  <c r="W20" i="24" s="1"/>
  <c r="H20" i="23"/>
  <c r="J20" i="23" s="1"/>
  <c r="L66" i="7"/>
  <c r="M77" i="40"/>
  <c r="H149" i="40" s="1"/>
  <c r="K77" i="40"/>
  <c r="E149" i="40" s="1"/>
  <c r="AE100" i="37"/>
  <c r="K100" i="37" s="1"/>
  <c r="Y100" i="37"/>
  <c r="G77" i="40"/>
  <c r="H122" i="40" s="1"/>
  <c r="E77" i="40"/>
  <c r="E122" i="40" s="1"/>
  <c r="F122" i="40" s="1"/>
  <c r="AE74" i="37"/>
  <c r="K74" i="37" s="1"/>
  <c r="Y74" i="37"/>
  <c r="I43" i="23"/>
  <c r="K43" i="23" s="1"/>
  <c r="P124" i="7"/>
  <c r="H44" i="24"/>
  <c r="Y44" i="24" s="1"/>
  <c r="J77" i="40"/>
  <c r="D149" i="40" s="1"/>
  <c r="L49" i="40"/>
  <c r="L77" i="40"/>
  <c r="G149" i="40" s="1"/>
  <c r="G44" i="24"/>
  <c r="W44" i="24" s="1"/>
  <c r="H43" i="23"/>
  <c r="J43" i="23" s="1"/>
  <c r="L84" i="7"/>
  <c r="O100" i="37"/>
  <c r="L46" i="37"/>
  <c r="U100" i="37"/>
  <c r="F77" i="40"/>
  <c r="G122" i="40" s="1"/>
  <c r="F49" i="40"/>
  <c r="F46" i="37"/>
  <c r="U74" i="37"/>
  <c r="H18" i="23"/>
  <c r="J18" i="23" s="1"/>
  <c r="G18" i="24"/>
  <c r="W18" i="24" s="1"/>
  <c r="L64" i="7"/>
  <c r="H18" i="24"/>
  <c r="Y18" i="24" s="1"/>
  <c r="I18" i="23"/>
  <c r="K18" i="23" s="1"/>
  <c r="P104" i="7"/>
  <c r="D54" i="40"/>
  <c r="D82" i="40" s="1"/>
  <c r="D127" i="40" s="1"/>
  <c r="F127" i="40" s="1"/>
  <c r="D51" i="37"/>
  <c r="U79" i="37" s="1"/>
  <c r="J79" i="37" s="1"/>
  <c r="O105" i="37"/>
  <c r="U105" i="37"/>
  <c r="J105" i="37" s="1"/>
  <c r="Y104" i="37"/>
  <c r="AE104" i="37"/>
  <c r="K104" i="37" s="1"/>
  <c r="O104" i="37"/>
  <c r="U104" i="37"/>
  <c r="J104" i="37" s="1"/>
  <c r="O108" i="37"/>
  <c r="U108" i="37"/>
  <c r="J108" i="37" s="1"/>
  <c r="Y82" i="37"/>
  <c r="AE82" i="37"/>
  <c r="K82" i="37" s="1"/>
  <c r="O83" i="37"/>
  <c r="U83" i="37"/>
  <c r="J83" i="37" s="1"/>
  <c r="Y78" i="37"/>
  <c r="AE78" i="37"/>
  <c r="K78" i="37" s="1"/>
  <c r="O78" i="37"/>
  <c r="U78" i="37"/>
  <c r="J78" i="37" s="1"/>
  <c r="Y79" i="37"/>
  <c r="AE79" i="37"/>
  <c r="K79" i="37" s="1"/>
  <c r="D57" i="40"/>
  <c r="D85" i="40" s="1"/>
  <c r="D130" i="40" s="1"/>
  <c r="F130" i="40" s="1"/>
  <c r="D54" i="37"/>
  <c r="K54" i="40"/>
  <c r="K82" i="40" s="1"/>
  <c r="E154" i="40" s="1"/>
  <c r="K54" i="37"/>
  <c r="L54" i="37" s="1"/>
  <c r="K51" i="37"/>
  <c r="L51" i="37" s="1"/>
  <c r="O99" i="37"/>
  <c r="Q45" i="37"/>
  <c r="M81" i="40"/>
  <c r="H153" i="40" s="1"/>
  <c r="K81" i="40"/>
  <c r="E153" i="40" s="1"/>
  <c r="O77" i="37"/>
  <c r="O49" i="37"/>
  <c r="G81" i="40"/>
  <c r="H126" i="40" s="1"/>
  <c r="E81" i="40"/>
  <c r="E126" i="40" s="1"/>
  <c r="G85" i="40"/>
  <c r="H130" i="40" s="1"/>
  <c r="E85" i="40"/>
  <c r="E130" i="40" s="1"/>
  <c r="G82" i="40"/>
  <c r="H127" i="40" s="1"/>
  <c r="E82" i="40"/>
  <c r="E127" i="40" s="1"/>
  <c r="E137" i="7"/>
  <c r="M76" i="40"/>
  <c r="H148" i="40" s="1"/>
  <c r="K76" i="40"/>
  <c r="E148" i="40" s="1"/>
  <c r="G76" i="40"/>
  <c r="H121" i="40" s="1"/>
  <c r="E76" i="40"/>
  <c r="E121" i="40" s="1"/>
  <c r="E117" i="7"/>
  <c r="D118" i="7"/>
  <c r="D202" i="7"/>
  <c r="D242" i="7" s="1"/>
  <c r="R45" i="37"/>
  <c r="AE99" i="37"/>
  <c r="AA99" i="37" s="1"/>
  <c r="I42" i="23"/>
  <c r="K42" i="23" s="1"/>
  <c r="H43" i="24"/>
  <c r="Y43" i="24" s="1"/>
  <c r="P123" i="7"/>
  <c r="U99" i="37"/>
  <c r="L45" i="37"/>
  <c r="J76" i="40"/>
  <c r="D148" i="40" s="1"/>
  <c r="L76" i="40"/>
  <c r="G148" i="40" s="1"/>
  <c r="L48" i="40"/>
  <c r="H42" i="23"/>
  <c r="J42" i="23" s="1"/>
  <c r="G43" i="24"/>
  <c r="W43" i="24" s="1"/>
  <c r="L83" i="7"/>
  <c r="H17" i="24"/>
  <c r="Y17" i="24" s="1"/>
  <c r="P103" i="7"/>
  <c r="I17" i="23"/>
  <c r="K17" i="23" s="1"/>
  <c r="Y73" i="37"/>
  <c r="AE73" i="37"/>
  <c r="K73" i="37" s="1"/>
  <c r="G17" i="24"/>
  <c r="W17" i="24" s="1"/>
  <c r="L63" i="7"/>
  <c r="H17" i="23"/>
  <c r="J17" i="23" s="1"/>
  <c r="D76" i="40"/>
  <c r="D121" i="40" s="1"/>
  <c r="F48" i="40"/>
  <c r="F76" i="40"/>
  <c r="G121" i="40" s="1"/>
  <c r="O73" i="37"/>
  <c r="F45" i="37"/>
  <c r="U73" i="37"/>
  <c r="J73" i="37" s="1"/>
  <c r="J227" i="40"/>
  <c r="I227" i="40"/>
  <c r="G80" i="40"/>
  <c r="H125" i="40" s="1"/>
  <c r="E80" i="40"/>
  <c r="E125" i="40" s="1"/>
  <c r="V42" i="37"/>
  <c r="Y103" i="37"/>
  <c r="AE103" i="37"/>
  <c r="K103" i="37" s="1"/>
  <c r="O103" i="37"/>
  <c r="U103" i="37"/>
  <c r="J103" i="37" s="1"/>
  <c r="H21" i="23"/>
  <c r="J21" i="23" s="1"/>
  <c r="L67" i="7"/>
  <c r="G21" i="24"/>
  <c r="W21" i="24" s="1"/>
  <c r="F52" i="40"/>
  <c r="F80" i="40"/>
  <c r="G125" i="40" s="1"/>
  <c r="F49" i="37"/>
  <c r="U77" i="37"/>
  <c r="P49" i="37"/>
  <c r="AE77" i="37"/>
  <c r="AA77" i="37" s="1"/>
  <c r="I21" i="23"/>
  <c r="K21" i="23" s="1"/>
  <c r="H21" i="24"/>
  <c r="Y21" i="24" s="1"/>
  <c r="P107" i="7"/>
  <c r="L247" i="40"/>
  <c r="L304" i="40" s="1"/>
  <c r="L60" i="37"/>
  <c r="K247" i="40"/>
  <c r="K304" i="40" s="1"/>
  <c r="G47" i="24"/>
  <c r="W47" i="24" s="1"/>
  <c r="H47" i="24"/>
  <c r="Y47" i="24" s="1"/>
  <c r="M80" i="40"/>
  <c r="H152" i="40" s="1"/>
  <c r="E98" i="7"/>
  <c r="E138" i="7" s="1"/>
  <c r="J59" i="40"/>
  <c r="L59" i="40" s="1"/>
  <c r="Q96" i="5"/>
  <c r="G54" i="24" s="1"/>
  <c r="W54" i="24" s="1"/>
  <c r="D138" i="7"/>
  <c r="L52" i="40"/>
  <c r="L80" i="40"/>
  <c r="G152" i="40" s="1"/>
  <c r="L225" i="40"/>
  <c r="L283" i="40" s="1"/>
  <c r="L345" i="40"/>
  <c r="U87" i="37"/>
  <c r="J87" i="37" s="1"/>
  <c r="G345" i="40"/>
  <c r="H22" i="24"/>
  <c r="Y22" i="24" s="1"/>
  <c r="G22" i="24"/>
  <c r="W22" i="24" s="1"/>
  <c r="Y114" i="37"/>
  <c r="P59" i="37"/>
  <c r="Y87" i="37"/>
  <c r="F60" i="37"/>
  <c r="K198" i="40"/>
  <c r="Q51" i="37"/>
  <c r="Q95" i="5"/>
  <c r="G53" i="24" s="1"/>
  <c r="W53" i="24" s="1"/>
  <c r="J58" i="40"/>
  <c r="J86" i="40" s="1"/>
  <c r="D158" i="40" s="1"/>
  <c r="F158" i="40" s="1"/>
  <c r="J55" i="37"/>
  <c r="L91" i="40"/>
  <c r="G163" i="40" s="1"/>
  <c r="Q98" i="5"/>
  <c r="G56" i="24" s="1"/>
  <c r="W56" i="24" s="1"/>
  <c r="J61" i="40"/>
  <c r="J89" i="40" s="1"/>
  <c r="D161" i="40" s="1"/>
  <c r="F161" i="40" s="1"/>
  <c r="J58" i="37"/>
  <c r="L81" i="40"/>
  <c r="L53" i="40"/>
  <c r="D163" i="40"/>
  <c r="L82" i="40"/>
  <c r="G154" i="40" s="1"/>
  <c r="R95" i="5"/>
  <c r="H53" i="24" s="1"/>
  <c r="Y53" i="24" s="1"/>
  <c r="K58" i="40"/>
  <c r="K55" i="37"/>
  <c r="Q54" i="37"/>
  <c r="H57" i="23"/>
  <c r="J57" i="23" s="1"/>
  <c r="L98" i="7"/>
  <c r="R98" i="5"/>
  <c r="H56" i="24" s="1"/>
  <c r="Y56" i="24" s="1"/>
  <c r="K61" i="40"/>
  <c r="K58" i="37"/>
  <c r="H47" i="23"/>
  <c r="J47" i="23" s="1"/>
  <c r="L88" i="7"/>
  <c r="J198" i="40"/>
  <c r="I46" i="23"/>
  <c r="P127" i="7"/>
  <c r="H48" i="23"/>
  <c r="J48" i="23" s="1"/>
  <c r="L89" i="7"/>
  <c r="L87" i="7"/>
  <c r="H46" i="23"/>
  <c r="L85" i="40"/>
  <c r="G157" i="40" s="1"/>
  <c r="Q49" i="37"/>
  <c r="L49" i="37"/>
  <c r="R56" i="37"/>
  <c r="H58" i="24"/>
  <c r="G58" i="24"/>
  <c r="H51" i="23"/>
  <c r="J51" i="23" s="1"/>
  <c r="L92" i="7"/>
  <c r="R49" i="37"/>
  <c r="Q97" i="5"/>
  <c r="G55" i="24" s="1"/>
  <c r="W55" i="24" s="1"/>
  <c r="J60" i="40"/>
  <c r="J88" i="40" s="1"/>
  <c r="D160" i="40" s="1"/>
  <c r="F160" i="40" s="1"/>
  <c r="J57" i="37"/>
  <c r="R99" i="5"/>
  <c r="H57" i="24" s="1"/>
  <c r="Y57" i="24" s="1"/>
  <c r="K62" i="40"/>
  <c r="K59" i="37"/>
  <c r="AE113" i="37" s="1"/>
  <c r="K113" i="37" s="1"/>
  <c r="I48" i="23"/>
  <c r="K48" i="23" s="1"/>
  <c r="P129" i="7"/>
  <c r="R50" i="37"/>
  <c r="P138" i="7"/>
  <c r="I57" i="23"/>
  <c r="K57" i="23" s="1"/>
  <c r="P134" i="7"/>
  <c r="I53" i="23"/>
  <c r="K53" i="23" s="1"/>
  <c r="R97" i="5"/>
  <c r="H55" i="24" s="1"/>
  <c r="Y55" i="24" s="1"/>
  <c r="K60" i="40"/>
  <c r="K57" i="37"/>
  <c r="Q99" i="5"/>
  <c r="G57" i="24" s="1"/>
  <c r="W57" i="24" s="1"/>
  <c r="J62" i="40"/>
  <c r="J90" i="40" s="1"/>
  <c r="D162" i="40" s="1"/>
  <c r="F162" i="40" s="1"/>
  <c r="J59" i="37"/>
  <c r="U113" i="37" s="1"/>
  <c r="J113" i="37" s="1"/>
  <c r="R54" i="37"/>
  <c r="Q93" i="5"/>
  <c r="G51" i="24" s="1"/>
  <c r="W51" i="24" s="1"/>
  <c r="J56" i="40"/>
  <c r="J84" i="40" s="1"/>
  <c r="D156" i="40" s="1"/>
  <c r="F156" i="40" s="1"/>
  <c r="J53" i="37"/>
  <c r="U114" i="37"/>
  <c r="AE114" i="37"/>
  <c r="R92" i="5"/>
  <c r="H50" i="24" s="1"/>
  <c r="Y50" i="24" s="1"/>
  <c r="K55" i="40"/>
  <c r="K52" i="37"/>
  <c r="Q56" i="37"/>
  <c r="L56" i="37"/>
  <c r="R93" i="5"/>
  <c r="H51" i="24" s="1"/>
  <c r="Y51" i="24" s="1"/>
  <c r="K56" i="40"/>
  <c r="K53" i="37"/>
  <c r="P128" i="7"/>
  <c r="I47" i="23"/>
  <c r="K47" i="23" s="1"/>
  <c r="Q92" i="5"/>
  <c r="G50" i="24" s="1"/>
  <c r="W50" i="24" s="1"/>
  <c r="J55" i="40"/>
  <c r="J83" i="40" s="1"/>
  <c r="D155" i="40" s="1"/>
  <c r="F155" i="40" s="1"/>
  <c r="J52" i="37"/>
  <c r="P132" i="7"/>
  <c r="I51" i="23"/>
  <c r="K51" i="23" s="1"/>
  <c r="Q50" i="37"/>
  <c r="L50" i="37"/>
  <c r="O56" i="37"/>
  <c r="F56" i="37"/>
  <c r="R47" i="5"/>
  <c r="H30" i="24" s="1"/>
  <c r="Y30" i="24" s="1"/>
  <c r="E61" i="40"/>
  <c r="E58" i="37"/>
  <c r="P54" i="37"/>
  <c r="L77" i="7"/>
  <c r="H31" i="23"/>
  <c r="J31" i="23" s="1"/>
  <c r="K87" i="37"/>
  <c r="E198" i="40"/>
  <c r="H225" i="40" s="1"/>
  <c r="H283" i="40" s="1"/>
  <c r="H28" i="23"/>
  <c r="J28" i="23" s="1"/>
  <c r="L74" i="7"/>
  <c r="F91" i="40"/>
  <c r="G136" i="40" s="1"/>
  <c r="I136" i="40" s="1"/>
  <c r="F63" i="40"/>
  <c r="I26" i="23"/>
  <c r="K26" i="23" s="1"/>
  <c r="P112" i="7"/>
  <c r="P50" i="37"/>
  <c r="P117" i="7"/>
  <c r="I31" i="23"/>
  <c r="K31" i="23" s="1"/>
  <c r="P109" i="7"/>
  <c r="I23" i="23"/>
  <c r="K23" i="23" s="1"/>
  <c r="P56" i="37"/>
  <c r="R41" i="5"/>
  <c r="H24" i="24" s="1"/>
  <c r="Y24" i="24" s="1"/>
  <c r="E55" i="40"/>
  <c r="E52" i="37"/>
  <c r="R42" i="5"/>
  <c r="H25" i="24" s="1"/>
  <c r="Y25" i="24" s="1"/>
  <c r="E53" i="37"/>
  <c r="E56" i="40"/>
  <c r="U42" i="37"/>
  <c r="F81" i="40"/>
  <c r="G126" i="40" s="1"/>
  <c r="F53" i="40"/>
  <c r="O55" i="37"/>
  <c r="P114" i="7"/>
  <c r="I28" i="23"/>
  <c r="K28" i="23" s="1"/>
  <c r="Q41" i="5"/>
  <c r="G24" i="24" s="1"/>
  <c r="W24" i="24" s="1"/>
  <c r="D52" i="37"/>
  <c r="D55" i="40"/>
  <c r="D83" i="40" s="1"/>
  <c r="D128" i="40" s="1"/>
  <c r="F128" i="40" s="1"/>
  <c r="Q42" i="5"/>
  <c r="G25" i="24" s="1"/>
  <c r="W25" i="24" s="1"/>
  <c r="D53" i="37"/>
  <c r="D56" i="40"/>
  <c r="D84" i="40" s="1"/>
  <c r="D129" i="40" s="1"/>
  <c r="F129" i="40" s="1"/>
  <c r="I347" i="40"/>
  <c r="G350" i="40"/>
  <c r="I357" i="40" s="1"/>
  <c r="I350" i="40"/>
  <c r="G347" i="40"/>
  <c r="G357" i="40" s="1"/>
  <c r="P108" i="7"/>
  <c r="I22" i="23"/>
  <c r="O50" i="37"/>
  <c r="F50" i="37"/>
  <c r="F86" i="40"/>
  <c r="G131" i="40" s="1"/>
  <c r="L78" i="7"/>
  <c r="H32" i="23"/>
  <c r="J32" i="23" s="1"/>
  <c r="H26" i="23"/>
  <c r="J26" i="23" s="1"/>
  <c r="L72" i="7"/>
  <c r="H22" i="23"/>
  <c r="L68" i="7"/>
  <c r="L73" i="7"/>
  <c r="H27" i="23"/>
  <c r="J27" i="23" s="1"/>
  <c r="I27" i="23"/>
  <c r="K27" i="23" s="1"/>
  <c r="P113" i="7"/>
  <c r="U88" i="37"/>
  <c r="AE88" i="37"/>
  <c r="O57" i="37"/>
  <c r="G32" i="24"/>
  <c r="H32" i="24"/>
  <c r="F88" i="40"/>
  <c r="G133" i="40" s="1"/>
  <c r="O59" i="37"/>
  <c r="F59" i="37"/>
  <c r="I29" i="23"/>
  <c r="K29" i="23" s="1"/>
  <c r="P115" i="7"/>
  <c r="I32" i="23"/>
  <c r="K32" i="23" s="1"/>
  <c r="P118" i="7"/>
  <c r="D198" i="40"/>
  <c r="G225" i="40" s="1"/>
  <c r="G283" i="40" s="1"/>
  <c r="F59" i="40"/>
  <c r="Q47" i="5"/>
  <c r="G30" i="24" s="1"/>
  <c r="W30" i="24" s="1"/>
  <c r="D58" i="37"/>
  <c r="D61" i="40"/>
  <c r="D89" i="40" s="1"/>
  <c r="D134" i="40" s="1"/>
  <c r="F134" i="40" s="1"/>
  <c r="H29" i="23"/>
  <c r="J29" i="23" s="1"/>
  <c r="L75" i="7"/>
  <c r="F90" i="40"/>
  <c r="G135" i="40" s="1"/>
  <c r="F62" i="40"/>
  <c r="L69" i="7"/>
  <c r="H23" i="23"/>
  <c r="J23" i="23" s="1"/>
  <c r="P51" i="37"/>
  <c r="G137" i="40"/>
  <c r="J284" i="40"/>
  <c r="I284" i="40"/>
  <c r="H284" i="40"/>
  <c r="K284" i="40"/>
  <c r="E284" i="40"/>
  <c r="F284" i="40"/>
  <c r="G284" i="40"/>
  <c r="L284" i="40"/>
  <c r="A284" i="40"/>
  <c r="F137" i="40"/>
  <c r="D119" i="7"/>
  <c r="E79" i="7"/>
  <c r="D203" i="7"/>
  <c r="D243" i="7" s="1"/>
  <c r="E118" i="7"/>
  <c r="E202" i="7"/>
  <c r="E242" i="7" s="1"/>
  <c r="G117" i="5"/>
  <c r="E57" i="7"/>
  <c r="AZ130" i="14" l="1"/>
  <c r="M130" i="14"/>
  <c r="BQ130" i="14"/>
  <c r="AW78" i="14"/>
  <c r="Z78" i="14" s="1"/>
  <c r="G78" i="14" s="1"/>
  <c r="BN75" i="14"/>
  <c r="BO75" i="14"/>
  <c r="BM75" i="14"/>
  <c r="AB81" i="14"/>
  <c r="AC81" i="14"/>
  <c r="AC135" i="14"/>
  <c r="AB135" i="14"/>
  <c r="AA78" i="14"/>
  <c r="AS79" i="14"/>
  <c r="AR79" i="14"/>
  <c r="AV79" i="14"/>
  <c r="AU79" i="14"/>
  <c r="AU133" i="14"/>
  <c r="AH80" i="14"/>
  <c r="AO80" i="14"/>
  <c r="AI80" i="14"/>
  <c r="AL80" i="14"/>
  <c r="AM80" i="14"/>
  <c r="BK119" i="14"/>
  <c r="BM118" i="14"/>
  <c r="BL118" i="14"/>
  <c r="BN118" i="14"/>
  <c r="BO118" i="14"/>
  <c r="BF76" i="14"/>
  <c r="H76" i="14"/>
  <c r="BG76" i="14"/>
  <c r="BA76" i="14"/>
  <c r="BB76" i="14"/>
  <c r="BC76" i="14"/>
  <c r="BD76" i="14"/>
  <c r="BL76" i="14" s="1"/>
  <c r="BE76" i="14"/>
  <c r="BH76" i="14"/>
  <c r="BI76" i="14"/>
  <c r="BJ76" i="14"/>
  <c r="J76" i="14"/>
  <c r="AJ80" i="14"/>
  <c r="AF80" i="14"/>
  <c r="AG80" i="14"/>
  <c r="AN80" i="14"/>
  <c r="AK80" i="14"/>
  <c r="BA77" i="14"/>
  <c r="BF77" i="14"/>
  <c r="BH77" i="14"/>
  <c r="BI77" i="14"/>
  <c r="BJ77" i="14"/>
  <c r="BG77" i="14"/>
  <c r="BB77" i="14"/>
  <c r="BC77" i="14"/>
  <c r="BD77" i="14"/>
  <c r="BL77" i="14" s="1"/>
  <c r="H77" i="14"/>
  <c r="BE77" i="14"/>
  <c r="J77" i="14"/>
  <c r="AT78" i="14"/>
  <c r="Y78" i="14" s="1"/>
  <c r="AV133" i="14"/>
  <c r="AB136" i="14"/>
  <c r="AC136" i="14"/>
  <c r="AS133" i="14"/>
  <c r="E137" i="14"/>
  <c r="G131" i="14"/>
  <c r="AA131" i="14"/>
  <c r="G132" i="14"/>
  <c r="AA132" i="14"/>
  <c r="F131" i="14"/>
  <c r="K131" i="14"/>
  <c r="O131" i="14"/>
  <c r="P131" i="14" s="1"/>
  <c r="AR133" i="14"/>
  <c r="AH134" i="14"/>
  <c r="AI134" i="14"/>
  <c r="AL134" i="14"/>
  <c r="AM134" i="14"/>
  <c r="AO134" i="14"/>
  <c r="AN134" i="14"/>
  <c r="AF134" i="14"/>
  <c r="AG134" i="14"/>
  <c r="AJ134" i="14"/>
  <c r="AK134" i="14"/>
  <c r="I123" i="40"/>
  <c r="Q75" i="37"/>
  <c r="F75" i="37" s="1"/>
  <c r="D143" i="37" s="1"/>
  <c r="S75" i="37"/>
  <c r="H75" i="37" s="1"/>
  <c r="G143" i="37" s="1"/>
  <c r="AC75" i="37"/>
  <c r="I75" i="37" s="1"/>
  <c r="H143" i="37" s="1"/>
  <c r="AA75" i="37"/>
  <c r="G75" i="37" s="1"/>
  <c r="E143" i="37" s="1"/>
  <c r="T65" i="7"/>
  <c r="C65" i="7" s="1"/>
  <c r="L189" i="7"/>
  <c r="T189" i="7" s="1"/>
  <c r="C189" i="7" s="1"/>
  <c r="P229" i="7"/>
  <c r="T229" i="7" s="1"/>
  <c r="C229" i="7" s="1"/>
  <c r="T105" i="7"/>
  <c r="C105" i="7" s="1"/>
  <c r="F200" i="40"/>
  <c r="K227" i="40"/>
  <c r="D139" i="7"/>
  <c r="D223" i="7"/>
  <c r="D263" i="7" s="1"/>
  <c r="F87" i="40"/>
  <c r="G132" i="40" s="1"/>
  <c r="I132" i="40" s="1"/>
  <c r="I249" i="40"/>
  <c r="I252" i="40" s="1"/>
  <c r="I306" i="40"/>
  <c r="U84" i="37"/>
  <c r="J84" i="37" s="1"/>
  <c r="Y85" i="37"/>
  <c r="E85" i="37" s="1"/>
  <c r="F57" i="37"/>
  <c r="P57" i="37"/>
  <c r="F58" i="40"/>
  <c r="L63" i="40"/>
  <c r="I163" i="40"/>
  <c r="S114" i="37"/>
  <c r="H114" i="37" s="1"/>
  <c r="F124" i="40"/>
  <c r="J249" i="40"/>
  <c r="J252" i="40" s="1"/>
  <c r="J306" i="40"/>
  <c r="F150" i="40"/>
  <c r="AE83" i="37"/>
  <c r="K83" i="37" s="1"/>
  <c r="Y83" i="37"/>
  <c r="E83" i="37" s="1"/>
  <c r="S85" i="37"/>
  <c r="H85" i="37" s="1"/>
  <c r="G153" i="37" s="1"/>
  <c r="E86" i="40"/>
  <c r="E131" i="40" s="1"/>
  <c r="Q85" i="37"/>
  <c r="F85" i="37" s="1"/>
  <c r="D153" i="37" s="1"/>
  <c r="K91" i="40"/>
  <c r="E163" i="40" s="1"/>
  <c r="F54" i="40"/>
  <c r="P55" i="37"/>
  <c r="AA84" i="37"/>
  <c r="G84" i="37" s="1"/>
  <c r="E152" i="37" s="1"/>
  <c r="I164" i="40"/>
  <c r="F149" i="40"/>
  <c r="I135" i="40"/>
  <c r="S110" i="37"/>
  <c r="H110" i="37" s="1"/>
  <c r="G179" i="37" s="1"/>
  <c r="AC110" i="37"/>
  <c r="I110" i="37" s="1"/>
  <c r="H179" i="37" s="1"/>
  <c r="AA110" i="37"/>
  <c r="G110" i="37" s="1"/>
  <c r="E179" i="37" s="1"/>
  <c r="Q110" i="37"/>
  <c r="F110" i="37" s="1"/>
  <c r="D179" i="37" s="1"/>
  <c r="AC84" i="37"/>
  <c r="I84" i="37" s="1"/>
  <c r="H152" i="37" s="1"/>
  <c r="Q84" i="37"/>
  <c r="F84" i="37" s="1"/>
  <c r="D152" i="37" s="1"/>
  <c r="Y111" i="37"/>
  <c r="AE111" i="37"/>
  <c r="K111" i="37" s="1"/>
  <c r="O111" i="37"/>
  <c r="D111" i="37" s="1"/>
  <c r="U111" i="37"/>
  <c r="J111" i="37" s="1"/>
  <c r="Y112" i="37"/>
  <c r="AE112" i="37"/>
  <c r="K112" i="37" s="1"/>
  <c r="O112" i="37"/>
  <c r="D112" i="37" s="1"/>
  <c r="U112" i="37"/>
  <c r="J112" i="37" s="1"/>
  <c r="L57" i="40"/>
  <c r="M85" i="40"/>
  <c r="H157" i="40" s="1"/>
  <c r="I157" i="40" s="1"/>
  <c r="I151" i="40"/>
  <c r="O86" i="37"/>
  <c r="D86" i="37" s="1"/>
  <c r="U86" i="37"/>
  <c r="J86" i="37" s="1"/>
  <c r="Y86" i="37"/>
  <c r="E86" i="37" s="1"/>
  <c r="AE86" i="37"/>
  <c r="K86" i="37" s="1"/>
  <c r="E227" i="40"/>
  <c r="F227" i="40"/>
  <c r="H247" i="40"/>
  <c r="H304" i="40" s="1"/>
  <c r="H306" i="40" s="1"/>
  <c r="F247" i="40"/>
  <c r="G247" i="40"/>
  <c r="G304" i="40" s="1"/>
  <c r="G306" i="40" s="1"/>
  <c r="E247" i="40"/>
  <c r="L87" i="40"/>
  <c r="G159" i="40" s="1"/>
  <c r="I159" i="40" s="1"/>
  <c r="J87" i="40"/>
  <c r="D159" i="40" s="1"/>
  <c r="F159" i="40" s="1"/>
  <c r="M90" i="40"/>
  <c r="H162" i="40" s="1"/>
  <c r="K90" i="40"/>
  <c r="E162" i="40" s="1"/>
  <c r="M88" i="40"/>
  <c r="H160" i="40" s="1"/>
  <c r="K88" i="40"/>
  <c r="E160" i="40" s="1"/>
  <c r="M89" i="40"/>
  <c r="H161" i="40" s="1"/>
  <c r="K89" i="40"/>
  <c r="E161" i="40" s="1"/>
  <c r="G88" i="40"/>
  <c r="H133" i="40" s="1"/>
  <c r="I133" i="40" s="1"/>
  <c r="E88" i="40"/>
  <c r="E133" i="40" s="1"/>
  <c r="G89" i="40"/>
  <c r="H134" i="40" s="1"/>
  <c r="E89" i="40"/>
  <c r="E134" i="40" s="1"/>
  <c r="O79" i="37"/>
  <c r="D79" i="37" s="1"/>
  <c r="F51" i="37"/>
  <c r="O51" i="37"/>
  <c r="AC102" i="37"/>
  <c r="I102" i="37" s="1"/>
  <c r="H171" i="37" s="1"/>
  <c r="E103" i="37"/>
  <c r="AA103" i="37"/>
  <c r="G103" i="37" s="1"/>
  <c r="AC103" i="37"/>
  <c r="I103" i="37" s="1"/>
  <c r="H172" i="37" s="1"/>
  <c r="D105" i="37"/>
  <c r="S105" i="37"/>
  <c r="H105" i="37" s="1"/>
  <c r="G174" i="37" s="1"/>
  <c r="Q105" i="37"/>
  <c r="F105" i="37" s="1"/>
  <c r="AA102" i="37"/>
  <c r="G102" i="37" s="1"/>
  <c r="E171" i="37" s="1"/>
  <c r="G59" i="24"/>
  <c r="J59" i="24"/>
  <c r="H59" i="24"/>
  <c r="I59" i="24"/>
  <c r="E114" i="37"/>
  <c r="AA114" i="37"/>
  <c r="G114" i="37" s="1"/>
  <c r="AC114" i="37"/>
  <c r="I114" i="37" s="1"/>
  <c r="Q114" i="37"/>
  <c r="F114" i="37" s="1"/>
  <c r="D183" i="37" s="1"/>
  <c r="T99" i="7"/>
  <c r="C99" i="7" s="1"/>
  <c r="L223" i="7"/>
  <c r="T223" i="7" s="1"/>
  <c r="C223" i="7" s="1"/>
  <c r="T139" i="7"/>
  <c r="C139" i="7" s="1"/>
  <c r="P263" i="7"/>
  <c r="T263" i="7" s="1"/>
  <c r="C263" i="7" s="1"/>
  <c r="D108" i="37"/>
  <c r="Q108" i="37"/>
  <c r="F108" i="37" s="1"/>
  <c r="S108" i="37"/>
  <c r="H108" i="37" s="1"/>
  <c r="G177" i="37" s="1"/>
  <c r="D102" i="37"/>
  <c r="Q102" i="37"/>
  <c r="F102" i="37" s="1"/>
  <c r="S102" i="37"/>
  <c r="H102" i="37" s="1"/>
  <c r="D104" i="37"/>
  <c r="Q104" i="37"/>
  <c r="F104" i="37" s="1"/>
  <c r="S104" i="37"/>
  <c r="H104" i="37" s="1"/>
  <c r="G173" i="37" s="1"/>
  <c r="AE115" i="37"/>
  <c r="U115" i="37"/>
  <c r="J115" i="37" s="1"/>
  <c r="D103" i="37"/>
  <c r="Q103" i="37"/>
  <c r="F103" i="37" s="1"/>
  <c r="S103" i="37"/>
  <c r="H103" i="37" s="1"/>
  <c r="G172" i="37" s="1"/>
  <c r="E104" i="37"/>
  <c r="AA104" i="37"/>
  <c r="G104" i="37" s="1"/>
  <c r="AC104" i="37"/>
  <c r="I104" i="37" s="1"/>
  <c r="H173" i="37" s="1"/>
  <c r="D115" i="37"/>
  <c r="D77" i="37"/>
  <c r="Q77" i="37"/>
  <c r="F77" i="37" s="1"/>
  <c r="S77" i="37"/>
  <c r="H77" i="37" s="1"/>
  <c r="D76" i="37"/>
  <c r="Q76" i="37"/>
  <c r="F76" i="37" s="1"/>
  <c r="S76" i="37"/>
  <c r="H76" i="37" s="1"/>
  <c r="E79" i="37"/>
  <c r="AA79" i="37"/>
  <c r="G79" i="37" s="1"/>
  <c r="AC79" i="37"/>
  <c r="I79" i="37" s="1"/>
  <c r="H147" i="37" s="1"/>
  <c r="E76" i="37"/>
  <c r="AA76" i="37"/>
  <c r="G76" i="37" s="1"/>
  <c r="AC76" i="37"/>
  <c r="I76" i="37" s="1"/>
  <c r="H144" i="37" s="1"/>
  <c r="D78" i="37"/>
  <c r="Q78" i="37"/>
  <c r="F78" i="37" s="1"/>
  <c r="S78" i="37"/>
  <c r="H78" i="37" s="1"/>
  <c r="G146" i="37" s="1"/>
  <c r="E78" i="37"/>
  <c r="AC78" i="37"/>
  <c r="I78" i="37" s="1"/>
  <c r="H146" i="37" s="1"/>
  <c r="AA78" i="37"/>
  <c r="G78" i="37" s="1"/>
  <c r="E87" i="37"/>
  <c r="AA87" i="37"/>
  <c r="G87" i="37" s="1"/>
  <c r="AC87" i="37"/>
  <c r="I87" i="37" s="1"/>
  <c r="H155" i="37" s="1"/>
  <c r="D83" i="37"/>
  <c r="Q83" i="37"/>
  <c r="F83" i="37" s="1"/>
  <c r="S83" i="37"/>
  <c r="H83" i="37" s="1"/>
  <c r="G151" i="37" s="1"/>
  <c r="Q87" i="37"/>
  <c r="F87" i="37" s="1"/>
  <c r="D155" i="37" s="1"/>
  <c r="AC77" i="37"/>
  <c r="I77" i="37" s="1"/>
  <c r="S87" i="37"/>
  <c r="H87" i="37" s="1"/>
  <c r="G155" i="37" s="1"/>
  <c r="E82" i="37"/>
  <c r="AA82" i="37"/>
  <c r="G82" i="37" s="1"/>
  <c r="AC82" i="37"/>
  <c r="I82" i="37" s="1"/>
  <c r="H150" i="37" s="1"/>
  <c r="S101" i="37"/>
  <c r="H101" i="37" s="1"/>
  <c r="G170" i="37" s="1"/>
  <c r="Q101" i="37"/>
  <c r="F101" i="37" s="1"/>
  <c r="D170" i="37" s="1"/>
  <c r="I150" i="40"/>
  <c r="AC101" i="37"/>
  <c r="I101" i="37" s="1"/>
  <c r="H170" i="37" s="1"/>
  <c r="AA101" i="37"/>
  <c r="G101" i="37" s="1"/>
  <c r="E170" i="37" s="1"/>
  <c r="T125" i="7"/>
  <c r="C125" i="7" s="1"/>
  <c r="P249" i="7"/>
  <c r="T249" i="7" s="1"/>
  <c r="C249" i="7" s="1"/>
  <c r="L209" i="7"/>
  <c r="T209" i="7" s="1"/>
  <c r="C209" i="7" s="1"/>
  <c r="T85" i="7"/>
  <c r="C85" i="7" s="1"/>
  <c r="E100" i="37"/>
  <c r="AA100" i="37"/>
  <c r="G100" i="37" s="1"/>
  <c r="AC100" i="37"/>
  <c r="I100" i="37" s="1"/>
  <c r="H169" i="37" s="1"/>
  <c r="Q100" i="37"/>
  <c r="F100" i="37" s="1"/>
  <c r="S100" i="37"/>
  <c r="H100" i="37" s="1"/>
  <c r="D74" i="37"/>
  <c r="Q74" i="37"/>
  <c r="F74" i="37" s="1"/>
  <c r="S74" i="37"/>
  <c r="H74" i="37" s="1"/>
  <c r="E74" i="37"/>
  <c r="AA74" i="37"/>
  <c r="G74" i="37" s="1"/>
  <c r="AC74" i="37"/>
  <c r="I74" i="37" s="1"/>
  <c r="H142" i="37" s="1"/>
  <c r="AA73" i="37"/>
  <c r="G73" i="37" s="1"/>
  <c r="AC73" i="37"/>
  <c r="I73" i="37" s="1"/>
  <c r="H141" i="37" s="1"/>
  <c r="AC99" i="37"/>
  <c r="I99" i="37" s="1"/>
  <c r="Q73" i="37"/>
  <c r="F73" i="37" s="1"/>
  <c r="S73" i="37"/>
  <c r="H73" i="37" s="1"/>
  <c r="G141" i="37" s="1"/>
  <c r="D99" i="37"/>
  <c r="Q99" i="37"/>
  <c r="F99" i="37" s="1"/>
  <c r="S99" i="37"/>
  <c r="H99" i="37" s="1"/>
  <c r="T86" i="7"/>
  <c r="C86" i="7" s="1"/>
  <c r="L210" i="7"/>
  <c r="T210" i="7" s="1"/>
  <c r="C210" i="7" s="1"/>
  <c r="J102" i="37"/>
  <c r="P250" i="7"/>
  <c r="T250" i="7" s="1"/>
  <c r="C250" i="7" s="1"/>
  <c r="T126" i="7"/>
  <c r="C126" i="7" s="1"/>
  <c r="F82" i="40"/>
  <c r="G127" i="40" s="1"/>
  <c r="I127" i="40" s="1"/>
  <c r="J76" i="37"/>
  <c r="T66" i="7"/>
  <c r="C66" i="7" s="1"/>
  <c r="L190" i="7"/>
  <c r="T190" i="7" s="1"/>
  <c r="C190" i="7" s="1"/>
  <c r="T106" i="7"/>
  <c r="C106" i="7" s="1"/>
  <c r="P230" i="7"/>
  <c r="T230" i="7" s="1"/>
  <c r="C230" i="7" s="1"/>
  <c r="I122" i="40"/>
  <c r="I149" i="40"/>
  <c r="J100" i="37"/>
  <c r="D100" i="37"/>
  <c r="T84" i="7"/>
  <c r="C84" i="7" s="1"/>
  <c r="L208" i="7"/>
  <c r="T208" i="7" s="1"/>
  <c r="C208" i="7" s="1"/>
  <c r="T124" i="7"/>
  <c r="C124" i="7" s="1"/>
  <c r="P248" i="7"/>
  <c r="T248" i="7" s="1"/>
  <c r="C248" i="7" s="1"/>
  <c r="T64" i="7"/>
  <c r="C64" i="7" s="1"/>
  <c r="L188" i="7"/>
  <c r="T188" i="7" s="1"/>
  <c r="C188" i="7" s="1"/>
  <c r="J74" i="37"/>
  <c r="T104" i="7"/>
  <c r="C104" i="7" s="1"/>
  <c r="P228" i="7"/>
  <c r="T228" i="7" s="1"/>
  <c r="C228" i="7" s="1"/>
  <c r="I131" i="40"/>
  <c r="R51" i="37"/>
  <c r="L54" i="40"/>
  <c r="I126" i="40"/>
  <c r="I125" i="40"/>
  <c r="F85" i="40"/>
  <c r="G130" i="40" s="1"/>
  <c r="I130" i="40" s="1"/>
  <c r="F57" i="40"/>
  <c r="M82" i="40"/>
  <c r="H154" i="40" s="1"/>
  <c r="I154" i="40" s="1"/>
  <c r="O109" i="37"/>
  <c r="U109" i="37"/>
  <c r="J109" i="37" s="1"/>
  <c r="O106" i="37"/>
  <c r="U106" i="37"/>
  <c r="J106" i="37" s="1"/>
  <c r="O107" i="37"/>
  <c r="U107" i="37"/>
  <c r="J107" i="37" s="1"/>
  <c r="Y109" i="37"/>
  <c r="AE109" i="37"/>
  <c r="K109" i="37" s="1"/>
  <c r="Y105" i="37"/>
  <c r="AE105" i="37"/>
  <c r="K105" i="37" s="1"/>
  <c r="Y108" i="37"/>
  <c r="AE108" i="37"/>
  <c r="K108" i="37" s="1"/>
  <c r="Y107" i="37"/>
  <c r="AE107" i="37"/>
  <c r="K107" i="37" s="1"/>
  <c r="Y106" i="37"/>
  <c r="AE106" i="37"/>
  <c r="K106" i="37" s="1"/>
  <c r="O82" i="37"/>
  <c r="U82" i="37"/>
  <c r="J82" i="37" s="1"/>
  <c r="O81" i="37"/>
  <c r="U81" i="37"/>
  <c r="J81" i="37" s="1"/>
  <c r="O80" i="37"/>
  <c r="U80" i="37"/>
  <c r="J80" i="37" s="1"/>
  <c r="Y81" i="37"/>
  <c r="AE81" i="37"/>
  <c r="K81" i="37" s="1"/>
  <c r="Y80" i="37"/>
  <c r="AE80" i="37"/>
  <c r="K80" i="37" s="1"/>
  <c r="F121" i="40"/>
  <c r="O54" i="37"/>
  <c r="F54" i="37"/>
  <c r="W42" i="37"/>
  <c r="G312" i="37" s="1"/>
  <c r="D138" i="40"/>
  <c r="M84" i="40"/>
  <c r="H156" i="40" s="1"/>
  <c r="K84" i="40"/>
  <c r="E156" i="40" s="1"/>
  <c r="M83" i="40"/>
  <c r="H155" i="40" s="1"/>
  <c r="K83" i="40"/>
  <c r="E155" i="40" s="1"/>
  <c r="X42" i="37"/>
  <c r="L312" i="37" s="1"/>
  <c r="M86" i="40"/>
  <c r="H158" i="40" s="1"/>
  <c r="K86" i="40"/>
  <c r="E158" i="40" s="1"/>
  <c r="F148" i="40"/>
  <c r="G83" i="40"/>
  <c r="H128" i="40" s="1"/>
  <c r="E83" i="40"/>
  <c r="E128" i="40" s="1"/>
  <c r="G84" i="40"/>
  <c r="H129" i="40" s="1"/>
  <c r="E84" i="40"/>
  <c r="E129" i="40" s="1"/>
  <c r="I148" i="40"/>
  <c r="I121" i="40"/>
  <c r="D93" i="40"/>
  <c r="J99" i="37"/>
  <c r="T83" i="7"/>
  <c r="C83" i="7" s="1"/>
  <c r="L207" i="7"/>
  <c r="T207" i="7" s="1"/>
  <c r="C207" i="7" s="1"/>
  <c r="P247" i="7"/>
  <c r="T247" i="7" s="1"/>
  <c r="C247" i="7" s="1"/>
  <c r="T123" i="7"/>
  <c r="C123" i="7" s="1"/>
  <c r="K99" i="37"/>
  <c r="G99" i="37"/>
  <c r="E168" i="37" s="1"/>
  <c r="T63" i="7"/>
  <c r="C63" i="7" s="1"/>
  <c r="L187" i="7"/>
  <c r="T187" i="7" s="1"/>
  <c r="C187" i="7" s="1"/>
  <c r="D73" i="37"/>
  <c r="E73" i="37"/>
  <c r="T103" i="7"/>
  <c r="C103" i="7" s="1"/>
  <c r="P227" i="7"/>
  <c r="T227" i="7" s="1"/>
  <c r="C227" i="7" s="1"/>
  <c r="E222" i="7"/>
  <c r="E262" i="7" s="1"/>
  <c r="L306" i="40"/>
  <c r="L249" i="40"/>
  <c r="K306" i="40"/>
  <c r="K249" i="40"/>
  <c r="J77" i="37"/>
  <c r="T107" i="7"/>
  <c r="C107" i="7" s="1"/>
  <c r="P231" i="7"/>
  <c r="T231" i="7" s="1"/>
  <c r="C231" i="7" s="1"/>
  <c r="L191" i="7"/>
  <c r="T191" i="7" s="1"/>
  <c r="C191" i="7" s="1"/>
  <c r="T67" i="7"/>
  <c r="C67" i="7" s="1"/>
  <c r="K77" i="37"/>
  <c r="G77" i="37"/>
  <c r="E145" i="37" s="1"/>
  <c r="L227" i="40"/>
  <c r="K200" i="40"/>
  <c r="J200" i="40"/>
  <c r="J65" i="40"/>
  <c r="L94" i="7"/>
  <c r="L218" i="7" s="1"/>
  <c r="T218" i="7" s="1"/>
  <c r="C218" i="7" s="1"/>
  <c r="H53" i="23"/>
  <c r="J53" i="23" s="1"/>
  <c r="I152" i="40"/>
  <c r="K62" i="37"/>
  <c r="K65" i="40"/>
  <c r="G102" i="5"/>
  <c r="G15" i="36" s="1"/>
  <c r="G103" i="5"/>
  <c r="J62" i="37"/>
  <c r="J46" i="23"/>
  <c r="K46" i="23"/>
  <c r="AC58" i="24"/>
  <c r="W58" i="24"/>
  <c r="AA58" i="24"/>
  <c r="Y58" i="24"/>
  <c r="E200" i="40"/>
  <c r="G227" i="40"/>
  <c r="H227" i="40"/>
  <c r="G348" i="40"/>
  <c r="G358" i="40" s="1"/>
  <c r="D200" i="40"/>
  <c r="G351" i="40"/>
  <c r="I358" i="40" s="1"/>
  <c r="I351" i="40"/>
  <c r="I348" i="40"/>
  <c r="D65" i="40"/>
  <c r="D62" i="37"/>
  <c r="G51" i="5"/>
  <c r="E62" i="37"/>
  <c r="E65" i="40"/>
  <c r="G52" i="5"/>
  <c r="K22" i="23"/>
  <c r="J22" i="23"/>
  <c r="W32" i="24"/>
  <c r="X32" i="24" s="1"/>
  <c r="O32" i="24"/>
  <c r="AC32" i="24"/>
  <c r="AD32" i="24" s="1"/>
  <c r="R32" i="24"/>
  <c r="Y32" i="24"/>
  <c r="Z32" i="24" s="1"/>
  <c r="P32" i="24"/>
  <c r="AA32" i="24"/>
  <c r="AB32" i="24" s="1"/>
  <c r="Q32" i="24"/>
  <c r="O113" i="37"/>
  <c r="R59" i="37"/>
  <c r="Y113" i="37"/>
  <c r="Q53" i="37"/>
  <c r="L53" i="37"/>
  <c r="L97" i="7"/>
  <c r="H56" i="23"/>
  <c r="J56" i="23" s="1"/>
  <c r="L216" i="7"/>
  <c r="T216" i="7" s="1"/>
  <c r="C216" i="7" s="1"/>
  <c r="T92" i="7"/>
  <c r="C92" i="7" s="1"/>
  <c r="R58" i="37"/>
  <c r="F163" i="40"/>
  <c r="R53" i="37"/>
  <c r="R52" i="37"/>
  <c r="L84" i="40"/>
  <c r="G156" i="40" s="1"/>
  <c r="L56" i="40"/>
  <c r="R57" i="37"/>
  <c r="P251" i="7"/>
  <c r="T251" i="7" s="1"/>
  <c r="C251" i="7" s="1"/>
  <c r="T127" i="7"/>
  <c r="C127" i="7" s="1"/>
  <c r="Q52" i="37"/>
  <c r="L52" i="37"/>
  <c r="L91" i="7"/>
  <c r="H50" i="23"/>
  <c r="J50" i="23" s="1"/>
  <c r="P136" i="7"/>
  <c r="I55" i="23"/>
  <c r="K55" i="23" s="1"/>
  <c r="R55" i="37"/>
  <c r="G153" i="40"/>
  <c r="Q55" i="37"/>
  <c r="L55" i="37"/>
  <c r="L83" i="40"/>
  <c r="G155" i="40" s="1"/>
  <c r="L55" i="40"/>
  <c r="P131" i="7"/>
  <c r="I50" i="23"/>
  <c r="K50" i="23" s="1"/>
  <c r="P130" i="7"/>
  <c r="I49" i="23"/>
  <c r="K49" i="23" s="1"/>
  <c r="P135" i="7"/>
  <c r="I54" i="23"/>
  <c r="K54" i="23" s="1"/>
  <c r="T98" i="7"/>
  <c r="C98" i="7" s="1"/>
  <c r="L222" i="7"/>
  <c r="T222" i="7" s="1"/>
  <c r="C222" i="7" s="1"/>
  <c r="Q58" i="37"/>
  <c r="L58" i="37"/>
  <c r="L86" i="40"/>
  <c r="G158" i="40" s="1"/>
  <c r="L58" i="40"/>
  <c r="H49" i="23"/>
  <c r="J49" i="23" s="1"/>
  <c r="L90" i="7"/>
  <c r="K114" i="37"/>
  <c r="P253" i="7"/>
  <c r="T253" i="7" s="1"/>
  <c r="C253" i="7" s="1"/>
  <c r="T129" i="7"/>
  <c r="C129" i="7" s="1"/>
  <c r="I56" i="23"/>
  <c r="K56" i="23" s="1"/>
  <c r="P137" i="7"/>
  <c r="I52" i="23"/>
  <c r="K52" i="23" s="1"/>
  <c r="P133" i="7"/>
  <c r="L89" i="40"/>
  <c r="G161" i="40" s="1"/>
  <c r="L61" i="40"/>
  <c r="H52" i="23"/>
  <c r="J52" i="23" s="1"/>
  <c r="L93" i="7"/>
  <c r="J114" i="37"/>
  <c r="T134" i="7"/>
  <c r="C134" i="7" s="1"/>
  <c r="P258" i="7"/>
  <c r="T258" i="7" s="1"/>
  <c r="C258" i="7" s="1"/>
  <c r="Q57" i="37"/>
  <c r="L57" i="37"/>
  <c r="H55" i="23"/>
  <c r="J55" i="23" s="1"/>
  <c r="L96" i="7"/>
  <c r="P256" i="7"/>
  <c r="T256" i="7" s="1"/>
  <c r="C256" i="7" s="1"/>
  <c r="T132" i="7"/>
  <c r="C132" i="7" s="1"/>
  <c r="T128" i="7"/>
  <c r="C128" i="7" s="1"/>
  <c r="P252" i="7"/>
  <c r="T252" i="7" s="1"/>
  <c r="C252" i="7" s="1"/>
  <c r="Q59" i="37"/>
  <c r="L59" i="37"/>
  <c r="L88" i="40"/>
  <c r="G160" i="40" s="1"/>
  <c r="L60" i="40"/>
  <c r="L211" i="7"/>
  <c r="T211" i="7" s="1"/>
  <c r="C211" i="7" s="1"/>
  <c r="T87" i="7"/>
  <c r="C87" i="7" s="1"/>
  <c r="T88" i="7"/>
  <c r="C88" i="7" s="1"/>
  <c r="L212" i="7"/>
  <c r="T212" i="7" s="1"/>
  <c r="C212" i="7" s="1"/>
  <c r="L90" i="40"/>
  <c r="G162" i="40" s="1"/>
  <c r="L62" i="40"/>
  <c r="T138" i="7"/>
  <c r="C138" i="7" s="1"/>
  <c r="P262" i="7"/>
  <c r="T262" i="7" s="1"/>
  <c r="C262" i="7" s="1"/>
  <c r="H54" i="23"/>
  <c r="J54" i="23" s="1"/>
  <c r="L95" i="7"/>
  <c r="T89" i="7"/>
  <c r="C89" i="7" s="1"/>
  <c r="L213" i="7"/>
  <c r="T213" i="7" s="1"/>
  <c r="C213" i="7" s="1"/>
  <c r="T115" i="7"/>
  <c r="C115" i="7" s="1"/>
  <c r="P239" i="7"/>
  <c r="T239" i="7" s="1"/>
  <c r="C239" i="7" s="1"/>
  <c r="J88" i="37"/>
  <c r="H88" i="37"/>
  <c r="F88" i="37"/>
  <c r="D156" i="37" s="1"/>
  <c r="O53" i="37"/>
  <c r="F53" i="37"/>
  <c r="T75" i="7"/>
  <c r="C75" i="7" s="1"/>
  <c r="L199" i="7"/>
  <c r="T199" i="7" s="1"/>
  <c r="C199" i="7" s="1"/>
  <c r="T113" i="7"/>
  <c r="C113" i="7" s="1"/>
  <c r="P237" i="7"/>
  <c r="T237" i="7" s="1"/>
  <c r="C237" i="7" s="1"/>
  <c r="H25" i="23"/>
  <c r="J25" i="23" s="1"/>
  <c r="L71" i="7"/>
  <c r="P110" i="7"/>
  <c r="I24" i="23"/>
  <c r="K24" i="23" s="1"/>
  <c r="P116" i="7"/>
  <c r="I30" i="23"/>
  <c r="K30" i="23" s="1"/>
  <c r="P242" i="7"/>
  <c r="T242" i="7" s="1"/>
  <c r="C242" i="7" s="1"/>
  <c r="T118" i="7"/>
  <c r="C118" i="7" s="1"/>
  <c r="L196" i="7"/>
  <c r="T196" i="7" s="1"/>
  <c r="C196" i="7" s="1"/>
  <c r="T72" i="7"/>
  <c r="C72" i="7" s="1"/>
  <c r="F83" i="40"/>
  <c r="G128" i="40" s="1"/>
  <c r="F55" i="40"/>
  <c r="F89" i="40"/>
  <c r="G134" i="40" s="1"/>
  <c r="F61" i="40"/>
  <c r="O52" i="37"/>
  <c r="F52" i="37"/>
  <c r="T117" i="7"/>
  <c r="C117" i="7" s="1"/>
  <c r="P241" i="7"/>
  <c r="T241" i="7" s="1"/>
  <c r="C241" i="7" s="1"/>
  <c r="L198" i="7"/>
  <c r="T198" i="7" s="1"/>
  <c r="C198" i="7" s="1"/>
  <c r="T74" i="7"/>
  <c r="C74" i="7" s="1"/>
  <c r="T77" i="7"/>
  <c r="C77" i="7" s="1"/>
  <c r="L201" i="7"/>
  <c r="T201" i="7" s="1"/>
  <c r="C201" i="7" s="1"/>
  <c r="O58" i="37"/>
  <c r="F58" i="37"/>
  <c r="L197" i="7"/>
  <c r="T197" i="7" s="1"/>
  <c r="C197" i="7" s="1"/>
  <c r="T73" i="7"/>
  <c r="C73" i="7" s="1"/>
  <c r="H24" i="23"/>
  <c r="J24" i="23" s="1"/>
  <c r="L70" i="7"/>
  <c r="H30" i="23"/>
  <c r="J30" i="23" s="1"/>
  <c r="L76" i="7"/>
  <c r="T68" i="7"/>
  <c r="C68" i="7" s="1"/>
  <c r="L192" i="7"/>
  <c r="T192" i="7" s="1"/>
  <c r="C192" i="7" s="1"/>
  <c r="T78" i="7"/>
  <c r="C78" i="7" s="1"/>
  <c r="L202" i="7"/>
  <c r="T202" i="7" s="1"/>
  <c r="C202" i="7" s="1"/>
  <c r="P53" i="37"/>
  <c r="L193" i="7"/>
  <c r="T193" i="7" s="1"/>
  <c r="C193" i="7" s="1"/>
  <c r="T69" i="7"/>
  <c r="C69" i="7" s="1"/>
  <c r="T108" i="7"/>
  <c r="C108" i="7" s="1"/>
  <c r="P232" i="7"/>
  <c r="T232" i="7" s="1"/>
  <c r="C232" i="7" s="1"/>
  <c r="I25" i="23"/>
  <c r="K25" i="23" s="1"/>
  <c r="P111" i="7"/>
  <c r="T109" i="7"/>
  <c r="C109" i="7" s="1"/>
  <c r="P233" i="7"/>
  <c r="T233" i="7" s="1"/>
  <c r="C233" i="7" s="1"/>
  <c r="K88" i="37"/>
  <c r="G88" i="37"/>
  <c r="E156" i="37" s="1"/>
  <c r="I88" i="37"/>
  <c r="F84" i="40"/>
  <c r="G129" i="40" s="1"/>
  <c r="F56" i="40"/>
  <c r="T114" i="7"/>
  <c r="C114" i="7" s="1"/>
  <c r="P238" i="7"/>
  <c r="T238" i="7" s="1"/>
  <c r="C238" i="7" s="1"/>
  <c r="P52" i="37"/>
  <c r="T112" i="7"/>
  <c r="C112" i="7" s="1"/>
  <c r="P236" i="7"/>
  <c r="T236" i="7" s="1"/>
  <c r="C236" i="7" s="1"/>
  <c r="P58" i="37"/>
  <c r="I137" i="40"/>
  <c r="H157" i="37"/>
  <c r="D157" i="37"/>
  <c r="E181" i="7"/>
  <c r="L57" i="7"/>
  <c r="F119" i="37"/>
  <c r="G97" i="40"/>
  <c r="G20" i="36"/>
  <c r="E223" i="7"/>
  <c r="E263" i="7" s="1"/>
  <c r="E139" i="7"/>
  <c r="E203" i="7"/>
  <c r="E243" i="7" s="1"/>
  <c r="E119" i="7"/>
  <c r="AT79" i="14" l="1"/>
  <c r="Y79" i="14" s="1"/>
  <c r="F143" i="37"/>
  <c r="AU134" i="14"/>
  <c r="AT133" i="14"/>
  <c r="Y133" i="14" s="1"/>
  <c r="AV80" i="14"/>
  <c r="AS80" i="14"/>
  <c r="AR80" i="14"/>
  <c r="AU80" i="14"/>
  <c r="AW80" i="14" s="1"/>
  <c r="Z80" i="14" s="1"/>
  <c r="AA80" i="14" s="1"/>
  <c r="AS134" i="14"/>
  <c r="BF132" i="14"/>
  <c r="BB132" i="14"/>
  <c r="BA132" i="14"/>
  <c r="BC132" i="14"/>
  <c r="BD132" i="14"/>
  <c r="BH132" i="14"/>
  <c r="BI132" i="14"/>
  <c r="BJ132" i="14"/>
  <c r="BG132" i="14"/>
  <c r="H132" i="14"/>
  <c r="BE132" i="14"/>
  <c r="J132" i="14"/>
  <c r="L132" i="14" s="1"/>
  <c r="AR134" i="14"/>
  <c r="AT134" i="14" s="1"/>
  <c r="Y134" i="14" s="1"/>
  <c r="AW133" i="14"/>
  <c r="Z133" i="14" s="1"/>
  <c r="BD131" i="14"/>
  <c r="BE131" i="14"/>
  <c r="H131" i="14"/>
  <c r="BG131" i="14"/>
  <c r="BA131" i="14"/>
  <c r="BB131" i="14"/>
  <c r="BC131" i="14"/>
  <c r="BF131" i="14"/>
  <c r="BJ131" i="14"/>
  <c r="BH131" i="14"/>
  <c r="BI131" i="14"/>
  <c r="J131" i="14"/>
  <c r="L131" i="14" s="1"/>
  <c r="G80" i="14"/>
  <c r="AW79" i="14"/>
  <c r="Z79" i="14" s="1"/>
  <c r="S137" i="14"/>
  <c r="U137" i="14" s="1"/>
  <c r="V137" i="14" s="1"/>
  <c r="BO76" i="14"/>
  <c r="BM76" i="14"/>
  <c r="BN76" i="14"/>
  <c r="K79" i="14"/>
  <c r="O79" i="14"/>
  <c r="P79" i="14" s="1"/>
  <c r="F79" i="14"/>
  <c r="BM77" i="14"/>
  <c r="BN77" i="14"/>
  <c r="BO77" i="14"/>
  <c r="AI136" i="14"/>
  <c r="AL136" i="14"/>
  <c r="AO136" i="14"/>
  <c r="AH136" i="14"/>
  <c r="AM136" i="14"/>
  <c r="AJ136" i="14"/>
  <c r="AF136" i="14"/>
  <c r="AK136" i="14"/>
  <c r="AG136" i="14"/>
  <c r="AN136" i="14"/>
  <c r="BL119" i="14"/>
  <c r="BK120" i="14"/>
  <c r="BN119" i="14"/>
  <c r="BO119" i="14"/>
  <c r="BM119" i="14"/>
  <c r="H78" i="14"/>
  <c r="J78" i="14"/>
  <c r="O133" i="14"/>
  <c r="P133" i="14" s="1"/>
  <c r="K133" i="14"/>
  <c r="F133" i="14"/>
  <c r="AJ135" i="14"/>
  <c r="AK135" i="14"/>
  <c r="AF135" i="14"/>
  <c r="AG135" i="14"/>
  <c r="AN135" i="14"/>
  <c r="O78" i="14"/>
  <c r="P78" i="14" s="1"/>
  <c r="F78" i="14"/>
  <c r="K78" i="14"/>
  <c r="BH78" i="14" s="1"/>
  <c r="AO135" i="14"/>
  <c r="AI135" i="14"/>
  <c r="AL135" i="14"/>
  <c r="AM135" i="14"/>
  <c r="AH135" i="14"/>
  <c r="AV134" i="14"/>
  <c r="AW134" i="14" s="1"/>
  <c r="Z134" i="14" s="1"/>
  <c r="AL81" i="14"/>
  <c r="AM81" i="14"/>
  <c r="AO81" i="14"/>
  <c r="AH81" i="14"/>
  <c r="AI81" i="14"/>
  <c r="AN81" i="14"/>
  <c r="AJ81" i="14"/>
  <c r="AF81" i="14"/>
  <c r="AG81" i="14"/>
  <c r="AK81" i="14"/>
  <c r="I143" i="37"/>
  <c r="K252" i="40"/>
  <c r="F138" i="40"/>
  <c r="J310" i="40"/>
  <c r="S84" i="37"/>
  <c r="H84" i="37" s="1"/>
  <c r="G152" i="37" s="1"/>
  <c r="I152" i="37" s="1"/>
  <c r="AA85" i="37"/>
  <c r="G85" i="37" s="1"/>
  <c r="E153" i="37" s="1"/>
  <c r="F153" i="37" s="1"/>
  <c r="I158" i="40"/>
  <c r="AC85" i="37"/>
  <c r="I85" i="37" s="1"/>
  <c r="H153" i="37" s="1"/>
  <c r="I153" i="37" s="1"/>
  <c r="H249" i="40"/>
  <c r="H251" i="40" s="1"/>
  <c r="I160" i="40"/>
  <c r="AC83" i="37"/>
  <c r="I83" i="37" s="1"/>
  <c r="H151" i="37" s="1"/>
  <c r="I151" i="37" s="1"/>
  <c r="AA83" i="37"/>
  <c r="G83" i="37" s="1"/>
  <c r="E151" i="37" s="1"/>
  <c r="I179" i="37"/>
  <c r="F152" i="37"/>
  <c r="I134" i="40"/>
  <c r="AC86" i="37"/>
  <c r="I86" i="37" s="1"/>
  <c r="H154" i="37" s="1"/>
  <c r="AA86" i="37"/>
  <c r="G86" i="37" s="1"/>
  <c r="E154" i="37" s="1"/>
  <c r="E183" i="37"/>
  <c r="F183" i="37" s="1"/>
  <c r="S111" i="37"/>
  <c r="H111" i="37" s="1"/>
  <c r="G180" i="37" s="1"/>
  <c r="Q111" i="37"/>
  <c r="F111" i="37" s="1"/>
  <c r="D180" i="37" s="1"/>
  <c r="F179" i="37"/>
  <c r="G249" i="40"/>
  <c r="G251" i="40" s="1"/>
  <c r="AA111" i="37"/>
  <c r="G111" i="37" s="1"/>
  <c r="Q112" i="37"/>
  <c r="F112" i="37" s="1"/>
  <c r="D181" i="37" s="1"/>
  <c r="D165" i="40"/>
  <c r="J170" i="40" s="1"/>
  <c r="H325" i="40" s="1"/>
  <c r="I162" i="40"/>
  <c r="S112" i="37"/>
  <c r="H112" i="37" s="1"/>
  <c r="G181" i="37" s="1"/>
  <c r="E111" i="37"/>
  <c r="J93" i="40"/>
  <c r="I108" i="40" s="1"/>
  <c r="Q86" i="37"/>
  <c r="F86" i="37" s="1"/>
  <c r="D154" i="37" s="1"/>
  <c r="E147" i="37"/>
  <c r="S86" i="37"/>
  <c r="H86" i="37" s="1"/>
  <c r="G154" i="37" s="1"/>
  <c r="AC111" i="37"/>
  <c r="I111" i="37" s="1"/>
  <c r="H180" i="37" s="1"/>
  <c r="AA112" i="37"/>
  <c r="G112" i="37" s="1"/>
  <c r="D173" i="37"/>
  <c r="I161" i="40"/>
  <c r="E112" i="37"/>
  <c r="AC112" i="37"/>
  <c r="I112" i="37" s="1"/>
  <c r="H181" i="37" s="1"/>
  <c r="D145" i="37"/>
  <c r="F145" i="37" s="1"/>
  <c r="D151" i="37"/>
  <c r="D174" i="37"/>
  <c r="E172" i="37"/>
  <c r="E304" i="40"/>
  <c r="E306" i="40" s="1"/>
  <c r="E249" i="40"/>
  <c r="E251" i="40" s="1"/>
  <c r="F304" i="40"/>
  <c r="F306" i="40" s="1"/>
  <c r="F249" i="40"/>
  <c r="F251" i="40" s="1"/>
  <c r="E173" i="37"/>
  <c r="S79" i="37"/>
  <c r="H79" i="37" s="1"/>
  <c r="G147" i="37" s="1"/>
  <c r="I147" i="37" s="1"/>
  <c r="Q79" i="37"/>
  <c r="F79" i="37" s="1"/>
  <c r="D147" i="37" s="1"/>
  <c r="E146" i="37"/>
  <c r="D144" i="37"/>
  <c r="D146" i="37"/>
  <c r="E155" i="37"/>
  <c r="F155" i="37" s="1"/>
  <c r="D171" i="37"/>
  <c r="F171" i="37" s="1"/>
  <c r="D177" i="37"/>
  <c r="S115" i="37"/>
  <c r="H115" i="37" s="1"/>
  <c r="G184" i="37" s="1"/>
  <c r="D172" i="37"/>
  <c r="E150" i="37"/>
  <c r="E144" i="37"/>
  <c r="Q115" i="37"/>
  <c r="F115" i="37" s="1"/>
  <c r="D184" i="37" s="1"/>
  <c r="E109" i="37"/>
  <c r="AC109" i="37"/>
  <c r="I109" i="37" s="1"/>
  <c r="H178" i="37" s="1"/>
  <c r="AA109" i="37"/>
  <c r="G109" i="37" s="1"/>
  <c r="AA59" i="24"/>
  <c r="Y59" i="24"/>
  <c r="D107" i="37"/>
  <c r="Q107" i="37"/>
  <c r="F107" i="37" s="1"/>
  <c r="S107" i="37"/>
  <c r="H107" i="37" s="1"/>
  <c r="G176" i="37" s="1"/>
  <c r="AC59" i="24"/>
  <c r="W59" i="24"/>
  <c r="E106" i="37"/>
  <c r="AA106" i="37"/>
  <c r="G106" i="37" s="1"/>
  <c r="AC106" i="37"/>
  <c r="I106" i="37" s="1"/>
  <c r="H175" i="37" s="1"/>
  <c r="D106" i="37"/>
  <c r="Q106" i="37"/>
  <c r="F106" i="37" s="1"/>
  <c r="S106" i="37"/>
  <c r="H106" i="37" s="1"/>
  <c r="G175" i="37" s="1"/>
  <c r="E107" i="37"/>
  <c r="AA107" i="37"/>
  <c r="G107" i="37" s="1"/>
  <c r="AC107" i="37"/>
  <c r="I107" i="37" s="1"/>
  <c r="H176" i="37" s="1"/>
  <c r="D109" i="37"/>
  <c r="Q109" i="37"/>
  <c r="F109" i="37" s="1"/>
  <c r="S109" i="37"/>
  <c r="H109" i="37" s="1"/>
  <c r="G178" i="37" s="1"/>
  <c r="E113" i="37"/>
  <c r="AC113" i="37"/>
  <c r="I113" i="37" s="1"/>
  <c r="H182" i="37" s="1"/>
  <c r="AA113" i="37"/>
  <c r="G113" i="37" s="1"/>
  <c r="AA108" i="37"/>
  <c r="G108" i="37" s="1"/>
  <c r="AC108" i="37"/>
  <c r="I108" i="37" s="1"/>
  <c r="H177" i="37" s="1"/>
  <c r="I177" i="37" s="1"/>
  <c r="D113" i="37"/>
  <c r="Q113" i="37"/>
  <c r="F113" i="37" s="1"/>
  <c r="S113" i="37"/>
  <c r="H113" i="37" s="1"/>
  <c r="G182" i="37" s="1"/>
  <c r="K115" i="37"/>
  <c r="K116" i="37" s="1"/>
  <c r="AA115" i="37"/>
  <c r="G115" i="37" s="1"/>
  <c r="E184" i="37" s="1"/>
  <c r="AC115" i="37"/>
  <c r="I115" i="37" s="1"/>
  <c r="AA105" i="37"/>
  <c r="G105" i="37" s="1"/>
  <c r="AC105" i="37"/>
  <c r="I105" i="37" s="1"/>
  <c r="H174" i="37" s="1"/>
  <c r="I174" i="37" s="1"/>
  <c r="D81" i="37"/>
  <c r="Q81" i="37"/>
  <c r="F81" i="37" s="1"/>
  <c r="S81" i="37"/>
  <c r="H81" i="37" s="1"/>
  <c r="G149" i="37" s="1"/>
  <c r="D82" i="37"/>
  <c r="S82" i="37"/>
  <c r="H82" i="37" s="1"/>
  <c r="G150" i="37" s="1"/>
  <c r="I150" i="37" s="1"/>
  <c r="Q82" i="37"/>
  <c r="F82" i="37" s="1"/>
  <c r="E80" i="37"/>
  <c r="AA80" i="37"/>
  <c r="G80" i="37" s="1"/>
  <c r="AC80" i="37"/>
  <c r="I80" i="37" s="1"/>
  <c r="H148" i="37" s="1"/>
  <c r="E81" i="37"/>
  <c r="AC81" i="37"/>
  <c r="I81" i="37" s="1"/>
  <c r="H149" i="37" s="1"/>
  <c r="AA81" i="37"/>
  <c r="G81" i="37" s="1"/>
  <c r="D80" i="37"/>
  <c r="Q80" i="37"/>
  <c r="F80" i="37" s="1"/>
  <c r="S80" i="37"/>
  <c r="H80" i="37" s="1"/>
  <c r="G148" i="37" s="1"/>
  <c r="F170" i="37"/>
  <c r="I170" i="37"/>
  <c r="E169" i="37"/>
  <c r="D142" i="37"/>
  <c r="E142" i="37"/>
  <c r="D168" i="37"/>
  <c r="F168" i="37" s="1"/>
  <c r="J120" i="37"/>
  <c r="K120" i="37"/>
  <c r="J121" i="37"/>
  <c r="K121" i="37"/>
  <c r="G322" i="37"/>
  <c r="G16" i="36"/>
  <c r="G13" i="36"/>
  <c r="G144" i="37"/>
  <c r="I144" i="37" s="1"/>
  <c r="G171" i="37"/>
  <c r="I171" i="37" s="1"/>
  <c r="G142" i="37"/>
  <c r="I142" i="37" s="1"/>
  <c r="D169" i="37"/>
  <c r="G169" i="37"/>
  <c r="I169" i="37" s="1"/>
  <c r="I146" i="37"/>
  <c r="I156" i="40"/>
  <c r="I129" i="40"/>
  <c r="I173" i="37"/>
  <c r="M93" i="40"/>
  <c r="H165" i="40"/>
  <c r="F165" i="40"/>
  <c r="I128" i="40"/>
  <c r="G93" i="40"/>
  <c r="H138" i="40"/>
  <c r="K93" i="40"/>
  <c r="E165" i="40"/>
  <c r="E108" i="37"/>
  <c r="E105" i="37"/>
  <c r="E138" i="40"/>
  <c r="E93" i="40"/>
  <c r="F31" i="31"/>
  <c r="J256" i="40"/>
  <c r="J116" i="37"/>
  <c r="D141" i="37"/>
  <c r="E141" i="37"/>
  <c r="H168" i="37"/>
  <c r="G168" i="37"/>
  <c r="I141" i="37"/>
  <c r="K90" i="37"/>
  <c r="L252" i="40"/>
  <c r="M310" i="40"/>
  <c r="G12" i="36"/>
  <c r="G310" i="40"/>
  <c r="I172" i="37"/>
  <c r="J90" i="37"/>
  <c r="G315" i="37"/>
  <c r="I322" i="37" s="1"/>
  <c r="O64" i="1"/>
  <c r="O66" i="1" s="1"/>
  <c r="I315" i="37"/>
  <c r="T94" i="7"/>
  <c r="C94" i="7" s="1"/>
  <c r="G145" i="37"/>
  <c r="H145" i="37"/>
  <c r="I155" i="37"/>
  <c r="J31" i="32"/>
  <c r="H156" i="37"/>
  <c r="G156" i="37"/>
  <c r="H183" i="37"/>
  <c r="G183" i="37"/>
  <c r="L62" i="37"/>
  <c r="L65" i="40"/>
  <c r="I155" i="40"/>
  <c r="W43" i="37"/>
  <c r="X43" i="37"/>
  <c r="I59" i="23"/>
  <c r="K59" i="23"/>
  <c r="S43" i="31" s="1"/>
  <c r="H59" i="23"/>
  <c r="J59" i="23"/>
  <c r="S40" i="31" s="1"/>
  <c r="I30" i="31" s="1"/>
  <c r="U43" i="37"/>
  <c r="F31" i="32"/>
  <c r="F12" i="16"/>
  <c r="J31" i="31"/>
  <c r="C58" i="16"/>
  <c r="F65" i="40"/>
  <c r="V43" i="37"/>
  <c r="F62" i="37"/>
  <c r="H34" i="23"/>
  <c r="J34" i="23"/>
  <c r="S39" i="31" s="1"/>
  <c r="I34" i="23"/>
  <c r="K34" i="23"/>
  <c r="S42" i="31" s="1"/>
  <c r="F156" i="37"/>
  <c r="G138" i="40"/>
  <c r="T95" i="7"/>
  <c r="C95" i="7" s="1"/>
  <c r="L219" i="7"/>
  <c r="T219" i="7" s="1"/>
  <c r="C219" i="7" s="1"/>
  <c r="L217" i="7"/>
  <c r="T217" i="7" s="1"/>
  <c r="C217" i="7" s="1"/>
  <c r="T93" i="7"/>
  <c r="C93" i="7" s="1"/>
  <c r="T135" i="7"/>
  <c r="C135" i="7" s="1"/>
  <c r="P259" i="7"/>
  <c r="T259" i="7" s="1"/>
  <c r="C259" i="7" s="1"/>
  <c r="T136" i="7"/>
  <c r="C136" i="7" s="1"/>
  <c r="P260" i="7"/>
  <c r="T260" i="7" s="1"/>
  <c r="C260" i="7" s="1"/>
  <c r="T97" i="7"/>
  <c r="C97" i="7" s="1"/>
  <c r="L221" i="7"/>
  <c r="T221" i="7" s="1"/>
  <c r="C221" i="7" s="1"/>
  <c r="T130" i="7"/>
  <c r="C130" i="7" s="1"/>
  <c r="P254" i="7"/>
  <c r="T254" i="7" s="1"/>
  <c r="C254" i="7" s="1"/>
  <c r="L220" i="7"/>
  <c r="T220" i="7" s="1"/>
  <c r="C220" i="7" s="1"/>
  <c r="T96" i="7"/>
  <c r="C96" i="7" s="1"/>
  <c r="T133" i="7"/>
  <c r="C133" i="7" s="1"/>
  <c r="P257" i="7"/>
  <c r="T257" i="7" s="1"/>
  <c r="C257" i="7" s="1"/>
  <c r="L93" i="40"/>
  <c r="T91" i="7"/>
  <c r="C91" i="7" s="1"/>
  <c r="L215" i="7"/>
  <c r="T215" i="7" s="1"/>
  <c r="C215" i="7" s="1"/>
  <c r="T90" i="7"/>
  <c r="C90" i="7" s="1"/>
  <c r="L214" i="7"/>
  <c r="T214" i="7" s="1"/>
  <c r="C214" i="7" s="1"/>
  <c r="T131" i="7"/>
  <c r="C131" i="7" s="1"/>
  <c r="P255" i="7"/>
  <c r="T255" i="7" s="1"/>
  <c r="C255" i="7" s="1"/>
  <c r="I153" i="40"/>
  <c r="G165" i="40"/>
  <c r="P261" i="7"/>
  <c r="T261" i="7" s="1"/>
  <c r="C261" i="7" s="1"/>
  <c r="T137" i="7"/>
  <c r="C137" i="7" s="1"/>
  <c r="T116" i="7"/>
  <c r="C116" i="7" s="1"/>
  <c r="P240" i="7"/>
  <c r="T240" i="7" s="1"/>
  <c r="C240" i="7" s="1"/>
  <c r="T76" i="7"/>
  <c r="C76" i="7" s="1"/>
  <c r="L200" i="7"/>
  <c r="T200" i="7" s="1"/>
  <c r="C200" i="7" s="1"/>
  <c r="T110" i="7"/>
  <c r="C110" i="7" s="1"/>
  <c r="P234" i="7"/>
  <c r="T234" i="7" s="1"/>
  <c r="C234" i="7" s="1"/>
  <c r="T111" i="7"/>
  <c r="C111" i="7" s="1"/>
  <c r="P235" i="7"/>
  <c r="T235" i="7" s="1"/>
  <c r="C235" i="7" s="1"/>
  <c r="T70" i="7"/>
  <c r="C70" i="7" s="1"/>
  <c r="L194" i="7"/>
  <c r="T194" i="7" s="1"/>
  <c r="C194" i="7" s="1"/>
  <c r="F93" i="40"/>
  <c r="T71" i="7"/>
  <c r="C71" i="7" s="1"/>
  <c r="L195" i="7"/>
  <c r="T195" i="7" s="1"/>
  <c r="C195" i="7" s="1"/>
  <c r="O45" i="14"/>
  <c r="BL53" i="14"/>
  <c r="I157" i="37"/>
  <c r="F157" i="37"/>
  <c r="G101" i="40"/>
  <c r="G102" i="40"/>
  <c r="I101" i="40"/>
  <c r="I102" i="40"/>
  <c r="F122" i="37"/>
  <c r="G122" i="37"/>
  <c r="T57" i="7"/>
  <c r="L181" i="7"/>
  <c r="T181" i="7" s="1"/>
  <c r="BQ131" i="14" l="1"/>
  <c r="AZ131" i="14"/>
  <c r="M131" i="14"/>
  <c r="M132" i="14"/>
  <c r="AZ132" i="14"/>
  <c r="BQ132" i="14"/>
  <c r="AU81" i="14"/>
  <c r="AT80" i="14"/>
  <c r="Y80" i="14" s="1"/>
  <c r="BJ78" i="14"/>
  <c r="BM78" i="14" s="1"/>
  <c r="AB137" i="14"/>
  <c r="AC137" i="14"/>
  <c r="G134" i="14"/>
  <c r="AA134" i="14"/>
  <c r="BI78" i="14"/>
  <c r="AA79" i="14"/>
  <c r="G79" i="14"/>
  <c r="BG78" i="14"/>
  <c r="BO120" i="14"/>
  <c r="BM120" i="14"/>
  <c r="BK121" i="14"/>
  <c r="BL120" i="14"/>
  <c r="BN120" i="14"/>
  <c r="H80" i="14"/>
  <c r="J80" i="14"/>
  <c r="BB78" i="14"/>
  <c r="AS135" i="14"/>
  <c r="AA133" i="14"/>
  <c r="G133" i="14"/>
  <c r="AR135" i="14"/>
  <c r="BF78" i="14"/>
  <c r="AS136" i="14"/>
  <c r="AV135" i="14"/>
  <c r="BE78" i="14"/>
  <c r="AV136" i="14"/>
  <c r="AU135" i="14"/>
  <c r="BD78" i="14"/>
  <c r="BL78" i="14" s="1"/>
  <c r="AR136" i="14"/>
  <c r="AV81" i="14"/>
  <c r="BC78" i="14"/>
  <c r="AU136" i="14"/>
  <c r="K134" i="14"/>
  <c r="O134" i="14"/>
  <c r="P134" i="14" s="1"/>
  <c r="F134" i="14"/>
  <c r="AS81" i="14"/>
  <c r="BA78" i="14"/>
  <c r="AR81" i="14"/>
  <c r="M256" i="40"/>
  <c r="F47" i="16"/>
  <c r="F46" i="16"/>
  <c r="F48" i="16"/>
  <c r="F50" i="16"/>
  <c r="F49" i="16"/>
  <c r="I154" i="37"/>
  <c r="I180" i="37"/>
  <c r="F147" i="37"/>
  <c r="I181" i="37"/>
  <c r="I171" i="40"/>
  <c r="F173" i="37"/>
  <c r="E180" i="37"/>
  <c r="F180" i="37" s="1"/>
  <c r="D170" i="40"/>
  <c r="F144" i="37"/>
  <c r="E178" i="37"/>
  <c r="F172" i="37"/>
  <c r="F154" i="37"/>
  <c r="F146" i="37"/>
  <c r="E176" i="37"/>
  <c r="E181" i="37"/>
  <c r="F181" i="37" s="1"/>
  <c r="F151" i="37"/>
  <c r="D256" i="40"/>
  <c r="H184" i="37"/>
  <c r="I184" i="37" s="1"/>
  <c r="E90" i="37"/>
  <c r="D178" i="37"/>
  <c r="F184" i="37"/>
  <c r="E175" i="37"/>
  <c r="D116" i="37"/>
  <c r="D310" i="40"/>
  <c r="D182" i="37"/>
  <c r="I182" i="37"/>
  <c r="D148" i="37"/>
  <c r="G21" i="36"/>
  <c r="G28" i="36" s="1"/>
  <c r="G32" i="36" s="1"/>
  <c r="G34" i="36" s="1"/>
  <c r="G35" i="36" s="1"/>
  <c r="D176" i="37"/>
  <c r="D150" i="37"/>
  <c r="F150" i="37" s="1"/>
  <c r="D90" i="37"/>
  <c r="E148" i="37"/>
  <c r="E149" i="37"/>
  <c r="F22" i="16"/>
  <c r="F20" i="16"/>
  <c r="F19" i="16"/>
  <c r="F32" i="16"/>
  <c r="F34" i="16"/>
  <c r="F18" i="16"/>
  <c r="F36" i="16"/>
  <c r="F35" i="16"/>
  <c r="F33" i="16"/>
  <c r="F21" i="16"/>
  <c r="D149" i="37"/>
  <c r="E182" i="37"/>
  <c r="D175" i="37"/>
  <c r="F169" i="37"/>
  <c r="F142" i="37"/>
  <c r="L108" i="40"/>
  <c r="I31" i="31"/>
  <c r="F44" i="16"/>
  <c r="F45" i="16"/>
  <c r="F43" i="16"/>
  <c r="I138" i="40"/>
  <c r="I178" i="37"/>
  <c r="I175" i="37"/>
  <c r="G108" i="40"/>
  <c r="I176" i="37"/>
  <c r="G171" i="40"/>
  <c r="H90" i="37"/>
  <c r="G90" i="37"/>
  <c r="H116" i="37"/>
  <c r="I148" i="37"/>
  <c r="F90" i="37"/>
  <c r="I149" i="37"/>
  <c r="I90" i="37"/>
  <c r="D171" i="40"/>
  <c r="E174" i="37"/>
  <c r="F174" i="37" s="1"/>
  <c r="D108" i="40"/>
  <c r="E116" i="37"/>
  <c r="E177" i="37"/>
  <c r="F177" i="37" s="1"/>
  <c r="F17" i="16"/>
  <c r="F31" i="16"/>
  <c r="F15" i="16"/>
  <c r="F29" i="16"/>
  <c r="F16" i="16"/>
  <c r="F30" i="16"/>
  <c r="I29" i="31"/>
  <c r="G256" i="40"/>
  <c r="I168" i="37"/>
  <c r="F141" i="37"/>
  <c r="F14" i="16"/>
  <c r="F41" i="16"/>
  <c r="F42" i="16"/>
  <c r="I165" i="40"/>
  <c r="H158" i="37"/>
  <c r="G158" i="37"/>
  <c r="I145" i="37"/>
  <c r="I116" i="37"/>
  <c r="I156" i="37"/>
  <c r="G116" i="37"/>
  <c r="I183" i="37"/>
  <c r="G185" i="37"/>
  <c r="F116" i="37"/>
  <c r="L313" i="37"/>
  <c r="G313" i="37"/>
  <c r="S43" i="32"/>
  <c r="S40" i="32"/>
  <c r="F26" i="16"/>
  <c r="F40" i="16" s="1"/>
  <c r="F55" i="16" s="1"/>
  <c r="G12" i="16"/>
  <c r="F27" i="16"/>
  <c r="F13" i="16"/>
  <c r="F28" i="16"/>
  <c r="S42" i="32"/>
  <c r="S39" i="32"/>
  <c r="M170" i="40"/>
  <c r="K325" i="40" s="1"/>
  <c r="G170" i="40"/>
  <c r="L171" i="40"/>
  <c r="BL52" i="14"/>
  <c r="BL54" i="14"/>
  <c r="M107" i="40"/>
  <c r="J325" i="40" s="1"/>
  <c r="G107" i="40"/>
  <c r="C57" i="7"/>
  <c r="K20" i="7"/>
  <c r="C181" i="7"/>
  <c r="K153" i="7"/>
  <c r="J107" i="40"/>
  <c r="G325" i="40" s="1"/>
  <c r="I325" i="40" s="1"/>
  <c r="D107" i="40"/>
  <c r="AW81" i="14" l="1"/>
  <c r="Z81" i="14" s="1"/>
  <c r="BN78" i="14"/>
  <c r="BO78" i="14"/>
  <c r="AT81" i="14"/>
  <c r="Y81" i="14" s="1"/>
  <c r="F81" i="14" s="1"/>
  <c r="AW136" i="14"/>
  <c r="Z136" i="14" s="1"/>
  <c r="G136" i="14" s="1"/>
  <c r="AT135" i="14"/>
  <c r="Y135" i="14" s="1"/>
  <c r="F135" i="14" s="1"/>
  <c r="K80" i="14"/>
  <c r="F80" i="14"/>
  <c r="O80" i="14"/>
  <c r="P80" i="14" s="1"/>
  <c r="AA81" i="14"/>
  <c r="G81" i="14"/>
  <c r="K135" i="14"/>
  <c r="BC79" i="14"/>
  <c r="BH79" i="14"/>
  <c r="BJ79" i="14"/>
  <c r="BA79" i="14"/>
  <c r="BB79" i="14"/>
  <c r="BD79" i="14"/>
  <c r="BL79" i="14" s="1"/>
  <c r="BE79" i="14"/>
  <c r="H79" i="14"/>
  <c r="BF79" i="14"/>
  <c r="BG79" i="14"/>
  <c r="J79" i="14"/>
  <c r="BI79" i="14"/>
  <c r="BA133" i="14"/>
  <c r="BF133" i="14"/>
  <c r="H133" i="14"/>
  <c r="BG133" i="14"/>
  <c r="BC133" i="14"/>
  <c r="BD133" i="14"/>
  <c r="BE133" i="14"/>
  <c r="BH133" i="14"/>
  <c r="BB133" i="14"/>
  <c r="BI133" i="14"/>
  <c r="BJ133" i="14"/>
  <c r="J133" i="14"/>
  <c r="L133" i="14" s="1"/>
  <c r="AT136" i="14"/>
  <c r="Y136" i="14" s="1"/>
  <c r="BH134" i="14"/>
  <c r="BB134" i="14"/>
  <c r="BJ134" i="14"/>
  <c r="H134" i="14"/>
  <c r="BC134" i="14"/>
  <c r="BD134" i="14"/>
  <c r="BE134" i="14"/>
  <c r="BI134" i="14"/>
  <c r="BA134" i="14"/>
  <c r="BG134" i="14"/>
  <c r="BF134" i="14"/>
  <c r="J134" i="14"/>
  <c r="L134" i="14" s="1"/>
  <c r="K81" i="14"/>
  <c r="AW135" i="14"/>
  <c r="Z135" i="14" s="1"/>
  <c r="BN121" i="14"/>
  <c r="BL121" i="14"/>
  <c r="BK122" i="14"/>
  <c r="BM121" i="14"/>
  <c r="BO121" i="14"/>
  <c r="AO137" i="14"/>
  <c r="AH137" i="14"/>
  <c r="AI137" i="14"/>
  <c r="AM137" i="14"/>
  <c r="AL137" i="14"/>
  <c r="AN137" i="14"/>
  <c r="AJ137" i="14"/>
  <c r="AF137" i="14"/>
  <c r="AK137" i="14"/>
  <c r="AG137" i="14"/>
  <c r="H185" i="37"/>
  <c r="G191" i="37" s="1"/>
  <c r="F175" i="37"/>
  <c r="D172" i="40"/>
  <c r="H323" i="40" s="1"/>
  <c r="G48" i="16"/>
  <c r="G50" i="16"/>
  <c r="G47" i="16"/>
  <c r="G46" i="16"/>
  <c r="G49" i="16"/>
  <c r="F182" i="37"/>
  <c r="F178" i="37"/>
  <c r="F176" i="37"/>
  <c r="E158" i="37"/>
  <c r="I128" i="37"/>
  <c r="F148" i="37"/>
  <c r="D185" i="37"/>
  <c r="F149" i="37"/>
  <c r="D158" i="37"/>
  <c r="G43" i="16"/>
  <c r="G36" i="16"/>
  <c r="G19" i="16"/>
  <c r="G18" i="16"/>
  <c r="G21" i="16"/>
  <c r="G33" i="16"/>
  <c r="G20" i="16"/>
  <c r="G32" i="16"/>
  <c r="G22" i="16"/>
  <c r="G35" i="16"/>
  <c r="G34" i="16"/>
  <c r="L128" i="37"/>
  <c r="D127" i="37"/>
  <c r="G323" i="37"/>
  <c r="J127" i="37"/>
  <c r="G296" i="37" s="1"/>
  <c r="M127" i="37"/>
  <c r="J296" i="37" s="1"/>
  <c r="G127" i="37"/>
  <c r="M87" i="31"/>
  <c r="I87" i="31" s="1"/>
  <c r="G45" i="16"/>
  <c r="G44" i="16"/>
  <c r="G109" i="40"/>
  <c r="J323" i="40" s="1"/>
  <c r="G172" i="40"/>
  <c r="K323" i="40" s="1"/>
  <c r="G128" i="37"/>
  <c r="D109" i="40"/>
  <c r="G323" i="40" s="1"/>
  <c r="E185" i="37"/>
  <c r="G31" i="16"/>
  <c r="G17" i="16"/>
  <c r="G16" i="16"/>
  <c r="G15" i="16"/>
  <c r="G29" i="16"/>
  <c r="G30" i="16"/>
  <c r="F23" i="16"/>
  <c r="I185" i="37"/>
  <c r="F37" i="16"/>
  <c r="F51" i="16"/>
  <c r="G28" i="16"/>
  <c r="G42" i="16"/>
  <c r="G41" i="16"/>
  <c r="I158" i="37"/>
  <c r="G190" i="37"/>
  <c r="L191" i="37"/>
  <c r="D128" i="37"/>
  <c r="M190" i="37"/>
  <c r="K296" i="37" s="1"/>
  <c r="I316" i="37"/>
  <c r="G14" i="16"/>
  <c r="G316" i="37"/>
  <c r="I323" i="37" s="1"/>
  <c r="G27" i="16"/>
  <c r="G13" i="16"/>
  <c r="G26" i="16"/>
  <c r="G40" i="16" s="1"/>
  <c r="G55" i="16" s="1"/>
  <c r="F56" i="16"/>
  <c r="F57" i="16"/>
  <c r="L325" i="40"/>
  <c r="O81" i="14" l="1"/>
  <c r="P81" i="14" s="1"/>
  <c r="O135" i="14"/>
  <c r="P135" i="14" s="1"/>
  <c r="AA136" i="14"/>
  <c r="H136" i="14" s="1"/>
  <c r="M134" i="14"/>
  <c r="BQ134" i="14"/>
  <c r="AZ134" i="14"/>
  <c r="BQ133" i="14"/>
  <c r="AZ133" i="14"/>
  <c r="M133" i="14"/>
  <c r="BA80" i="14"/>
  <c r="BB80" i="14"/>
  <c r="BC80" i="14"/>
  <c r="BD80" i="14"/>
  <c r="BL80" i="14" s="1"/>
  <c r="BI80" i="14"/>
  <c r="BJ80" i="14"/>
  <c r="BE80" i="14"/>
  <c r="BH80" i="14"/>
  <c r="BF80" i="14"/>
  <c r="BG80" i="14"/>
  <c r="K136" i="14"/>
  <c r="BB136" i="14" s="1"/>
  <c r="O136" i="14"/>
  <c r="P136" i="14" s="1"/>
  <c r="F136" i="14"/>
  <c r="BO79" i="14"/>
  <c r="BN79" i="14"/>
  <c r="BM79" i="14"/>
  <c r="AS137" i="14"/>
  <c r="BM122" i="14"/>
  <c r="BL122" i="14"/>
  <c r="BN122" i="14"/>
  <c r="BO122" i="14"/>
  <c r="BK123" i="14"/>
  <c r="AV137" i="14"/>
  <c r="AR137" i="14"/>
  <c r="AU137" i="14"/>
  <c r="G135" i="14"/>
  <c r="AA135" i="14"/>
  <c r="BE81" i="14"/>
  <c r="BA81" i="14"/>
  <c r="BB81" i="14"/>
  <c r="BC81" i="14"/>
  <c r="BF81" i="14"/>
  <c r="BG81" i="14"/>
  <c r="BH81" i="14"/>
  <c r="BJ81" i="14"/>
  <c r="H81" i="14"/>
  <c r="BI81" i="14"/>
  <c r="J81" i="14"/>
  <c r="BD81" i="14"/>
  <c r="BL81" i="14" s="1"/>
  <c r="D191" i="37"/>
  <c r="H324" i="40"/>
  <c r="F185" i="37"/>
  <c r="J190" i="37"/>
  <c r="H296" i="37" s="1"/>
  <c r="I296" i="37" s="1"/>
  <c r="I191" i="37"/>
  <c r="F158" i="37"/>
  <c r="D190" i="37"/>
  <c r="J324" i="40"/>
  <c r="K324" i="40"/>
  <c r="G324" i="40"/>
  <c r="L296" i="37"/>
  <c r="G129" i="37"/>
  <c r="J294" i="37" s="1"/>
  <c r="G37" i="16"/>
  <c r="D129" i="37"/>
  <c r="G295" i="37" s="1"/>
  <c r="G51" i="16"/>
  <c r="G57" i="16"/>
  <c r="G192" i="37"/>
  <c r="K294" i="37" s="1"/>
  <c r="G56" i="16"/>
  <c r="G23" i="16"/>
  <c r="H18" i="31" s="1"/>
  <c r="H18" i="32" s="1"/>
  <c r="L323" i="40"/>
  <c r="I323" i="40"/>
  <c r="G364" i="40"/>
  <c r="O47" i="14"/>
  <c r="BO53" i="14"/>
  <c r="O48" i="14"/>
  <c r="J136" i="14" l="1"/>
  <c r="L136" i="14"/>
  <c r="M136" i="14" s="1"/>
  <c r="BI136" i="14"/>
  <c r="BH136" i="14"/>
  <c r="BG136" i="14"/>
  <c r="BA136" i="14"/>
  <c r="BF136" i="14"/>
  <c r="BD136" i="14"/>
  <c r="BJ136" i="14"/>
  <c r="BE136" i="14"/>
  <c r="BC136" i="14"/>
  <c r="BM80" i="14"/>
  <c r="BN80" i="14"/>
  <c r="BO80" i="14"/>
  <c r="BL123" i="14"/>
  <c r="BN123" i="14"/>
  <c r="BO123" i="14"/>
  <c r="BK124" i="14"/>
  <c r="BM123" i="14"/>
  <c r="BC135" i="14"/>
  <c r="BI135" i="14"/>
  <c r="H135" i="14"/>
  <c r="BA135" i="14"/>
  <c r="BB135" i="14"/>
  <c r="BD135" i="14"/>
  <c r="BG135" i="14"/>
  <c r="BH135" i="14"/>
  <c r="BJ135" i="14"/>
  <c r="BE135" i="14"/>
  <c r="BF135" i="14"/>
  <c r="J135" i="14"/>
  <c r="L135" i="14" s="1"/>
  <c r="AW137" i="14"/>
  <c r="Z137" i="14" s="1"/>
  <c r="AT137" i="14"/>
  <c r="Y137" i="14" s="1"/>
  <c r="BM81" i="14"/>
  <c r="BN81" i="14"/>
  <c r="BO81" i="14"/>
  <c r="D192" i="37"/>
  <c r="H294" i="37" s="1"/>
  <c r="I324" i="40"/>
  <c r="L324" i="40"/>
  <c r="J365" i="40"/>
  <c r="G365" i="40" s="1"/>
  <c r="J295" i="37"/>
  <c r="L294" i="37"/>
  <c r="G294" i="37"/>
  <c r="G329" i="37" s="1"/>
  <c r="K295" i="37"/>
  <c r="G18" i="31"/>
  <c r="J364" i="40"/>
  <c r="U38" i="14"/>
  <c r="BN53" i="14"/>
  <c r="BQ54" i="14"/>
  <c r="BO52" i="14"/>
  <c r="BO54" i="14"/>
  <c r="AZ136" i="14" l="1"/>
  <c r="BQ136" i="14"/>
  <c r="AZ135" i="14"/>
  <c r="BQ135" i="14"/>
  <c r="M135" i="14"/>
  <c r="BL124" i="14"/>
  <c r="BN124" i="14"/>
  <c r="BO124" i="14"/>
  <c r="BK125" i="14"/>
  <c r="BM124" i="14"/>
  <c r="F137" i="14"/>
  <c r="K137" i="14"/>
  <c r="O137" i="14"/>
  <c r="P137" i="14" s="1"/>
  <c r="AA137" i="14"/>
  <c r="G137" i="14"/>
  <c r="H295" i="37"/>
  <c r="I295" i="37" s="1"/>
  <c r="G361" i="40"/>
  <c r="J30" i="31"/>
  <c r="F30" i="31"/>
  <c r="L295" i="37"/>
  <c r="J329" i="37"/>
  <c r="I294" i="37"/>
  <c r="J29" i="31"/>
  <c r="F29" i="31"/>
  <c r="G18" i="32"/>
  <c r="F30" i="32" s="1"/>
  <c r="BN54" i="14"/>
  <c r="BN52" i="14"/>
  <c r="J330" i="37" l="1"/>
  <c r="BB137" i="14"/>
  <c r="BC137" i="14"/>
  <c r="BD137" i="14"/>
  <c r="BH137" i="14"/>
  <c r="BI137" i="14"/>
  <c r="BJ137" i="14"/>
  <c r="BA137" i="14"/>
  <c r="BG137" i="14"/>
  <c r="H137" i="14"/>
  <c r="BE137" i="14"/>
  <c r="BF137" i="14"/>
  <c r="J137" i="14"/>
  <c r="L137" i="14" s="1"/>
  <c r="BO125" i="14"/>
  <c r="BK126" i="14"/>
  <c r="BM125" i="14"/>
  <c r="BL125" i="14"/>
  <c r="BN125" i="14"/>
  <c r="G326" i="37"/>
  <c r="G330" i="37"/>
  <c r="F29" i="32"/>
  <c r="J30" i="32"/>
  <c r="J29" i="32"/>
  <c r="AZ137" i="14" l="1"/>
  <c r="M137" i="14"/>
  <c r="BQ137" i="14"/>
  <c r="BL126" i="14"/>
  <c r="BN126" i="14"/>
  <c r="BK127" i="14"/>
  <c r="BM126" i="14"/>
  <c r="BO126" i="14"/>
  <c r="E12" i="14"/>
  <c r="G12" i="14" s="1"/>
  <c r="BL127" i="14" l="1"/>
  <c r="BM127" i="14"/>
  <c r="BO127" i="14"/>
  <c r="BN127" i="14"/>
  <c r="BK128" i="14"/>
  <c r="G17" i="14"/>
  <c r="E17" i="14"/>
  <c r="E19" i="14" s="1"/>
  <c r="BL128" i="14" l="1"/>
  <c r="BN128" i="14"/>
  <c r="BM128" i="14"/>
  <c r="BO128" i="14"/>
  <c r="BK129" i="14"/>
  <c r="E20" i="14"/>
  <c r="U23" i="14"/>
  <c r="AC23" i="14" s="1"/>
  <c r="BN129" i="14" l="1"/>
  <c r="BO129" i="14"/>
  <c r="BM129" i="14"/>
  <c r="BL129" i="14"/>
  <c r="BK130" i="14"/>
  <c r="AB23" i="14"/>
  <c r="BK131" i="14" l="1"/>
  <c r="BL130" i="14"/>
  <c r="BM130" i="14"/>
  <c r="BN130" i="14"/>
  <c r="BO130" i="14"/>
  <c r="AK23" i="14"/>
  <c r="AN23" i="14"/>
  <c r="AJ23" i="14"/>
  <c r="AF23" i="14"/>
  <c r="AG23" i="14"/>
  <c r="AI23" i="14"/>
  <c r="AO23" i="14"/>
  <c r="AM23" i="14"/>
  <c r="AH23" i="14"/>
  <c r="AL23" i="14"/>
  <c r="BK132" i="14" l="1"/>
  <c r="BL131" i="14"/>
  <c r="BM131" i="14"/>
  <c r="BN131" i="14"/>
  <c r="BO131" i="14"/>
  <c r="AU23" i="14"/>
  <c r="AS23" i="14"/>
  <c r="AV23" i="14"/>
  <c r="AR23" i="14"/>
  <c r="BL132" i="14" l="1"/>
  <c r="BN132" i="14"/>
  <c r="BK133" i="14"/>
  <c r="BO132" i="14"/>
  <c r="BM132" i="14"/>
  <c r="AT23" i="14"/>
  <c r="X23" i="14" s="1"/>
  <c r="E23" i="14" s="1"/>
  <c r="E29" i="14" s="1"/>
  <c r="AW23" i="14"/>
  <c r="Y23" i="14" s="1"/>
  <c r="Z23" i="14" s="1"/>
  <c r="BM133" i="14" l="1"/>
  <c r="BK134" i="14"/>
  <c r="BL133" i="14"/>
  <c r="BN133" i="14"/>
  <c r="BO133" i="14"/>
  <c r="E24" i="14"/>
  <c r="E25" i="14"/>
  <c r="E26" i="14" s="1"/>
  <c r="F39" i="14"/>
  <c r="F40" i="14"/>
  <c r="F42" i="14"/>
  <c r="F44" i="14"/>
  <c r="F45" i="14"/>
  <c r="F41" i="14"/>
  <c r="F43" i="14"/>
  <c r="F37" i="14"/>
  <c r="F38" i="14"/>
  <c r="D12" i="10"/>
  <c r="D16" i="10" s="1"/>
  <c r="BN134" i="14" l="1"/>
  <c r="BL134" i="14"/>
  <c r="BM134" i="14"/>
  <c r="BO134" i="14"/>
  <c r="BK135" i="14"/>
  <c r="G42" i="14"/>
  <c r="H42" i="14" s="1"/>
  <c r="G43" i="14"/>
  <c r="H43" i="14" s="1"/>
  <c r="G41" i="14"/>
  <c r="H41" i="14" s="1"/>
  <c r="G40" i="14"/>
  <c r="H40" i="14" s="1"/>
  <c r="G38" i="14"/>
  <c r="H38" i="14" s="1"/>
  <c r="G45" i="14"/>
  <c r="H45" i="14" s="1"/>
  <c r="G39" i="14"/>
  <c r="H39" i="14" s="1"/>
  <c r="G37" i="14"/>
  <c r="H37" i="14" s="1"/>
  <c r="G44" i="14"/>
  <c r="H44" i="14" s="1"/>
  <c r="D30" i="10"/>
  <c r="L30" i="10"/>
  <c r="Q70" i="1" s="1"/>
  <c r="D39" i="10"/>
  <c r="BO135" i="14" l="1"/>
  <c r="BN135" i="14"/>
  <c r="BM135" i="14"/>
  <c r="BL135" i="14"/>
  <c r="BK136" i="14"/>
  <c r="H30" i="10"/>
  <c r="R70" i="1"/>
  <c r="F38" i="10"/>
  <c r="F40" i="10"/>
  <c r="F39" i="10"/>
  <c r="BL136" i="14" l="1"/>
  <c r="BM136" i="14"/>
  <c r="BN136" i="14"/>
  <c r="BK137" i="14"/>
  <c r="BO136" i="14"/>
  <c r="J40" i="10"/>
  <c r="Q71" i="1" s="1"/>
  <c r="Q79" i="1" s="1"/>
  <c r="H40" i="10"/>
  <c r="R71" i="1" s="1"/>
  <c r="BN137" i="14" l="1"/>
  <c r="BO137" i="14"/>
  <c r="BK138" i="14"/>
  <c r="BM137" i="14"/>
  <c r="BL137" i="14"/>
  <c r="P44" i="14"/>
  <c r="F51" i="14"/>
  <c r="BO138" i="14" l="1"/>
  <c r="BK139" i="14"/>
  <c r="BL138" i="14"/>
  <c r="BM138" i="14"/>
  <c r="BN138" i="14"/>
  <c r="AZ49" i="14"/>
  <c r="W43" i="14"/>
  <c r="W45" i="14" s="1"/>
  <c r="Z43" i="14"/>
  <c r="V43" i="14"/>
  <c r="V45" i="14" s="1"/>
  <c r="T43" i="14"/>
  <c r="X43" i="14"/>
  <c r="X45" i="14" s="1"/>
  <c r="AZ51" i="14"/>
  <c r="R43" i="14"/>
  <c r="R45" i="14" s="1"/>
  <c r="Y43" i="14"/>
  <c r="Y45" i="14" s="1"/>
  <c r="AZ52" i="14"/>
  <c r="S43" i="14"/>
  <c r="S45" i="14" s="1"/>
  <c r="U43" i="14"/>
  <c r="U45" i="14" s="1"/>
  <c r="Q43" i="14"/>
  <c r="Q45" i="14" s="1"/>
  <c r="Q46" i="14" s="1"/>
  <c r="AZ50" i="14"/>
  <c r="Y47" i="14"/>
  <c r="H51" i="14"/>
  <c r="U44" i="14"/>
  <c r="S44" i="14"/>
  <c r="W44" i="14"/>
  <c r="R44" i="14"/>
  <c r="Q44" i="14"/>
  <c r="V44" i="14"/>
  <c r="Z44" i="14"/>
  <c r="T44" i="14"/>
  <c r="X44" i="14"/>
  <c r="Y44" i="14"/>
  <c r="BL139" i="14" l="1"/>
  <c r="BO139" i="14"/>
  <c r="BN139" i="14"/>
  <c r="BK140" i="14"/>
  <c r="BM139" i="14"/>
  <c r="R46" i="14"/>
  <c r="S46" i="14" s="1"/>
  <c r="T45" i="14"/>
  <c r="P45" i="14"/>
  <c r="P48" i="14"/>
  <c r="P47" i="14"/>
  <c r="P46" i="14"/>
  <c r="Z45" i="14"/>
  <c r="BL140" i="14" l="1"/>
  <c r="BM140" i="14"/>
  <c r="BO140" i="14"/>
  <c r="BK141" i="14"/>
  <c r="BN140" i="14"/>
  <c r="T46" i="14"/>
  <c r="U46" i="14" s="1"/>
  <c r="V46" i="14" s="1"/>
  <c r="W46" i="14" s="1"/>
  <c r="X46" i="14" s="1"/>
  <c r="Y46" i="14" s="1"/>
  <c r="Z46" i="14" s="1"/>
  <c r="N52" i="14"/>
  <c r="G24" i="14" s="1"/>
  <c r="BM141" i="14" l="1"/>
  <c r="BN141" i="14"/>
  <c r="BL141" i="14"/>
  <c r="BO141" i="14"/>
  <c r="BK142" i="14"/>
  <c r="Y48" i="14"/>
  <c r="Z47" i="14" s="1"/>
  <c r="X48" i="14"/>
  <c r="BN142" i="14" l="1"/>
  <c r="BO142" i="14"/>
  <c r="BL142" i="14"/>
  <c r="BM142" i="14"/>
  <c r="BK143" i="14"/>
  <c r="P31" i="24"/>
  <c r="P30" i="24" s="1"/>
  <c r="P29" i="24" s="1"/>
  <c r="P28" i="24" s="1"/>
  <c r="P27" i="24" s="1"/>
  <c r="P26" i="24" s="1"/>
  <c r="P25" i="24" s="1"/>
  <c r="P24" i="24" s="1"/>
  <c r="P23" i="24" s="1"/>
  <c r="P22" i="24" s="1"/>
  <c r="P21" i="24" s="1"/>
  <c r="P20" i="24" s="1"/>
  <c r="AB31" i="24"/>
  <c r="AB30" i="24" s="1"/>
  <c r="AB29" i="24" s="1"/>
  <c r="AB28" i="24" s="1"/>
  <c r="AB27" i="24" s="1"/>
  <c r="AB26" i="24" s="1"/>
  <c r="AB25" i="24" s="1"/>
  <c r="AB24" i="24" s="1"/>
  <c r="AB23" i="24" s="1"/>
  <c r="AB22" i="24" s="1"/>
  <c r="AB21" i="24" s="1"/>
  <c r="AB20" i="24" s="1"/>
  <c r="O31" i="24"/>
  <c r="O30" i="24" s="1"/>
  <c r="O29" i="24" s="1"/>
  <c r="O28" i="24" s="1"/>
  <c r="O27" i="24" s="1"/>
  <c r="O26" i="24" s="1"/>
  <c r="O25" i="24" s="1"/>
  <c r="O24" i="24" s="1"/>
  <c r="O23" i="24" s="1"/>
  <c r="O22" i="24" s="1"/>
  <c r="O21" i="24" s="1"/>
  <c r="O20" i="24" s="1"/>
  <c r="R31" i="24"/>
  <c r="R30" i="24" s="1"/>
  <c r="R29" i="24" s="1"/>
  <c r="R28" i="24" s="1"/>
  <c r="R27" i="24" s="1"/>
  <c r="R26" i="24" s="1"/>
  <c r="R25" i="24" s="1"/>
  <c r="R24" i="24" s="1"/>
  <c r="R23" i="24" s="1"/>
  <c r="R22" i="24" s="1"/>
  <c r="R21" i="24" s="1"/>
  <c r="R20" i="24" s="1"/>
  <c r="X31" i="24"/>
  <c r="X30" i="24" s="1"/>
  <c r="X29" i="24" s="1"/>
  <c r="X28" i="24" s="1"/>
  <c r="X27" i="24" s="1"/>
  <c r="X26" i="24" s="1"/>
  <c r="X25" i="24" s="1"/>
  <c r="X24" i="24" s="1"/>
  <c r="X23" i="24" s="1"/>
  <c r="X22" i="24" s="1"/>
  <c r="X21" i="24" s="1"/>
  <c r="X20" i="24" s="1"/>
  <c r="Q31" i="24"/>
  <c r="Q30" i="24" s="1"/>
  <c r="Q29" i="24" s="1"/>
  <c r="Q28" i="24" s="1"/>
  <c r="Q27" i="24" s="1"/>
  <c r="Q26" i="24" s="1"/>
  <c r="Q25" i="24" s="1"/>
  <c r="Q24" i="24" s="1"/>
  <c r="Q23" i="24" s="1"/>
  <c r="Q22" i="24" s="1"/>
  <c r="Q21" i="24" s="1"/>
  <c r="Q20" i="24" s="1"/>
  <c r="Z31" i="24"/>
  <c r="Z30" i="24" s="1"/>
  <c r="Z29" i="24" s="1"/>
  <c r="Z28" i="24" s="1"/>
  <c r="Z27" i="24" s="1"/>
  <c r="Z26" i="24" s="1"/>
  <c r="Z25" i="24" s="1"/>
  <c r="Z24" i="24" s="1"/>
  <c r="Z23" i="24" s="1"/>
  <c r="Z22" i="24" s="1"/>
  <c r="Z21" i="24" s="1"/>
  <c r="Z20" i="24" s="1"/>
  <c r="AD31" i="24"/>
  <c r="AD30" i="24" s="1"/>
  <c r="AD29" i="24" s="1"/>
  <c r="AD28" i="24" s="1"/>
  <c r="AD27" i="24" s="1"/>
  <c r="AD26" i="24" s="1"/>
  <c r="AD25" i="24" s="1"/>
  <c r="AD24" i="24" s="1"/>
  <c r="AD23" i="24" s="1"/>
  <c r="AD22" i="24" s="1"/>
  <c r="AD21" i="24" s="1"/>
  <c r="AD20" i="24" s="1"/>
  <c r="BO143" i="14" l="1"/>
  <c r="BK144" i="14"/>
  <c r="BM143" i="14"/>
  <c r="BN143" i="14"/>
  <c r="BL143" i="14"/>
  <c r="P59" i="24"/>
  <c r="P58" i="24" s="1"/>
  <c r="P57" i="24" s="1"/>
  <c r="P56" i="24" s="1"/>
  <c r="P55" i="24" s="1"/>
  <c r="P54" i="24" s="1"/>
  <c r="P53" i="24" s="1"/>
  <c r="P52" i="24" s="1"/>
  <c r="P51" i="24" s="1"/>
  <c r="P50" i="24" s="1"/>
  <c r="P49" i="24" s="1"/>
  <c r="P48" i="24" s="1"/>
  <c r="P47" i="24" s="1"/>
  <c r="P46" i="24" s="1"/>
  <c r="R59" i="24"/>
  <c r="R58" i="24" s="1"/>
  <c r="R57" i="24" s="1"/>
  <c r="R56" i="24" s="1"/>
  <c r="R55" i="24" s="1"/>
  <c r="R54" i="24" s="1"/>
  <c r="R53" i="24" s="1"/>
  <c r="R52" i="24" s="1"/>
  <c r="R51" i="24" s="1"/>
  <c r="R50" i="24" s="1"/>
  <c r="R49" i="24" s="1"/>
  <c r="R48" i="24" s="1"/>
  <c r="R47" i="24" s="1"/>
  <c r="R46" i="24" s="1"/>
  <c r="AB59" i="24"/>
  <c r="AB58" i="24" s="1"/>
  <c r="AB57" i="24" s="1"/>
  <c r="AB56" i="24" s="1"/>
  <c r="AB55" i="24" s="1"/>
  <c r="AB54" i="24" s="1"/>
  <c r="AB53" i="24" s="1"/>
  <c r="AB52" i="24" s="1"/>
  <c r="AB51" i="24" s="1"/>
  <c r="AB50" i="24" s="1"/>
  <c r="AB49" i="24" s="1"/>
  <c r="AB48" i="24" s="1"/>
  <c r="AB47" i="24" s="1"/>
  <c r="AB46" i="24" s="1"/>
  <c r="X59" i="24"/>
  <c r="X58" i="24" s="1"/>
  <c r="X57" i="24" s="1"/>
  <c r="X56" i="24" s="1"/>
  <c r="X55" i="24" s="1"/>
  <c r="X54" i="24" s="1"/>
  <c r="X53" i="24" s="1"/>
  <c r="X52" i="24" s="1"/>
  <c r="X51" i="24" s="1"/>
  <c r="X50" i="24" s="1"/>
  <c r="X49" i="24" s="1"/>
  <c r="X48" i="24" s="1"/>
  <c r="X47" i="24" s="1"/>
  <c r="X46" i="24" s="1"/>
  <c r="O59" i="24"/>
  <c r="O58" i="24" s="1"/>
  <c r="O57" i="24" s="1"/>
  <c r="O56" i="24" s="1"/>
  <c r="O55" i="24" s="1"/>
  <c r="O54" i="24" s="1"/>
  <c r="O53" i="24" s="1"/>
  <c r="O52" i="24" s="1"/>
  <c r="O51" i="24" s="1"/>
  <c r="O50" i="24" s="1"/>
  <c r="O49" i="24" s="1"/>
  <c r="O48" i="24" s="1"/>
  <c r="O47" i="24" s="1"/>
  <c r="O46" i="24" s="1"/>
  <c r="AD59" i="24"/>
  <c r="AD58" i="24" s="1"/>
  <c r="AD57" i="24" s="1"/>
  <c r="AD56" i="24" s="1"/>
  <c r="AD55" i="24" s="1"/>
  <c r="AD54" i="24" s="1"/>
  <c r="AD53" i="24" s="1"/>
  <c r="AD52" i="24" s="1"/>
  <c r="AD51" i="24" s="1"/>
  <c r="AD50" i="24" s="1"/>
  <c r="AD49" i="24" s="1"/>
  <c r="AD48" i="24" s="1"/>
  <c r="AD47" i="24" s="1"/>
  <c r="AD46" i="24" s="1"/>
  <c r="Q59" i="24"/>
  <c r="Q58" i="24" s="1"/>
  <c r="Q57" i="24" s="1"/>
  <c r="Q56" i="24" s="1"/>
  <c r="Q55" i="24" s="1"/>
  <c r="Q54" i="24" s="1"/>
  <c r="Q53" i="24" s="1"/>
  <c r="Q52" i="24" s="1"/>
  <c r="Q51" i="24" s="1"/>
  <c r="Q50" i="24" s="1"/>
  <c r="Q49" i="24" s="1"/>
  <c r="Q48" i="24" s="1"/>
  <c r="Q47" i="24" s="1"/>
  <c r="Q46" i="24" s="1"/>
  <c r="Z59" i="24"/>
  <c r="Z58" i="24" s="1"/>
  <c r="Z57" i="24" s="1"/>
  <c r="Z56" i="24" s="1"/>
  <c r="Z55" i="24" s="1"/>
  <c r="Z54" i="24" s="1"/>
  <c r="Z53" i="24" s="1"/>
  <c r="Z52" i="24" s="1"/>
  <c r="Z51" i="24" s="1"/>
  <c r="Z50" i="24" s="1"/>
  <c r="Z49" i="24" s="1"/>
  <c r="Z48" i="24" s="1"/>
  <c r="Z47" i="24" s="1"/>
  <c r="Z46" i="24" s="1"/>
  <c r="BN144" i="14" l="1"/>
  <c r="BK145" i="14"/>
  <c r="BL144" i="14"/>
  <c r="BM144" i="14"/>
  <c r="BO144" i="14"/>
  <c r="BL145" i="14" l="1"/>
  <c r="BM145" i="14"/>
  <c r="BO145" i="14"/>
  <c r="BK146" i="14"/>
  <c r="BN145" i="14"/>
  <c r="BL146" i="14" l="1"/>
  <c r="BM146" i="14"/>
  <c r="BK147" i="14"/>
  <c r="BO146" i="14"/>
  <c r="BN146" i="14"/>
  <c r="BN147" i="14" l="1"/>
  <c r="BM147" i="14"/>
  <c r="BO147" i="14"/>
  <c r="BK148" i="14"/>
  <c r="BL147" i="14"/>
  <c r="BN148" i="14" l="1"/>
  <c r="BM148" i="14"/>
  <c r="BO148" i="14"/>
  <c r="BL148" i="14"/>
  <c r="BK149" i="14"/>
  <c r="BL149" i="14" l="1"/>
  <c r="BN149" i="14"/>
  <c r="BO149" i="14"/>
  <c r="BK150" i="14"/>
  <c r="BM149" i="14"/>
  <c r="O14" i="24"/>
  <c r="AB14" i="24"/>
  <c r="Q14" i="24"/>
  <c r="AD14" i="24"/>
  <c r="X14" i="24"/>
  <c r="P14" i="24"/>
  <c r="R14" i="24"/>
  <c r="Z14" i="24"/>
  <c r="R40" i="24"/>
  <c r="AD40" i="24"/>
  <c r="AB40" i="24"/>
  <c r="Z40" i="24"/>
  <c r="O40" i="24"/>
  <c r="P40" i="24"/>
  <c r="X40" i="24"/>
  <c r="Q40" i="24"/>
  <c r="BL150" i="14" l="1"/>
  <c r="BN150" i="14"/>
  <c r="BO150" i="14"/>
  <c r="BK151" i="14"/>
  <c r="BM150" i="14"/>
  <c r="P19" i="24"/>
  <c r="P18" i="24" s="1"/>
  <c r="AB19" i="24"/>
  <c r="AB18" i="24" s="1"/>
  <c r="O19" i="24"/>
  <c r="O18" i="24"/>
  <c r="X19" i="24"/>
  <c r="X18" i="24" s="1"/>
  <c r="Z19" i="24"/>
  <c r="Z18" i="24" s="1"/>
  <c r="AD19" i="24"/>
  <c r="AD18" i="24" s="1"/>
  <c r="Q19" i="24"/>
  <c r="Q18" i="24" s="1"/>
  <c r="R19" i="24"/>
  <c r="R18" i="24" s="1"/>
  <c r="BL151" i="14" l="1"/>
  <c r="BN151" i="14"/>
  <c r="BO151" i="14"/>
  <c r="BK152" i="14"/>
  <c r="BM151" i="14"/>
  <c r="BN152" i="14" l="1"/>
  <c r="BK153" i="14"/>
  <c r="BL152" i="14"/>
  <c r="BM152" i="14"/>
  <c r="BO152" i="14"/>
  <c r="AB45" i="24"/>
  <c r="AB44" i="24" s="1"/>
  <c r="AD45" i="24"/>
  <c r="AD44" i="24" s="1"/>
  <c r="P45" i="24"/>
  <c r="P44" i="24" s="1"/>
  <c r="O45" i="24"/>
  <c r="O44" i="24" s="1"/>
  <c r="R45" i="24"/>
  <c r="R44" i="24" s="1"/>
  <c r="Q45" i="24"/>
  <c r="Q44" i="24" s="1"/>
  <c r="X45" i="24"/>
  <c r="X44" i="24" s="1"/>
  <c r="Z45" i="24"/>
  <c r="Z44" i="24" s="1"/>
  <c r="BM153" i="14" l="1"/>
  <c r="BN153" i="14"/>
  <c r="BK154" i="14"/>
  <c r="BL153" i="14"/>
  <c r="BO153" i="14"/>
  <c r="BK155" i="14" l="1"/>
  <c r="BL154" i="14"/>
  <c r="BM154" i="14"/>
  <c r="BN154" i="14"/>
  <c r="BO154" i="14"/>
  <c r="BO155" i="14" l="1"/>
  <c r="BL155" i="14"/>
  <c r="BN155" i="14"/>
  <c r="BM155" i="14"/>
  <c r="X17" i="24" l="1"/>
  <c r="X16" i="24"/>
  <c r="X15" i="24" s="1"/>
  <c r="Z17" i="24"/>
  <c r="Z16" i="24" s="1"/>
  <c r="Z15" i="24" s="1"/>
  <c r="P17" i="24"/>
  <c r="P16" i="24" s="1"/>
  <c r="P15" i="24" s="1"/>
  <c r="O17" i="24"/>
  <c r="O16" i="24" s="1"/>
  <c r="O15" i="24" s="1"/>
  <c r="Q17" i="24"/>
  <c r="Q16" i="24" s="1"/>
  <c r="Q15" i="24" s="1"/>
  <c r="AD17" i="24"/>
  <c r="AD16" i="24" s="1"/>
  <c r="AD15" i="24" s="1"/>
  <c r="AB17" i="24"/>
  <c r="AB16" i="24" s="1"/>
  <c r="AB15" i="24" s="1"/>
  <c r="R17" i="24"/>
  <c r="R16" i="24" s="1"/>
  <c r="R15" i="24" s="1"/>
  <c r="AD35" i="24" l="1"/>
  <c r="AD36" i="24"/>
  <c r="R35" i="24"/>
  <c r="R36" i="24"/>
  <c r="Z35" i="24"/>
  <c r="Z36" i="24"/>
  <c r="X36" i="24"/>
  <c r="X35" i="24"/>
  <c r="P35" i="24"/>
  <c r="P36" i="24"/>
  <c r="Q36" i="24"/>
  <c r="Q35" i="24"/>
  <c r="AB35" i="24"/>
  <c r="AB36" i="24"/>
  <c r="O35" i="24"/>
  <c r="N34" i="24"/>
  <c r="O36" i="24"/>
  <c r="T19" i="24" l="1"/>
  <c r="U31" i="24"/>
  <c r="T22" i="24"/>
  <c r="U21" i="24"/>
  <c r="T25" i="24"/>
  <c r="T30" i="24"/>
  <c r="U29" i="24"/>
  <c r="V26" i="24"/>
  <c r="V18" i="24"/>
  <c r="V17" i="24" s="1"/>
  <c r="V16" i="24" s="1"/>
  <c r="V15" i="24" s="1"/>
  <c r="V29" i="24"/>
  <c r="U14" i="24"/>
  <c r="S24" i="24"/>
  <c r="V31" i="24"/>
  <c r="U27" i="24"/>
  <c r="S33" i="24"/>
  <c r="S29" i="24"/>
  <c r="U30" i="24"/>
  <c r="S23" i="24"/>
  <c r="U23" i="24"/>
  <c r="S20" i="24"/>
  <c r="U25" i="24"/>
  <c r="T32" i="24"/>
  <c r="T18" i="24"/>
  <c r="T17" i="24" s="1"/>
  <c r="T16" i="24" s="1"/>
  <c r="T15" i="24" s="1"/>
  <c r="V33" i="24"/>
  <c r="S25" i="24"/>
  <c r="T23" i="24"/>
  <c r="S22" i="24"/>
  <c r="S14" i="24"/>
  <c r="V19" i="24"/>
  <c r="V30" i="24"/>
  <c r="T27" i="24"/>
  <c r="U28" i="24"/>
  <c r="T33" i="24"/>
  <c r="S19" i="24"/>
  <c r="T29" i="24"/>
  <c r="S21" i="24"/>
  <c r="V32" i="24"/>
  <c r="S28" i="24"/>
  <c r="S30" i="24"/>
  <c r="V21" i="24"/>
  <c r="U26" i="24"/>
  <c r="V24" i="24"/>
  <c r="U20" i="24"/>
  <c r="U24" i="24"/>
  <c r="V22" i="24"/>
  <c r="S18" i="24"/>
  <c r="S17" i="24" s="1"/>
  <c r="S16" i="24" s="1"/>
  <c r="S15" i="24" s="1"/>
  <c r="T14" i="24"/>
  <c r="T24" i="24"/>
  <c r="V25" i="24"/>
  <c r="V14" i="24"/>
  <c r="U19" i="24"/>
  <c r="U22" i="24"/>
  <c r="U32" i="24"/>
  <c r="T20" i="24"/>
  <c r="T28" i="24"/>
  <c r="V27" i="24"/>
  <c r="T26" i="24"/>
  <c r="T31" i="24"/>
  <c r="S27" i="24"/>
  <c r="U18" i="24"/>
  <c r="U17" i="24" s="1"/>
  <c r="U16" i="24" s="1"/>
  <c r="U15" i="24" s="1"/>
  <c r="V20" i="24"/>
  <c r="V28" i="24"/>
  <c r="U33" i="24"/>
  <c r="S32" i="24"/>
  <c r="S26" i="24"/>
  <c r="T21" i="24"/>
  <c r="S31" i="24"/>
  <c r="V23" i="24"/>
  <c r="O43" i="24"/>
  <c r="O42" i="24" s="1"/>
  <c r="O41" i="24" s="1"/>
  <c r="Q43" i="24"/>
  <c r="Q42" i="24" s="1"/>
  <c r="Q41" i="24" s="1"/>
  <c r="R43" i="24"/>
  <c r="R42" i="24" s="1"/>
  <c r="R41" i="24" s="1"/>
  <c r="P43" i="24"/>
  <c r="P42" i="24" s="1"/>
  <c r="P41" i="24" s="1"/>
  <c r="Z43" i="24"/>
  <c r="Z42" i="24" s="1"/>
  <c r="Z41" i="24" s="1"/>
  <c r="X43" i="24"/>
  <c r="X42" i="24" s="1"/>
  <c r="X41" i="24" s="1"/>
  <c r="AB43" i="24"/>
  <c r="AB42" i="24" s="1"/>
  <c r="AB41" i="24" s="1"/>
  <c r="AD43" i="24"/>
  <c r="AD42" i="24" s="1"/>
  <c r="AD41" i="24" s="1"/>
  <c r="AB62" i="24" l="1"/>
  <c r="H72" i="24" s="1"/>
  <c r="G86" i="24" s="1"/>
  <c r="AB61" i="24"/>
  <c r="H71" i="24" s="1"/>
  <c r="G85" i="24" s="1"/>
  <c r="P62" i="24"/>
  <c r="F67" i="24" s="1"/>
  <c r="F82" i="24" s="1"/>
  <c r="P61" i="24"/>
  <c r="F66" i="24" s="1"/>
  <c r="F81" i="24" s="1"/>
  <c r="Z61" i="24"/>
  <c r="F71" i="24" s="1"/>
  <c r="F85" i="24" s="1"/>
  <c r="Z62" i="24"/>
  <c r="F72" i="24" s="1"/>
  <c r="F86" i="24" s="1"/>
  <c r="R61" i="24"/>
  <c r="J66" i="24" s="1"/>
  <c r="H81" i="24" s="1"/>
  <c r="R62" i="24"/>
  <c r="J67" i="24" s="1"/>
  <c r="H82" i="24" s="1"/>
  <c r="Q61" i="24"/>
  <c r="H66" i="24" s="1"/>
  <c r="G81" i="24" s="1"/>
  <c r="Q62" i="24"/>
  <c r="H67" i="24" s="1"/>
  <c r="G82" i="24" s="1"/>
  <c r="X61" i="24"/>
  <c r="D71" i="24" s="1"/>
  <c r="E85" i="24" s="1"/>
  <c r="X62" i="24"/>
  <c r="D72" i="24" s="1"/>
  <c r="E86" i="24" s="1"/>
  <c r="AD61" i="24"/>
  <c r="J71" i="24" s="1"/>
  <c r="H85" i="24" s="1"/>
  <c r="AD62" i="24"/>
  <c r="J72" i="24" s="1"/>
  <c r="H86" i="24" s="1"/>
  <c r="O62" i="24"/>
  <c r="D67" i="24" s="1"/>
  <c r="E82" i="24" s="1"/>
  <c r="N60" i="24"/>
  <c r="O61" i="24"/>
  <c r="D66" i="24" s="1"/>
  <c r="E81" i="24" s="1"/>
  <c r="D103" i="24" l="1"/>
  <c r="D10" i="11" s="1"/>
  <c r="I92" i="24" a="1"/>
  <c r="I99" i="24" a="1"/>
  <c r="T57" i="24"/>
  <c r="U50" i="24"/>
  <c r="V59" i="24"/>
  <c r="S59" i="24"/>
  <c r="S51" i="24"/>
  <c r="S56" i="24"/>
  <c r="U48" i="24"/>
  <c r="U53" i="24"/>
  <c r="V58" i="24"/>
  <c r="S55" i="24"/>
  <c r="V45" i="24"/>
  <c r="T56" i="24"/>
  <c r="U57" i="24"/>
  <c r="T54" i="24"/>
  <c r="U56" i="24"/>
  <c r="S47" i="24"/>
  <c r="U51" i="24"/>
  <c r="U46" i="24"/>
  <c r="S45" i="24"/>
  <c r="S53" i="24"/>
  <c r="T55" i="24"/>
  <c r="U44" i="24"/>
  <c r="V56" i="24"/>
  <c r="T47" i="24"/>
  <c r="V54" i="24"/>
  <c r="U55" i="24"/>
  <c r="U49" i="24"/>
  <c r="S43" i="24"/>
  <c r="S42" i="24" s="1"/>
  <c r="S41" i="24" s="1"/>
  <c r="V48" i="24"/>
  <c r="V49" i="24"/>
  <c r="V57" i="24"/>
  <c r="S50" i="24"/>
  <c r="T45" i="24"/>
  <c r="V53" i="24"/>
  <c r="T44" i="24"/>
  <c r="T43" i="24" s="1"/>
  <c r="T42" i="24" s="1"/>
  <c r="T41" i="24" s="1"/>
  <c r="V46" i="24"/>
  <c r="S44" i="24"/>
  <c r="T48" i="24"/>
  <c r="U54" i="24"/>
  <c r="T46" i="24"/>
  <c r="V52" i="24"/>
  <c r="T40" i="24"/>
  <c r="S40" i="24"/>
  <c r="S49" i="24"/>
  <c r="U58" i="24"/>
  <c r="U40" i="24"/>
  <c r="T49" i="24"/>
  <c r="U43" i="24"/>
  <c r="U42" i="24" s="1"/>
  <c r="U41" i="24" s="1"/>
  <c r="V40" i="24"/>
  <c r="S54" i="24"/>
  <c r="T59" i="24"/>
  <c r="V51" i="24"/>
  <c r="T50" i="24"/>
  <c r="U52" i="24"/>
  <c r="V50" i="24"/>
  <c r="U47" i="24"/>
  <c r="T58" i="24"/>
  <c r="S46" i="24"/>
  <c r="U45" i="24"/>
  <c r="V47" i="24"/>
  <c r="U59" i="24"/>
  <c r="T53" i="24"/>
  <c r="S58" i="24"/>
  <c r="T51" i="24"/>
  <c r="S57" i="24"/>
  <c r="S48" i="24"/>
  <c r="S52" i="24"/>
  <c r="V44" i="24"/>
  <c r="V43" i="24" s="1"/>
  <c r="V42" i="24" s="1"/>
  <c r="V41" i="24" s="1"/>
  <c r="T52" i="24"/>
  <c r="V55" i="24"/>
  <c r="G99" i="24" a="1"/>
  <c r="G92" i="24" a="1"/>
  <c r="G99" i="24" l="1"/>
  <c r="G100" i="24"/>
  <c r="I100" i="24"/>
  <c r="I99" i="24"/>
  <c r="D106" i="24" s="1"/>
  <c r="D12" i="11" s="1"/>
  <c r="D16" i="11" s="1"/>
  <c r="I92" i="24"/>
  <c r="I93" i="24"/>
  <c r="G92" i="24"/>
  <c r="G93" i="24"/>
  <c r="D104" i="24" l="1"/>
  <c r="D11" i="11" s="1"/>
  <c r="D72" i="11" s="1"/>
  <c r="D73" i="11" s="1"/>
  <c r="D105" i="24"/>
  <c r="E11" i="27" s="1"/>
  <c r="E12" i="27" s="1"/>
  <c r="L30" i="11"/>
  <c r="O70" i="1" s="1"/>
  <c r="D30" i="11"/>
  <c r="D39" i="11"/>
  <c r="V23" i="27"/>
  <c r="W23" i="27" s="1"/>
  <c r="E21" i="27"/>
  <c r="E18" i="27"/>
  <c r="E19" i="27" s="1"/>
  <c r="D58" i="11" l="1"/>
  <c r="D65" i="11" s="1"/>
  <c r="H30" i="11"/>
  <c r="P70" i="1"/>
  <c r="E22" i="27"/>
  <c r="G33" i="27"/>
  <c r="E33" i="27"/>
  <c r="F38" i="11"/>
  <c r="F40" i="11"/>
  <c r="F39" i="11"/>
  <c r="AE23" i="27"/>
  <c r="AQ23" i="27" s="1"/>
  <c r="AD23" i="27"/>
  <c r="AP23" i="27" s="1"/>
  <c r="H65" i="11"/>
  <c r="P75" i="1" s="1"/>
  <c r="P74" i="1" s="1"/>
  <c r="L65" i="11"/>
  <c r="E20" i="27"/>
  <c r="U23" i="27"/>
  <c r="D74" i="11"/>
  <c r="L75" i="11" s="1"/>
  <c r="O76" i="1" s="1"/>
  <c r="F74" i="11"/>
  <c r="O74" i="1" l="1"/>
  <c r="O75" i="1"/>
  <c r="H40" i="11"/>
  <c r="P71" i="1" s="1"/>
  <c r="J40" i="11"/>
  <c r="O71" i="1" s="1"/>
  <c r="O79" i="1" s="1"/>
  <c r="AB23" i="27"/>
  <c r="AC23" i="27"/>
  <c r="AJ23" i="27" l="1"/>
  <c r="AG23" i="27"/>
  <c r="AK23" i="27"/>
  <c r="AN23" i="27"/>
  <c r="AF23" i="27"/>
  <c r="AH23" i="27"/>
  <c r="AM23" i="27"/>
  <c r="AI23" i="27"/>
  <c r="AL23" i="27"/>
  <c r="AO23" i="27"/>
  <c r="AV23" i="27" l="1"/>
  <c r="AS23" i="27"/>
  <c r="AR23" i="27"/>
  <c r="AU23" i="27"/>
  <c r="AW23" i="27" l="1"/>
  <c r="Y23" i="27" s="1"/>
  <c r="E25" i="27" s="1"/>
  <c r="E26" i="27" s="1"/>
  <c r="AT23" i="27"/>
  <c r="X23" i="27" s="1"/>
  <c r="E23" i="27" s="1"/>
  <c r="Z23" i="27" l="1"/>
  <c r="E29" i="27"/>
  <c r="E24" i="27"/>
  <c r="G24" i="27" s="1"/>
  <c r="Q81" i="1" s="1"/>
  <c r="F37" i="27" l="1"/>
  <c r="G37" i="27" s="1"/>
  <c r="H37" i="27" s="1"/>
  <c r="F40" i="27"/>
  <c r="G40" i="27" s="1"/>
  <c r="H40" i="27" s="1"/>
  <c r="F43" i="27"/>
  <c r="G43" i="27" s="1"/>
  <c r="H43" i="27" s="1"/>
  <c r="F42" i="27"/>
  <c r="G42" i="27" s="1"/>
  <c r="H42" i="27" s="1"/>
  <c r="F38" i="27"/>
  <c r="G38" i="27" s="1"/>
  <c r="H38" i="27" s="1"/>
  <c r="F39" i="27"/>
  <c r="G39" i="27" s="1"/>
  <c r="H39" i="27" s="1"/>
  <c r="F44" i="27"/>
  <c r="G44" i="27" s="1"/>
  <c r="H44" i="27" s="1"/>
  <c r="F41" i="27"/>
  <c r="G41" i="27" s="1"/>
  <c r="H41" i="27" s="1"/>
  <c r="F45" i="27"/>
  <c r="G45" i="27" s="1"/>
  <c r="H45" i="27" s="1"/>
  <c r="G47" i="27" l="1"/>
  <c r="H89" i="1" s="1"/>
  <c r="I47" i="27" l="1"/>
  <c r="Q82" i="1" s="1"/>
  <c r="P8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saustin</author>
    <author>HDR</author>
    <author>gkochers</author>
    <author>Clementson, William</author>
  </authors>
  <commentList>
    <comment ref="G29" authorId="0" shapeId="0" xr:uid="{00000000-0006-0000-0300-000001000000}">
      <text>
        <r>
          <rPr>
            <b/>
            <sz val="9"/>
            <color indexed="81"/>
            <rFont val="Tahoma"/>
            <family val="2"/>
          </rPr>
          <t>Left beam overhang</t>
        </r>
      </text>
    </comment>
    <comment ref="H29" authorId="0" shapeId="0" xr:uid="{00000000-0006-0000-0300-000002000000}">
      <text>
        <r>
          <rPr>
            <b/>
            <sz val="9"/>
            <color indexed="81"/>
            <rFont val="Tahoma"/>
            <family val="2"/>
          </rPr>
          <t>Right beam overhang</t>
        </r>
        <r>
          <rPr>
            <sz val="9"/>
            <color indexed="81"/>
            <rFont val="Tahoma"/>
            <family val="2"/>
          </rPr>
          <t xml:space="preserve">
</t>
        </r>
      </text>
    </comment>
    <comment ref="G30" authorId="0" shapeId="0" xr:uid="{00000000-0006-0000-0300-000003000000}">
      <text>
        <r>
          <rPr>
            <b/>
            <sz val="9"/>
            <color indexed="81"/>
            <rFont val="Tahoma"/>
            <family val="2"/>
          </rPr>
          <t>Left beam overhang</t>
        </r>
        <r>
          <rPr>
            <sz val="9"/>
            <color indexed="81"/>
            <rFont val="Tahoma"/>
            <family val="2"/>
          </rPr>
          <t xml:space="preserve">
</t>
        </r>
      </text>
    </comment>
    <comment ref="H30" authorId="0" shapeId="0" xr:uid="{00000000-0006-0000-0300-000004000000}">
      <text>
        <r>
          <rPr>
            <b/>
            <sz val="9"/>
            <color indexed="81"/>
            <rFont val="Tahoma"/>
            <family val="2"/>
          </rPr>
          <t>Right beam overhang</t>
        </r>
      </text>
    </comment>
    <comment ref="K66" authorId="1" shapeId="0" xr:uid="{00000000-0006-0000-0300-000005000000}">
      <text>
        <r>
          <rPr>
            <b/>
            <sz val="8"/>
            <color indexed="81"/>
            <rFont val="Tahoma"/>
            <family val="2"/>
          </rPr>
          <t>See sketch below Quick Checks box.  If no leveling pad is used this should be zero.</t>
        </r>
      </text>
    </comment>
    <comment ref="G68" authorId="2" shapeId="0" xr:uid="{00000000-0006-0000-0300-000007000000}">
      <text>
        <r>
          <rPr>
            <b/>
            <sz val="8"/>
            <color indexed="81"/>
            <rFont val="Tahoma"/>
            <family val="2"/>
          </rPr>
          <t>Default Value centers bent below roadway.  Value will return to default upon initialization.</t>
        </r>
        <r>
          <rPr>
            <sz val="8"/>
            <color indexed="81"/>
            <rFont val="Tahoma"/>
            <family val="2"/>
          </rPr>
          <t xml:space="preserve">
</t>
        </r>
      </text>
    </comment>
    <comment ref="G69" authorId="2" shapeId="0" xr:uid="{00000000-0006-0000-0300-000006000000}">
      <text>
        <r>
          <rPr>
            <b/>
            <sz val="8"/>
            <color indexed="81"/>
            <rFont val="Tahoma"/>
            <family val="2"/>
          </rPr>
          <t>Default Value centers bent below roadway.  Value will return to default upon initialization.</t>
        </r>
        <r>
          <rPr>
            <sz val="8"/>
            <color indexed="81"/>
            <rFont val="Tahoma"/>
            <family val="2"/>
          </rPr>
          <t xml:space="preserve">
</t>
        </r>
      </text>
    </comment>
    <comment ref="N74" authorId="3" shapeId="0" xr:uid="{406A3B79-4B9F-42C4-97E0-F69C1AD5939B}">
      <text>
        <r>
          <rPr>
            <b/>
            <sz val="9"/>
            <color indexed="81"/>
            <rFont val="Tahoma"/>
            <family val="2"/>
          </rPr>
          <t>Clementson, William:</t>
        </r>
        <r>
          <rPr>
            <sz val="9"/>
            <color indexed="81"/>
            <rFont val="Tahoma"/>
            <family val="2"/>
          </rPr>
          <t xml:space="preserve">
This row is a duplicate of the row below but it is used by the reinforcement design macro and the "All Good?" check so it was left in place.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Steven J. Austin</author>
  </authors>
  <commentList>
    <comment ref="N45" authorId="0" shapeId="0" xr:uid="{00000000-0006-0000-0700-000001000000}">
      <text>
        <r>
          <rPr>
            <b/>
            <sz val="11"/>
            <color indexed="81"/>
            <rFont val="Tahoma"/>
            <family val="2"/>
          </rPr>
          <t>These values are automatically revised when the sheet is Initialized.  More Points may be added as required.</t>
        </r>
      </text>
    </comment>
    <comment ref="N169" authorId="0" shapeId="0" xr:uid="{00000000-0006-0000-0700-000002000000}">
      <text>
        <r>
          <rPr>
            <b/>
            <sz val="11"/>
            <color indexed="81"/>
            <rFont val="Tahoma"/>
            <family val="2"/>
          </rPr>
          <t>These values are automatically revised when the sheet is Initialized.  More Points may be added as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Steven J. Austin</author>
  </authors>
  <commentList>
    <comment ref="W42" authorId="0" shapeId="0" xr:uid="{00000000-0006-0000-1D00-000001000000}">
      <text>
        <r>
          <rPr>
            <sz val="8"/>
            <color indexed="81"/>
            <rFont val="Tahoma"/>
            <family val="2"/>
          </rPr>
          <t>Blank values will revert nodes to quarter points.</t>
        </r>
      </text>
    </comment>
    <comment ref="X42" authorId="0" shapeId="0" xr:uid="{00000000-0006-0000-1D00-000002000000}">
      <text>
        <r>
          <rPr>
            <sz val="8"/>
            <color indexed="81"/>
            <rFont val="Tahoma"/>
            <family val="2"/>
          </rPr>
          <t>Blank values will revert nodes to quarter points.</t>
        </r>
      </text>
    </comment>
  </commentList>
</comments>
</file>

<file path=xl/sharedStrings.xml><?xml version="1.0" encoding="utf-8"?>
<sst xmlns="http://schemas.openxmlformats.org/spreadsheetml/2006/main" count="3946" uniqueCount="1649">
  <si>
    <t>SWPkwy_5'x11'-6"</t>
  </si>
  <si>
    <t xml:space="preserve">ft </t>
  </si>
  <si>
    <t>Back Span Design Width =</t>
  </si>
  <si>
    <t>Forward Span Design Width =</t>
  </si>
  <si>
    <t>Actual beam spacings along bent are taken directly from the RDS .ls4 file and entered below</t>
  </si>
  <si>
    <t xml:space="preserve">Distance to Beam #2 = </t>
  </si>
  <si>
    <t xml:space="preserve">Distance to Beam #3 = </t>
  </si>
  <si>
    <t xml:space="preserve">Distance to Beam #4 = </t>
  </si>
  <si>
    <t xml:space="preserve">Distance to Beam #5 = </t>
  </si>
  <si>
    <t xml:space="preserve">Distance to Beam #6 = </t>
  </si>
  <si>
    <t xml:space="preserve">Distance to Beam #7 = </t>
  </si>
  <si>
    <t xml:space="preserve">Distance to Beam #8 = </t>
  </si>
  <si>
    <t xml:space="preserve">Distance to Beam #9 = </t>
  </si>
  <si>
    <t xml:space="preserve">Distance to Beam #10 = </t>
  </si>
  <si>
    <t xml:space="preserve">Distance to Beam #11 = </t>
  </si>
  <si>
    <t xml:space="preserve">Distance to Beam #12 = </t>
  </si>
  <si>
    <t xml:space="preserve">Distance to Beam #13 = </t>
  </si>
  <si>
    <t xml:space="preserve">Distance to Beam #14 = </t>
  </si>
  <si>
    <t xml:space="preserve">Distance to Beam #15 = </t>
  </si>
  <si>
    <t xml:space="preserve">Distance to Beam #16 = </t>
  </si>
  <si>
    <t xml:space="preserve">Distance to Beam #17 = </t>
  </si>
  <si>
    <t xml:space="preserve">Distance to Beam #18 = </t>
  </si>
  <si>
    <t xml:space="preserve">Distance to Beam #19 = </t>
  </si>
  <si>
    <t xml:space="preserve">Distance to Beam #20 = </t>
  </si>
  <si>
    <t>Number of Beams =</t>
  </si>
  <si>
    <t>C-C Bent Distance</t>
  </si>
  <si>
    <t>From Slab Report (RDS .ls2 file)</t>
  </si>
  <si>
    <t>Back / Forward Edge</t>
  </si>
  <si>
    <t>Segment Length</t>
  </si>
  <si>
    <t>Distance to Station Line</t>
  </si>
  <si>
    <t>º</t>
  </si>
  <si>
    <t>Lanes and Multiple Presence Factors</t>
  </si>
  <si>
    <t>Col/Bm Numbers</t>
  </si>
  <si>
    <t>Single</t>
  </si>
  <si>
    <t>Possible Spacing &amp; Corresponding Shear Resistance for This Combination of Shear and Moment:</t>
  </si>
  <si>
    <t>Greg Kochersperger</t>
  </si>
  <si>
    <t>Mark Borenstein</t>
  </si>
  <si>
    <t>all</t>
  </si>
  <si>
    <t>Spacing Specified</t>
  </si>
  <si>
    <t>KEY:</t>
  </si>
  <si>
    <t>Minimum Required Spacing</t>
  </si>
  <si>
    <t>Suggested Number of Spacings:</t>
  </si>
  <si>
    <t>To help with stirrup space optimization</t>
  </si>
  <si>
    <t>Percentage:</t>
  </si>
  <si>
    <t>Bent Self Weight</t>
  </si>
  <si>
    <t>For negative bending moment, use:</t>
  </si>
  <si>
    <t>3.1 - Incorporated "Tee" shape bent caps for SH183A project aesthetics. Incorporated option to design for moment at face of column.</t>
  </si>
  <si>
    <t>Capital Weight =</t>
  </si>
  <si>
    <t>Aesthetic Column Properties</t>
  </si>
  <si>
    <t>Nominal Size</t>
  </si>
  <si>
    <r>
      <t>Area (in</t>
    </r>
    <r>
      <rPr>
        <vertAlign val="superscript"/>
        <sz val="9"/>
        <rFont val="Arial"/>
        <family val="2"/>
      </rPr>
      <t>2</t>
    </r>
    <r>
      <rPr>
        <sz val="9"/>
        <rFont val="Arial"/>
        <family val="2"/>
      </rPr>
      <t>)</t>
    </r>
  </si>
  <si>
    <r>
      <t>Transverse I</t>
    </r>
    <r>
      <rPr>
        <vertAlign val="subscript"/>
        <sz val="9"/>
        <rFont val="Arial"/>
        <family val="2"/>
      </rPr>
      <t>g</t>
    </r>
    <r>
      <rPr>
        <sz val="9"/>
        <rFont val="Arial"/>
        <family val="2"/>
      </rPr>
      <t xml:space="preserve"> (in</t>
    </r>
    <r>
      <rPr>
        <vertAlign val="superscript"/>
        <sz val="9"/>
        <rFont val="Arial"/>
        <family val="2"/>
      </rPr>
      <t>4</t>
    </r>
    <r>
      <rPr>
        <sz val="9"/>
        <rFont val="Arial"/>
        <family val="2"/>
      </rPr>
      <t>)</t>
    </r>
  </si>
  <si>
    <r>
      <t>Longitudinal
 I</t>
    </r>
    <r>
      <rPr>
        <vertAlign val="subscript"/>
        <sz val="9"/>
        <rFont val="Arial"/>
        <family val="2"/>
      </rPr>
      <t>g</t>
    </r>
    <r>
      <rPr>
        <sz val="9"/>
        <rFont val="Arial"/>
        <family val="2"/>
      </rPr>
      <t xml:space="preserve"> (in</t>
    </r>
    <r>
      <rPr>
        <vertAlign val="superscript"/>
        <sz val="9"/>
        <rFont val="Arial"/>
        <family val="2"/>
      </rPr>
      <t>4</t>
    </r>
    <r>
      <rPr>
        <sz val="9"/>
        <rFont val="Arial"/>
        <family val="2"/>
      </rPr>
      <t>)</t>
    </r>
  </si>
  <si>
    <t>Nominal Long. Width (in)</t>
  </si>
  <si>
    <t>Nominal Trans. Width (in)</t>
  </si>
  <si>
    <t>Effective Capital Width (in)</t>
  </si>
  <si>
    <t>Capital Weight (kips)</t>
  </si>
  <si>
    <t>Section Properties:</t>
  </si>
  <si>
    <t>Ig Longitudinal =</t>
  </si>
  <si>
    <t>Ig Transverse =</t>
  </si>
  <si>
    <t>Cross Section Area =</t>
  </si>
  <si>
    <t>Notes:</t>
  </si>
  <si>
    <t>SWPkwy Capitals based on Cap Depth and 2:1 slope</t>
  </si>
  <si>
    <t>Capital Weight (0 if no capital) =</t>
  </si>
  <si>
    <t>Breakbacks</t>
  </si>
  <si>
    <t>Pedestal Build-up height (average) =</t>
  </si>
  <si>
    <r>
      <t>in</t>
    </r>
    <r>
      <rPr>
        <vertAlign val="superscript"/>
        <sz val="9"/>
        <rFont val="Arial"/>
        <family val="2"/>
      </rPr>
      <t>2</t>
    </r>
  </si>
  <si>
    <t>2.02 - Added not to user, "Cap lengths should be rounded to 6" increments.</t>
  </si>
  <si>
    <t>Fwd Span - Slab Overhang at O.S. bm &amp; C.L. of Bent =</t>
  </si>
  <si>
    <t>Back Span - Slab Overhang at O.S. bm &amp; C.L. of Bent =</t>
  </si>
  <si>
    <r>
      <t>V</t>
    </r>
    <r>
      <rPr>
        <b/>
        <vertAlign val="subscript"/>
        <sz val="10"/>
        <rFont val="Arial"/>
        <family val="2"/>
      </rPr>
      <t>X</t>
    </r>
  </si>
  <si>
    <r>
      <t>V</t>
    </r>
    <r>
      <rPr>
        <b/>
        <vertAlign val="subscript"/>
        <sz val="10"/>
        <rFont val="Arial"/>
        <family val="2"/>
      </rPr>
      <t>Y</t>
    </r>
  </si>
  <si>
    <r>
      <t>M</t>
    </r>
    <r>
      <rPr>
        <b/>
        <vertAlign val="subscript"/>
        <sz val="10"/>
        <rFont val="Arial"/>
        <family val="2"/>
      </rPr>
      <t>X</t>
    </r>
  </si>
  <si>
    <r>
      <t>M</t>
    </r>
    <r>
      <rPr>
        <b/>
        <vertAlign val="subscript"/>
        <sz val="10"/>
        <rFont val="Arial"/>
        <family val="2"/>
      </rPr>
      <t>Y</t>
    </r>
  </si>
  <si>
    <t>Bridge Rail Height (in) =</t>
  </si>
  <si>
    <t>Nominal Rail Width (ft) =</t>
  </si>
  <si>
    <t>Bridge Rail Weight (plf) =</t>
  </si>
  <si>
    <t>Sdwlk (left bm) =</t>
  </si>
  <si>
    <t>Sdwlk (rt bm) =</t>
  </si>
  <si>
    <t>Wearing Surface (rt) =</t>
  </si>
  <si>
    <t>Wearing Surface (lt) =</t>
  </si>
  <si>
    <t>WS =</t>
  </si>
  <si>
    <t>Sdwlk</t>
  </si>
  <si>
    <t>Rail (for third rail if applicable) =</t>
  </si>
  <si>
    <t>Allen Crozier</t>
  </si>
  <si>
    <t>Superstructure Depth =</t>
  </si>
  <si>
    <t>BR, CE, &amp; WL :</t>
  </si>
  <si>
    <r>
      <t>W</t>
    </r>
    <r>
      <rPr>
        <vertAlign val="subscript"/>
        <sz val="10"/>
        <rFont val="Arial"/>
        <family val="2"/>
      </rPr>
      <t>super</t>
    </r>
    <r>
      <rPr>
        <sz val="10"/>
        <rFont val="Arial"/>
        <family val="2"/>
      </rPr>
      <t xml:space="preserve"> :</t>
    </r>
  </si>
  <si>
    <r>
      <t>W</t>
    </r>
    <r>
      <rPr>
        <vertAlign val="subscript"/>
        <sz val="10"/>
        <rFont val="Arial"/>
        <family val="2"/>
      </rPr>
      <t>cap</t>
    </r>
    <r>
      <rPr>
        <sz val="10"/>
        <rFont val="Arial"/>
        <family val="2"/>
      </rPr>
      <t xml:space="preserve"> :</t>
    </r>
  </si>
  <si>
    <t>Moment Arms For:</t>
  </si>
  <si>
    <t>Slab overhang =</t>
  </si>
  <si>
    <t>Total Factored Shear and Moment at Face of Column (Strength I)</t>
  </si>
  <si>
    <r>
      <t>Neglecting Compression Steel, neglecting A</t>
    </r>
    <r>
      <rPr>
        <vertAlign val="subscript"/>
        <sz val="10"/>
        <rFont val="Arial"/>
        <family val="2"/>
      </rPr>
      <t>sk</t>
    </r>
    <r>
      <rPr>
        <sz val="10"/>
        <rFont val="Arial"/>
        <family val="2"/>
      </rPr>
      <t>.</t>
    </r>
  </si>
  <si>
    <r>
      <t>in</t>
    </r>
    <r>
      <rPr>
        <vertAlign val="superscript"/>
        <sz val="10"/>
        <rFont val="Arial"/>
        <family val="2"/>
      </rPr>
      <t>3</t>
    </r>
  </si>
  <si>
    <t>s (in)</t>
  </si>
  <si>
    <t>ft increments</t>
  </si>
  <si>
    <t>A list of old passowrds should be kept to ensure we don’t accidentally lock ourselves out.</t>
  </si>
  <si>
    <r>
      <t>M</t>
    </r>
    <r>
      <rPr>
        <b/>
        <vertAlign val="subscript"/>
        <sz val="10"/>
        <rFont val="Arial"/>
        <family val="2"/>
      </rPr>
      <t xml:space="preserve">DL </t>
    </r>
    <r>
      <rPr>
        <b/>
        <sz val="10"/>
        <rFont val="Arial"/>
        <family val="2"/>
      </rPr>
      <t>=</t>
    </r>
  </si>
  <si>
    <r>
      <t>M</t>
    </r>
    <r>
      <rPr>
        <b/>
        <vertAlign val="subscript"/>
        <sz val="10"/>
        <rFont val="Arial"/>
        <family val="2"/>
      </rPr>
      <t xml:space="preserve">WS </t>
    </r>
    <r>
      <rPr>
        <b/>
        <sz val="10"/>
        <rFont val="Arial"/>
        <family val="2"/>
      </rPr>
      <t>=</t>
    </r>
  </si>
  <si>
    <r>
      <t>M</t>
    </r>
    <r>
      <rPr>
        <b/>
        <vertAlign val="subscript"/>
        <sz val="10"/>
        <rFont val="Arial"/>
        <family val="2"/>
      </rPr>
      <t xml:space="preserve">u </t>
    </r>
    <r>
      <rPr>
        <b/>
        <sz val="10"/>
        <rFont val="Arial"/>
        <family val="2"/>
      </rPr>
      <t>=</t>
    </r>
  </si>
  <si>
    <r>
      <t>M</t>
    </r>
    <r>
      <rPr>
        <vertAlign val="subscript"/>
        <sz val="10"/>
        <rFont val="Arial"/>
        <family val="2"/>
      </rPr>
      <t xml:space="preserve">u </t>
    </r>
    <r>
      <rPr>
        <sz val="10"/>
        <rFont val="Arial"/>
        <family val="2"/>
      </rPr>
      <t>=</t>
    </r>
  </si>
  <si>
    <t>Complex Geometry</t>
  </si>
  <si>
    <t>Project</t>
  </si>
  <si>
    <t>Project No.</t>
  </si>
  <si>
    <t>Subject</t>
  </si>
  <si>
    <t>Task</t>
  </si>
  <si>
    <t>Sheet</t>
  </si>
  <si>
    <t>Of</t>
  </si>
  <si>
    <t>Preliminary Calculation</t>
  </si>
  <si>
    <t>Final Calculation</t>
  </si>
  <si>
    <t>For Calculation Sheets</t>
  </si>
  <si>
    <t>Through</t>
  </si>
  <si>
    <t>Description:</t>
  </si>
  <si>
    <t>Design Methodology:</t>
  </si>
  <si>
    <t>Allowable Stress Design</t>
  </si>
  <si>
    <t>Load Factor Design</t>
  </si>
  <si>
    <t>Load &amp; Resistance Factor Design</t>
  </si>
  <si>
    <t>Not Applicable</t>
  </si>
  <si>
    <t>Combination of Methodologies (describe)</t>
  </si>
  <si>
    <t>Codes/References:</t>
  </si>
  <si>
    <t>AASHTO</t>
  </si>
  <si>
    <t>AREMA</t>
  </si>
  <si>
    <t>Edition:</t>
  </si>
  <si>
    <t>Chapter:</t>
  </si>
  <si>
    <t>Interims Through:</t>
  </si>
  <si>
    <t>Last Update:</t>
  </si>
  <si>
    <t>Applicable Sections:</t>
  </si>
  <si>
    <t>Other</t>
  </si>
  <si>
    <t>Title:</t>
  </si>
  <si>
    <t>Year/Edition:</t>
  </si>
  <si>
    <t>Original Designer:</t>
  </si>
  <si>
    <t>Name:</t>
  </si>
  <si>
    <t>Initials:</t>
  </si>
  <si>
    <t>Date:</t>
  </si>
  <si>
    <t>Check Method:</t>
  </si>
  <si>
    <t>For Hand Calculations:</t>
  </si>
  <si>
    <t>Backchecked original calculations</t>
  </si>
  <si>
    <t>Independent calculations</t>
  </si>
  <si>
    <t>For Computer Calculations:</t>
  </si>
  <si>
    <t>Checked input &amp; output</t>
  </si>
  <si>
    <t>Reran same software</t>
  </si>
  <si>
    <t>Ran different software</t>
  </si>
  <si>
    <t>Does this calculation supersede a previous calculation?</t>
  </si>
  <si>
    <t>Yes</t>
  </si>
  <si>
    <t>No</t>
  </si>
  <si>
    <t>If yes, provide the following information for the superseded calculation:</t>
  </si>
  <si>
    <t>Sheets</t>
  </si>
  <si>
    <t>First Date:</t>
  </si>
  <si>
    <t>By:</t>
  </si>
  <si>
    <t>Checker's Comments:</t>
  </si>
  <si>
    <t>No Changes</t>
  </si>
  <si>
    <t>Minor corrections: original design satisfactory</t>
  </si>
  <si>
    <t>Revise design as shown on Sheet(s)</t>
  </si>
  <si>
    <t>Other comments/conclusions:</t>
  </si>
  <si>
    <r>
      <t xml:space="preserve">Checker: </t>
    </r>
    <r>
      <rPr>
        <sz val="8"/>
        <rFont val="Arial"/>
        <family val="2"/>
      </rPr>
      <t>(May not be applicable for preliminary calculation.)</t>
    </r>
  </si>
  <si>
    <t>in</t>
  </si>
  <si>
    <t>ft</t>
  </si>
  <si>
    <t>Cross Slope or Superelevation =</t>
  </si>
  <si>
    <t>2.04 -10/16/07 -  Revised Macro to declare variable "test" as string in Module402 - subroutine "spacingchanges"</t>
  </si>
  <si>
    <t>Slab Thickness =</t>
  </si>
  <si>
    <t># of Lanes =</t>
  </si>
  <si>
    <t>Haunch Height =</t>
  </si>
  <si>
    <t>Girders</t>
  </si>
  <si>
    <t>Type</t>
  </si>
  <si>
    <t>A</t>
  </si>
  <si>
    <t>B</t>
  </si>
  <si>
    <t>C</t>
  </si>
  <si>
    <t>IV</t>
  </si>
  <si>
    <t>Depth (in)</t>
  </si>
  <si>
    <t>Brg Pad thickness =</t>
  </si>
  <si>
    <t>Number of Beams in Backward Span =</t>
  </si>
  <si>
    <t>Number of Beams in Forward Span =</t>
  </si>
  <si>
    <t>Angle of Curve (θ)=</t>
  </si>
  <si>
    <t>Backward Span along PGL =</t>
  </si>
  <si>
    <t>Backward Span (θ)=</t>
  </si>
  <si>
    <t>°</t>
  </si>
  <si>
    <t xml:space="preserve"> Forward Span along PGL =</t>
  </si>
  <si>
    <t>Forward Span (θ)=</t>
  </si>
  <si>
    <t>Both Spans Loaded - Longitudinal Moment</t>
  </si>
  <si>
    <t>Long Span Loaded - Longitudinal Moment</t>
  </si>
  <si>
    <t>Back Span Live Load =</t>
  </si>
  <si>
    <t>Forward Span Live Load =</t>
  </si>
  <si>
    <t>Back Span Impact =</t>
  </si>
  <si>
    <t>Forward Span Impact =</t>
  </si>
  <si>
    <t>Drilled Shaft Load</t>
  </si>
  <si>
    <t>k-ft /lane</t>
  </si>
  <si>
    <t>LL - All Lanes Loaded =</t>
  </si>
  <si>
    <t>IM - All Lanes Loaded =</t>
  </si>
  <si>
    <t>Long Span Live Load =</t>
  </si>
  <si>
    <t>Long Span Impact =</t>
  </si>
  <si>
    <t>General Bridge Geometry &amp; Superstructure</t>
  </si>
  <si>
    <t>Cap Type:</t>
  </si>
  <si>
    <t>Bent Cap Length =</t>
  </si>
  <si>
    <t>#6</t>
  </si>
  <si>
    <r>
      <t>f'</t>
    </r>
    <r>
      <rPr>
        <vertAlign val="subscript"/>
        <sz val="9"/>
        <rFont val="Arial"/>
        <family val="2"/>
      </rPr>
      <t>c</t>
    </r>
    <r>
      <rPr>
        <sz val="9"/>
        <rFont val="Arial"/>
        <family val="2"/>
      </rPr>
      <t xml:space="preserve"> =</t>
    </r>
  </si>
  <si>
    <t>fy =</t>
  </si>
  <si>
    <t>ksi</t>
  </si>
  <si>
    <t>pcf</t>
  </si>
  <si>
    <t>Rails</t>
  </si>
  <si>
    <t>T101</t>
  </si>
  <si>
    <t>T203</t>
  </si>
  <si>
    <t>T221</t>
  </si>
  <si>
    <t>T401</t>
  </si>
  <si>
    <t>T402</t>
  </si>
  <si>
    <t>T411</t>
  </si>
  <si>
    <t>T501</t>
  </si>
  <si>
    <t>T502</t>
  </si>
  <si>
    <t>T503</t>
  </si>
  <si>
    <t>T504</t>
  </si>
  <si>
    <t>T6</t>
  </si>
  <si>
    <t>T77</t>
  </si>
  <si>
    <t>HT</t>
  </si>
  <si>
    <t>SSTR</t>
  </si>
  <si>
    <t>C203</t>
  </si>
  <si>
    <t>C221</t>
  </si>
  <si>
    <t>C402</t>
  </si>
  <si>
    <t>C411</t>
  </si>
  <si>
    <t>C501</t>
  </si>
  <si>
    <t>C502</t>
  </si>
  <si>
    <t>1.5 x Equiv. Bar Diameter =</t>
  </si>
  <si>
    <t>Equivalent Bar Diameter =</t>
  </si>
  <si>
    <t>Calculations to account for Skewed Condition</t>
  </si>
  <si>
    <t>PR2</t>
  </si>
  <si>
    <t>Wt (plf)</t>
  </si>
  <si>
    <t>Height (in)</t>
  </si>
  <si>
    <t>Dist to nom face of rail (ft)</t>
  </si>
  <si>
    <t>Bridge Rail :</t>
  </si>
  <si>
    <t>#5</t>
  </si>
  <si>
    <t>Bent Cap Section Properties</t>
  </si>
  <si>
    <t>Material Properties:</t>
  </si>
  <si>
    <t>Section Dimensions:</t>
  </si>
  <si>
    <t>sf</t>
  </si>
  <si>
    <t>Main X-Sect. Area =</t>
  </si>
  <si>
    <t>Column Type:</t>
  </si>
  <si>
    <t>Moment of Inertia =</t>
  </si>
  <si>
    <r>
      <t>in</t>
    </r>
    <r>
      <rPr>
        <vertAlign val="superscript"/>
        <sz val="10"/>
        <rFont val="Arial"/>
        <family val="2"/>
      </rPr>
      <t>4</t>
    </r>
  </si>
  <si>
    <t>Spacing:</t>
  </si>
  <si>
    <t>From</t>
  </si>
  <si>
    <t>To</t>
  </si>
  <si>
    <t>Spacing</t>
  </si>
  <si>
    <t>Lft Cap End</t>
  </si>
  <si>
    <t>Slab Overhang at Lft Beam and middle of Span =</t>
  </si>
  <si>
    <t>Dead Load Contributions to Shear at Faces of Columns</t>
  </si>
  <si>
    <t>Dist. From</t>
  </si>
  <si>
    <t>Dist. To</t>
  </si>
  <si>
    <t>Radius at Rt bm =</t>
  </si>
  <si>
    <t>(offset here is + when col CL is to right of middle of cap)</t>
  </si>
  <si>
    <t>Column / Support Section Properties and Spacing</t>
  </si>
  <si>
    <t>Number:</t>
  </si>
  <si>
    <t>Number of Girders:</t>
  </si>
  <si>
    <t>Geometry</t>
  </si>
  <si>
    <t>Back Span:</t>
  </si>
  <si>
    <t>Fwd Span:</t>
  </si>
  <si>
    <r>
      <t>Cntrd-Main X-Sect.</t>
    </r>
    <r>
      <rPr>
        <sz val="9"/>
        <rFont val="Arial Narrow"/>
        <family val="2"/>
      </rPr>
      <t>(top)</t>
    </r>
    <r>
      <rPr>
        <sz val="9"/>
        <rFont val="Arial"/>
        <family val="2"/>
      </rPr>
      <t xml:space="preserve"> =</t>
    </r>
  </si>
  <si>
    <t>Loads Distributed by Beams</t>
  </si>
  <si>
    <t>Backward Span Beams</t>
  </si>
  <si>
    <t>Note: Slab dead load increased by 5% to account for haunch and thickened ends</t>
  </si>
  <si>
    <t>Exterior Beams</t>
  </si>
  <si>
    <t>k/ft</t>
  </si>
  <si>
    <t>Σ =</t>
  </si>
  <si>
    <t>Interior Beams</t>
  </si>
  <si>
    <t>None</t>
  </si>
  <si>
    <t>kplf</t>
  </si>
  <si>
    <t>Beam</t>
  </si>
  <si>
    <t>left bay</t>
  </si>
  <si>
    <t>right bay</t>
  </si>
  <si>
    <t>Beam Spacing</t>
  </si>
  <si>
    <t>Forward Span Beams</t>
  </si>
  <si>
    <t>Live Load For Bent Cap Analysis</t>
  </si>
  <si>
    <t>HEADER CARDS</t>
  </si>
  <si>
    <t>Stiffness</t>
  </si>
  <si>
    <t>County</t>
  </si>
  <si>
    <t>Hwy No.</t>
  </si>
  <si>
    <t>U-54</t>
  </si>
  <si>
    <t>CSJ</t>
  </si>
  <si>
    <t>Coded By</t>
  </si>
  <si>
    <t>Date</t>
  </si>
  <si>
    <t>Prob No.</t>
  </si>
  <si>
    <t>Unit Code</t>
  </si>
  <si>
    <t>Description of Problem</t>
  </si>
  <si>
    <t>E</t>
  </si>
  <si>
    <t>Envel-opes</t>
  </si>
  <si>
    <t>Table</t>
  </si>
  <si>
    <t>No. of Cards</t>
  </si>
  <si>
    <t>Enter 1 to Keep Prior</t>
  </si>
  <si>
    <t>Options for</t>
  </si>
  <si>
    <t>Plot</t>
  </si>
  <si>
    <t>Print</t>
  </si>
  <si>
    <t>Skew Angle</t>
  </si>
  <si>
    <t>For Table</t>
  </si>
  <si>
    <t>Increment Length</t>
  </si>
  <si>
    <t>Movable Load Data</t>
  </si>
  <si>
    <t>No of Incr</t>
  </si>
  <si>
    <t>Start Sta</t>
  </si>
  <si>
    <t>Stop Sta</t>
  </si>
  <si>
    <t>Step Size</t>
  </si>
  <si>
    <t>Dead Load</t>
  </si>
  <si>
    <t>Live Load</t>
  </si>
  <si>
    <t>Load Factor for:</t>
  </si>
  <si>
    <t>TABLE 2. CONSTANTS</t>
  </si>
  <si>
    <t>TABLE 1. CONTROL DATA</t>
  </si>
  <si>
    <t>Lanes</t>
  </si>
  <si>
    <t>Beams</t>
  </si>
  <si>
    <t>M Pts</t>
  </si>
  <si>
    <t>V Pts</t>
  </si>
  <si>
    <t>---------------- Number of ----------------</t>
  </si>
  <si>
    <t>Stations at Supports</t>
  </si>
  <si>
    <t>Stations at Beams</t>
  </si>
  <si>
    <t>Stations at Right of Lane</t>
  </si>
  <si>
    <t>Trans. Width (For Wind Loads) (in)</t>
  </si>
  <si>
    <t>Longit. Width (For Wind Loads) (in)</t>
  </si>
  <si>
    <t>Load Case</t>
  </si>
  <si>
    <r>
      <t>V</t>
    </r>
    <r>
      <rPr>
        <b/>
        <vertAlign val="subscript"/>
        <sz val="10"/>
        <rFont val="Arial"/>
        <family val="2"/>
      </rPr>
      <t>U</t>
    </r>
  </si>
  <si>
    <r>
      <t>T</t>
    </r>
    <r>
      <rPr>
        <b/>
        <vertAlign val="subscript"/>
        <sz val="10"/>
        <rFont val="Arial"/>
        <family val="2"/>
      </rPr>
      <t>U</t>
    </r>
  </si>
  <si>
    <r>
      <t>V</t>
    </r>
    <r>
      <rPr>
        <b/>
        <vertAlign val="subscript"/>
        <sz val="10"/>
        <rFont val="Arial"/>
        <family val="2"/>
      </rPr>
      <t>U,EQ</t>
    </r>
  </si>
  <si>
    <t>Controlling Span:</t>
  </si>
  <si>
    <t>Shear at Columns for Max V Case</t>
  </si>
  <si>
    <t>Shear at Columns for Max T Case</t>
  </si>
  <si>
    <t>Torsion at Columns for Max V Case</t>
  </si>
  <si>
    <t>Torsion at Columns for Max T Case</t>
  </si>
  <si>
    <t>Maximum Factored Equivalent Shear</t>
  </si>
  <si>
    <r>
      <t>P</t>
    </r>
    <r>
      <rPr>
        <vertAlign val="subscript"/>
        <sz val="10"/>
        <rFont val="Arial"/>
        <family val="2"/>
      </rPr>
      <t>u,ext</t>
    </r>
    <r>
      <rPr>
        <sz val="10"/>
        <rFont val="Arial"/>
        <family val="2"/>
      </rPr>
      <t xml:space="preserve"> =</t>
    </r>
  </si>
  <si>
    <r>
      <t>P</t>
    </r>
    <r>
      <rPr>
        <vertAlign val="subscript"/>
        <sz val="10"/>
        <rFont val="Arial"/>
        <family val="2"/>
      </rPr>
      <t>u,int</t>
    </r>
    <r>
      <rPr>
        <sz val="10"/>
        <rFont val="Arial"/>
        <family val="2"/>
      </rPr>
      <t xml:space="preserve"> =</t>
    </r>
  </si>
  <si>
    <r>
      <t>V</t>
    </r>
    <r>
      <rPr>
        <vertAlign val="subscript"/>
        <sz val="10"/>
        <rFont val="Arial"/>
        <family val="2"/>
      </rPr>
      <t>u</t>
    </r>
    <r>
      <rPr>
        <sz val="10"/>
        <rFont val="Arial"/>
        <family val="2"/>
      </rPr>
      <t xml:space="preserve"> =</t>
    </r>
  </si>
  <si>
    <t>Shear at Columns for DC, DW, and DL</t>
  </si>
  <si>
    <t>Torsion at Columns for DC, DW, and DL</t>
  </si>
  <si>
    <t>Stations at Left of Lane</t>
  </si>
  <si>
    <t>Stations at Design Moment Control Points</t>
  </si>
  <si>
    <t>1.1 - Added inputs for different forward and back bent skews to eliminate need for complex geometry for simple cases of different back and forward skews.  Corrected drilled shaft load calculation.</t>
  </si>
  <si>
    <t>Stations at Design Shear Control Points</t>
  </si>
  <si>
    <t>TABLE 4. STIFFNESS AND LOAD DATA</t>
  </si>
  <si>
    <t>Sta</t>
  </si>
  <si>
    <t>Cap</t>
  </si>
  <si>
    <t>Sidewalk/</t>
  </si>
  <si>
    <t>Slab Loads</t>
  </si>
  <si>
    <t>Bm/Cap</t>
  </si>
  <si>
    <t>Loads</t>
  </si>
  <si>
    <t xml:space="preserve">Position </t>
  </si>
  <si>
    <t>HL-93 Loading</t>
  </si>
  <si>
    <t>Lane Load =</t>
  </si>
  <si>
    <t>Backward Span Length / 2 =</t>
  </si>
  <si>
    <t>k</t>
  </si>
  <si>
    <t>Dynamic Load Allowance, IM =</t>
  </si>
  <si>
    <t>%</t>
  </si>
  <si>
    <t>{AASHTO LRFD 3.6.1.2.4}</t>
  </si>
  <si>
    <t>{AASHTO LRFD 3.6.1.2.2}</t>
  </si>
  <si>
    <t>Design Truck</t>
  </si>
  <si>
    <t>{AASHTO LRFD 3.6.1.2.1}</t>
  </si>
  <si>
    <t>Total Live Load</t>
  </si>
  <si>
    <t>Total Lane Load =</t>
  </si>
  <si>
    <t>w =</t>
  </si>
  <si>
    <t>Concrete</t>
  </si>
  <si>
    <t>Forward Span Length / 2 =</t>
  </si>
  <si>
    <t>Backward Span Lane Load =</t>
  </si>
  <si>
    <t>Forward Span Lane Load =</t>
  </si>
  <si>
    <t>Future Wearing Surface Thickness =</t>
  </si>
  <si>
    <t xml:space="preserve">Rails </t>
  </si>
  <si>
    <t>Utilities =</t>
  </si>
  <si>
    <t>Total DC</t>
  </si>
  <si>
    <t>Total DW</t>
  </si>
  <si>
    <t>IM =</t>
  </si>
  <si>
    <r>
      <t>1</t>
    </r>
    <r>
      <rPr>
        <sz val="8"/>
        <rFont val="Arial"/>
        <family val="2"/>
      </rPr>
      <t xml:space="preserve"> Calculated Truck Load as follows: (Total Service LiveLoad+IM from Steel Loads / Number of lanes  - Lane Load) / IM</t>
    </r>
  </si>
  <si>
    <t>Condition</t>
  </si>
  <si>
    <t>LL + IM =</t>
  </si>
  <si>
    <t>P =</t>
  </si>
  <si>
    <t>{As measured normal to Rdwy}</t>
  </si>
  <si>
    <t>TABLE 3. LIST OF STATIONS (CASE I - BKWD BEAMS)</t>
  </si>
  <si>
    <t>LL (w)</t>
  </si>
  <si>
    <t>LL (P)</t>
  </si>
  <si>
    <t>CEASE</t>
  </si>
  <si>
    <t>No. of</t>
  </si>
  <si>
    <t>Incr</t>
  </si>
  <si>
    <t>Max No. Lane</t>
  </si>
  <si>
    <t>Supp</t>
  </si>
  <si>
    <t>End Table 4</t>
  </si>
  <si>
    <t>Lft Earwl</t>
  </si>
  <si>
    <t>Rt Earwl</t>
  </si>
  <si>
    <t>VDL</t>
  </si>
  <si>
    <t>MDL</t>
  </si>
  <si>
    <t>+Mu</t>
  </si>
  <si>
    <t>-Mu</t>
  </si>
  <si>
    <t>Station</t>
  </si>
  <si>
    <t>Location</t>
  </si>
  <si>
    <t>-Mws</t>
  </si>
  <si>
    <t>+Mws</t>
  </si>
  <si>
    <t>Lane</t>
  </si>
  <si>
    <t>2-LF</t>
  </si>
  <si>
    <t>PROBLEM</t>
  </si>
  <si>
    <t>Envel-</t>
  </si>
  <si>
    <t>opes</t>
  </si>
  <si>
    <t>Problem</t>
  </si>
  <si>
    <t>File:</t>
  </si>
  <si>
    <t>1-LB</t>
  </si>
  <si>
    <t>+Vu</t>
  </si>
  <si>
    <t>-Vu</t>
  </si>
  <si>
    <t>Problems</t>
  </si>
  <si>
    <t>X</t>
  </si>
  <si>
    <t>Runs to use for max/min values:</t>
  </si>
  <si>
    <t>Design Moments</t>
  </si>
  <si>
    <t>Positive Moment Reinforcement</t>
  </si>
  <si>
    <t>k-ft</t>
  </si>
  <si>
    <t>#11</t>
  </si>
  <si>
    <t>Bars</t>
  </si>
  <si>
    <t>k-in</t>
  </si>
  <si>
    <t>{j = 1 - k/3}</t>
  </si>
  <si>
    <t>b</t>
  </si>
  <si>
    <t>Peter Quinn</t>
  </si>
  <si>
    <t>b.13 - corrected calculation of distribution of dead load in two column bents (used only when CAP18 is not run); B.14 - Corrected lane locations in skewed bents as well as location of columns in shear and moment diagrams in skewed bents.</t>
  </si>
  <si>
    <t>b.14 - Corrected lane locations in skewed bents as well as location of columns in shear and moment diagrams in skewed bents.</t>
  </si>
  <si>
    <t xml:space="preserve">in </t>
  </si>
  <si>
    <t xml:space="preserve">Clear Space between bars = </t>
  </si>
  <si>
    <t>Col-Y</t>
  </si>
  <si>
    <t>Col-X</t>
  </si>
  <si>
    <r>
      <t>g</t>
    </r>
    <r>
      <rPr>
        <vertAlign val="subscript"/>
        <sz val="10"/>
        <rFont val="Arial"/>
        <family val="2"/>
      </rPr>
      <t>DC</t>
    </r>
    <r>
      <rPr>
        <sz val="10"/>
        <rFont val="Arial"/>
        <family val="2"/>
      </rPr>
      <t xml:space="preserve"> =</t>
    </r>
  </si>
  <si>
    <r>
      <t>g</t>
    </r>
    <r>
      <rPr>
        <vertAlign val="subscript"/>
        <sz val="10"/>
        <rFont val="Arial"/>
        <family val="2"/>
      </rPr>
      <t>DW</t>
    </r>
    <r>
      <rPr>
        <sz val="10"/>
        <rFont val="Arial"/>
        <family val="2"/>
      </rPr>
      <t xml:space="preserve"> =</t>
    </r>
  </si>
  <si>
    <r>
      <t>V</t>
    </r>
    <r>
      <rPr>
        <b/>
        <vertAlign val="subscript"/>
        <sz val="10"/>
        <rFont val="Arial"/>
        <family val="2"/>
      </rPr>
      <t>U,DL</t>
    </r>
    <r>
      <rPr>
        <b/>
        <sz val="10"/>
        <rFont val="Arial"/>
        <family val="2"/>
      </rPr>
      <t xml:space="preserve"> =</t>
    </r>
  </si>
  <si>
    <r>
      <t>V</t>
    </r>
    <r>
      <rPr>
        <b/>
        <vertAlign val="subscript"/>
        <sz val="10"/>
        <rFont val="Arial"/>
        <family val="2"/>
      </rPr>
      <t>U,DC</t>
    </r>
    <r>
      <rPr>
        <b/>
        <sz val="10"/>
        <rFont val="Arial"/>
        <family val="2"/>
      </rPr>
      <t xml:space="preserve"> =</t>
    </r>
  </si>
  <si>
    <r>
      <t>T</t>
    </r>
    <r>
      <rPr>
        <b/>
        <vertAlign val="subscript"/>
        <sz val="10"/>
        <rFont val="Arial"/>
        <family val="2"/>
      </rPr>
      <t>U,DL</t>
    </r>
    <r>
      <rPr>
        <b/>
        <sz val="10"/>
        <rFont val="Arial"/>
        <family val="2"/>
      </rPr>
      <t xml:space="preserve"> =</t>
    </r>
  </si>
  <si>
    <t>Max Shear with Associated Torsion</t>
  </si>
  <si>
    <t>Max Torsion with Associated Shear</t>
  </si>
  <si>
    <t>(Lane Load on Both Spans with Truck on Longest Span)</t>
  </si>
  <si>
    <t>(Lane Load and Truck Load on Longest Span Only)</t>
  </si>
  <si>
    <t>Check 2 Different Live Load Conditions:</t>
  </si>
  <si>
    <t>ft  (with adjustment for cross slope, does not include rail)</t>
  </si>
  <si>
    <r>
      <t>V</t>
    </r>
    <r>
      <rPr>
        <vertAlign val="subscript"/>
        <sz val="10"/>
        <rFont val="Arial"/>
        <family val="2"/>
      </rPr>
      <t xml:space="preserve">U,EQ </t>
    </r>
    <r>
      <rPr>
        <sz val="10"/>
        <rFont val="Arial"/>
        <family val="2"/>
      </rPr>
      <t>= Equivalent Factored Shear Force</t>
    </r>
  </si>
  <si>
    <r>
      <t>p</t>
    </r>
    <r>
      <rPr>
        <vertAlign val="subscript"/>
        <sz val="10"/>
        <rFont val="Arial"/>
        <family val="2"/>
      </rPr>
      <t>h</t>
    </r>
    <r>
      <rPr>
        <sz val="10"/>
        <rFont val="Arial"/>
        <family val="2"/>
      </rPr>
      <t xml:space="preserve"> =</t>
    </r>
  </si>
  <si>
    <r>
      <t>A</t>
    </r>
    <r>
      <rPr>
        <vertAlign val="subscript"/>
        <sz val="10"/>
        <rFont val="Arial"/>
        <family val="2"/>
      </rPr>
      <t>0</t>
    </r>
    <r>
      <rPr>
        <sz val="10"/>
        <rFont val="Arial"/>
        <family val="2"/>
      </rPr>
      <t xml:space="preserve"> =</t>
    </r>
  </si>
  <si>
    <t>Summary of Shear and Torsion on Cap</t>
  </si>
  <si>
    <t>Max Beam Reactions</t>
  </si>
  <si>
    <t/>
  </si>
  <si>
    <t>Service</t>
  </si>
  <si>
    <t>Factored</t>
  </si>
  <si>
    <t>Service D+L</t>
  </si>
  <si>
    <t>Factored D+L</t>
  </si>
  <si>
    <t>Distance</t>
  </si>
  <si>
    <t>Trans. Dist. CL Col to Column nodes (ft)</t>
  </si>
  <si>
    <t>Long. Dist. CL Col to Column nodes (ft)</t>
  </si>
  <si>
    <t>Tee</t>
  </si>
  <si>
    <t>Overall Cap Depth =</t>
  </si>
  <si>
    <t>Backward Span =</t>
  </si>
  <si>
    <t>Forward Span =</t>
  </si>
  <si>
    <t>Both Spans (Max) =</t>
  </si>
  <si>
    <t>[(Truck Load or Tandem)+IM]+Lane Load =</t>
  </si>
  <si>
    <t>Dist. to CL Col</t>
  </si>
  <si>
    <t>Dead Load Contributions to Torsion at Faces of Columns</t>
  </si>
  <si>
    <t>Live Load Lane Geometry Relative to Columns</t>
  </si>
  <si>
    <t>Live Load Contributions to Shear at Faces of Columns</t>
  </si>
  <si>
    <t>Live Load Contributions to Torsion at Faces of Columns</t>
  </si>
  <si>
    <t>Max Shear w/ Associated Torsion</t>
  </si>
  <si>
    <t>Max Torsion w/ Associated Shear</t>
  </si>
  <si>
    <t>Dead Load on One Span (Construction)</t>
  </si>
  <si>
    <t>Max Beam Spacing =</t>
  </si>
  <si>
    <t>DF =</t>
  </si>
  <si>
    <t>Max Shear</t>
  </si>
  <si>
    <t>Max Torsion</t>
  </si>
  <si>
    <t>T = V x e</t>
  </si>
  <si>
    <t>e = Bearing Distance =</t>
  </si>
  <si>
    <t>Right Col</t>
  </si>
  <si>
    <t>Left Col</t>
  </si>
  <si>
    <r>
      <t>V</t>
    </r>
    <r>
      <rPr>
        <b/>
        <vertAlign val="subscript"/>
        <sz val="10"/>
        <rFont val="Arial"/>
        <family val="2"/>
      </rPr>
      <t>U,LL+IM</t>
    </r>
    <r>
      <rPr>
        <b/>
        <sz val="10"/>
        <rFont val="Arial"/>
        <family val="2"/>
      </rPr>
      <t xml:space="preserve"> =</t>
    </r>
  </si>
  <si>
    <r>
      <t>T</t>
    </r>
    <r>
      <rPr>
        <b/>
        <vertAlign val="subscript"/>
        <sz val="10"/>
        <rFont val="Arial"/>
        <family val="2"/>
      </rPr>
      <t>U,LL+IM</t>
    </r>
    <r>
      <rPr>
        <b/>
        <sz val="10"/>
        <rFont val="Arial"/>
        <family val="2"/>
      </rPr>
      <t xml:space="preserve"> =</t>
    </r>
  </si>
  <si>
    <t>Max LL per lane =</t>
  </si>
  <si>
    <t>Max IM per lane =</t>
  </si>
  <si>
    <t>Max Exterior Reaction (LL+IM) =</t>
  </si>
  <si>
    <t>Max Interior Reaction (LL+IM) =</t>
  </si>
  <si>
    <t>Max Exterior Reaction (DC) =</t>
  </si>
  <si>
    <t>Max Interior Reaction (DC) =</t>
  </si>
  <si>
    <t>Max Exterior Reaction (DW) =</t>
  </si>
  <si>
    <t>Max Interior Reaction (DW) =</t>
  </si>
  <si>
    <t>Max Reactions</t>
  </si>
  <si>
    <t>Exterior</t>
  </si>
  <si>
    <t>Interior</t>
  </si>
  <si>
    <t>Max Factored Exterior Reaction =</t>
  </si>
  <si>
    <t>Max Factored Interior Reaction =</t>
  </si>
  <si>
    <t>Summary (Input for Inverted Tee Design Module)</t>
  </si>
  <si>
    <t>Total Cap Length =</t>
  </si>
  <si>
    <t>Total Cap Weight =</t>
  </si>
  <si>
    <t>skip</t>
  </si>
  <si>
    <t>Col-X = Trans*cos(bent skew) + Long*sin(bent skew), Col-Y = Trans*sin(bent skew) + Long*cos(bent skew)</t>
  </si>
  <si>
    <t>Effective Angle of Wind on Cap</t>
  </si>
  <si>
    <r>
      <t>in</t>
    </r>
    <r>
      <rPr>
        <b/>
        <vertAlign val="superscript"/>
        <sz val="10"/>
        <rFont val="Arial"/>
        <family val="2"/>
      </rPr>
      <t>2</t>
    </r>
  </si>
  <si>
    <r>
      <t>E</t>
    </r>
    <r>
      <rPr>
        <vertAlign val="subscript"/>
        <sz val="10"/>
        <rFont val="Arial"/>
        <family val="2"/>
      </rPr>
      <t>c</t>
    </r>
    <r>
      <rPr>
        <sz val="10"/>
        <rFont val="Arial"/>
        <family val="2"/>
      </rPr>
      <t xml:space="preserve"> = </t>
    </r>
  </si>
  <si>
    <r>
      <t>M</t>
    </r>
    <r>
      <rPr>
        <vertAlign val="subscript"/>
        <sz val="10"/>
        <rFont val="Arial"/>
        <family val="2"/>
      </rPr>
      <t>ws</t>
    </r>
    <r>
      <rPr>
        <vertAlign val="superscript"/>
        <sz val="10"/>
        <rFont val="Arial"/>
        <family val="2"/>
      </rPr>
      <t>+</t>
    </r>
    <r>
      <rPr>
        <sz val="10"/>
        <rFont val="Arial"/>
        <family val="2"/>
      </rPr>
      <t>=</t>
    </r>
  </si>
  <si>
    <r>
      <t>f</t>
    </r>
    <r>
      <rPr>
        <vertAlign val="subscript"/>
        <sz val="10"/>
        <rFont val="Arial"/>
        <family val="2"/>
      </rPr>
      <t>r</t>
    </r>
    <r>
      <rPr>
        <sz val="10"/>
        <rFont val="Arial"/>
        <family val="2"/>
      </rPr>
      <t xml:space="preserve"> =</t>
    </r>
  </si>
  <si>
    <t>#10</t>
  </si>
  <si>
    <t>#9</t>
  </si>
  <si>
    <t>Reinf Conc Unit Wt. =</t>
  </si>
  <si>
    <t>{AASHTO LRFD 5.4.2.4}</t>
  </si>
  <si>
    <t xml:space="preserve">Bar </t>
  </si>
  <si>
    <t>Diameter</t>
  </si>
  <si>
    <t>Area</t>
  </si>
  <si>
    <t>Ld</t>
  </si>
  <si>
    <t>#4</t>
  </si>
  <si>
    <t>#7</t>
  </si>
  <si>
    <t>#8</t>
  </si>
  <si>
    <t>Reinforcing Bars</t>
  </si>
  <si>
    <t>c =</t>
  </si>
  <si>
    <r>
      <t>β</t>
    </r>
    <r>
      <rPr>
        <vertAlign val="subscript"/>
        <sz val="10"/>
        <rFont val="Arial"/>
        <family val="2"/>
      </rPr>
      <t>1</t>
    </r>
    <r>
      <rPr>
        <sz val="10"/>
        <rFont val="Arial"/>
        <family val="2"/>
      </rPr>
      <t xml:space="preserve"> =</t>
    </r>
  </si>
  <si>
    <t>a =</t>
  </si>
  <si>
    <r>
      <t>ε</t>
    </r>
    <r>
      <rPr>
        <vertAlign val="subscript"/>
        <sz val="10"/>
        <rFont val="Arial"/>
        <family val="2"/>
      </rPr>
      <t>t</t>
    </r>
    <r>
      <rPr>
        <sz val="10"/>
        <rFont val="Arial"/>
        <family val="2"/>
      </rPr>
      <t xml:space="preserve"> =</t>
    </r>
  </si>
  <si>
    <r>
      <t>Φ</t>
    </r>
    <r>
      <rPr>
        <sz val="10"/>
        <rFont val="Arial"/>
        <family val="2"/>
      </rPr>
      <t xml:space="preserve"> = </t>
    </r>
  </si>
  <si>
    <r>
      <t>{f</t>
    </r>
    <r>
      <rPr>
        <i/>
        <vertAlign val="subscript"/>
        <sz val="9"/>
        <rFont val="Arial"/>
        <family val="2"/>
      </rPr>
      <t>y</t>
    </r>
    <r>
      <rPr>
        <i/>
        <sz val="9"/>
        <rFont val="Arial"/>
        <family val="2"/>
      </rPr>
      <t xml:space="preserve"> / E</t>
    </r>
    <r>
      <rPr>
        <i/>
        <vertAlign val="subscript"/>
        <sz val="9"/>
        <rFont val="Arial"/>
        <family val="2"/>
      </rPr>
      <t>s</t>
    </r>
    <r>
      <rPr>
        <i/>
        <sz val="9"/>
        <rFont val="Arial"/>
        <family val="2"/>
      </rPr>
      <t>}</t>
    </r>
  </si>
  <si>
    <r>
      <t>{c x β</t>
    </r>
    <r>
      <rPr>
        <i/>
        <vertAlign val="subscript"/>
        <sz val="9"/>
        <rFont val="Arial"/>
        <family val="2"/>
      </rPr>
      <t>1</t>
    </r>
    <r>
      <rPr>
        <i/>
        <sz val="9"/>
        <rFont val="Arial"/>
        <family val="2"/>
      </rPr>
      <t>}</t>
    </r>
  </si>
  <si>
    <r>
      <t>ε</t>
    </r>
    <r>
      <rPr>
        <vertAlign val="subscript"/>
        <sz val="10"/>
        <rFont val="Arial"/>
        <family val="2"/>
      </rPr>
      <t>y</t>
    </r>
    <r>
      <rPr>
        <sz val="10"/>
        <rFont val="Arial"/>
        <family val="2"/>
      </rPr>
      <t xml:space="preserve"> =</t>
    </r>
  </si>
  <si>
    <t>S =</t>
  </si>
  <si>
    <t>{S = I/y}</t>
  </si>
  <si>
    <t>1.33 Mu =</t>
  </si>
  <si>
    <t>Mu / Mr =</t>
  </si>
  <si>
    <t>Lesser of 1.2 Mcr and 1.33 Mu =</t>
  </si>
  <si>
    <t>Exposure Condition:</t>
  </si>
  <si>
    <r>
      <t>...γ</t>
    </r>
    <r>
      <rPr>
        <i/>
        <vertAlign val="subscript"/>
        <sz val="10"/>
        <rFont val="Arial"/>
        <family val="2"/>
      </rPr>
      <t>e</t>
    </r>
    <r>
      <rPr>
        <i/>
        <sz val="10"/>
        <rFont val="Arial"/>
        <family val="2"/>
      </rPr>
      <t xml:space="preserve"> </t>
    </r>
    <r>
      <rPr>
        <sz val="10"/>
        <rFont val="Arial"/>
        <family val="2"/>
      </rPr>
      <t>=</t>
    </r>
  </si>
  <si>
    <t>h =</t>
  </si>
  <si>
    <r>
      <t>f</t>
    </r>
    <r>
      <rPr>
        <i/>
        <vertAlign val="subscript"/>
        <sz val="10"/>
        <rFont val="Arial"/>
        <family val="2"/>
      </rPr>
      <t>s</t>
    </r>
    <r>
      <rPr>
        <i/>
        <sz val="10"/>
        <rFont val="Arial"/>
        <family val="2"/>
      </rPr>
      <t xml:space="preserve"> </t>
    </r>
    <r>
      <rPr>
        <sz val="10"/>
        <rFont val="Arial"/>
        <family val="2"/>
      </rPr>
      <t>=</t>
    </r>
  </si>
  <si>
    <r>
      <t>f</t>
    </r>
    <r>
      <rPr>
        <i/>
        <vertAlign val="subscript"/>
        <sz val="10"/>
        <rFont val="Arial"/>
        <family val="2"/>
      </rPr>
      <t>s</t>
    </r>
    <r>
      <rPr>
        <sz val="10"/>
        <rFont val="Arial"/>
        <family val="2"/>
      </rPr>
      <t>=</t>
    </r>
  </si>
  <si>
    <t>j =</t>
  </si>
  <si>
    <t>k =</t>
  </si>
  <si>
    <r>
      <t xml:space="preserve">rh </t>
    </r>
    <r>
      <rPr>
        <sz val="10"/>
        <rFont val="Arial"/>
        <family val="2"/>
      </rPr>
      <t>=</t>
    </r>
  </si>
  <si>
    <r>
      <t xml:space="preserve">h </t>
    </r>
    <r>
      <rPr>
        <sz val="10"/>
        <rFont val="Arial"/>
        <family val="2"/>
      </rPr>
      <t>=</t>
    </r>
  </si>
  <si>
    <r>
      <t>f</t>
    </r>
    <r>
      <rPr>
        <vertAlign val="subscript"/>
        <sz val="10"/>
        <rFont val="Arial"/>
        <family val="2"/>
      </rPr>
      <t>s</t>
    </r>
    <r>
      <rPr>
        <sz val="10"/>
        <rFont val="Arial"/>
        <family val="2"/>
      </rPr>
      <t xml:space="preserve"> allow =</t>
    </r>
  </si>
  <si>
    <r>
      <t xml:space="preserve">r </t>
    </r>
    <r>
      <rPr>
        <sz val="10"/>
        <rFont val="Arial"/>
        <family val="2"/>
      </rPr>
      <t>=</t>
    </r>
  </si>
  <si>
    <t>Ig =</t>
  </si>
  <si>
    <r>
      <t>y</t>
    </r>
    <r>
      <rPr>
        <vertAlign val="subscript"/>
        <sz val="10"/>
        <rFont val="Arial"/>
        <family val="2"/>
      </rPr>
      <t xml:space="preserve">t </t>
    </r>
    <r>
      <rPr>
        <sz val="10"/>
        <rFont val="Arial"/>
        <family val="2"/>
      </rPr>
      <t>=</t>
    </r>
  </si>
  <si>
    <r>
      <t>Mr = ΦM</t>
    </r>
    <r>
      <rPr>
        <vertAlign val="subscript"/>
        <sz val="10"/>
        <rFont val="Arial"/>
        <family val="2"/>
      </rPr>
      <t xml:space="preserve">n </t>
    </r>
    <r>
      <rPr>
        <sz val="10"/>
        <rFont val="Arial"/>
        <family val="2"/>
      </rPr>
      <t>=</t>
    </r>
  </si>
  <si>
    <r>
      <t>d</t>
    </r>
    <r>
      <rPr>
        <vertAlign val="subscript"/>
        <sz val="10"/>
        <rFont val="Arial"/>
        <family val="2"/>
      </rPr>
      <t xml:space="preserve">t </t>
    </r>
    <r>
      <rPr>
        <sz val="10"/>
        <rFont val="Arial"/>
        <family val="2"/>
      </rPr>
      <t>=</t>
    </r>
  </si>
  <si>
    <t>d =</t>
  </si>
  <si>
    <t>As =</t>
  </si>
  <si>
    <r>
      <t>d</t>
    </r>
    <r>
      <rPr>
        <vertAlign val="subscript"/>
        <sz val="10"/>
        <rFont val="Arial"/>
        <family val="2"/>
      </rPr>
      <t>c</t>
    </r>
    <r>
      <rPr>
        <sz val="10"/>
        <rFont val="Arial"/>
        <family val="2"/>
      </rPr>
      <t xml:space="preserve"> =</t>
    </r>
  </si>
  <si>
    <r>
      <t>s</t>
    </r>
    <r>
      <rPr>
        <i/>
        <vertAlign val="subscript"/>
        <sz val="10"/>
        <rFont val="Arial"/>
        <family val="2"/>
      </rPr>
      <t>max</t>
    </r>
    <r>
      <rPr>
        <i/>
        <sz val="10"/>
        <rFont val="Arial"/>
        <family val="2"/>
      </rPr>
      <t xml:space="preserve"> =</t>
    </r>
  </si>
  <si>
    <r>
      <t>β</t>
    </r>
    <r>
      <rPr>
        <vertAlign val="subscript"/>
        <sz val="10"/>
        <rFont val="Arial"/>
        <family val="2"/>
      </rPr>
      <t>s</t>
    </r>
    <r>
      <rPr>
        <sz val="10"/>
        <rFont val="Arial"/>
        <family val="2"/>
      </rPr>
      <t xml:space="preserve"> =</t>
    </r>
  </si>
  <si>
    <r>
      <t>s</t>
    </r>
    <r>
      <rPr>
        <i/>
        <vertAlign val="subscript"/>
        <sz val="10"/>
        <rFont val="Arial"/>
        <family val="2"/>
      </rPr>
      <t>actual</t>
    </r>
    <r>
      <rPr>
        <i/>
        <sz val="10"/>
        <rFont val="Arial"/>
        <family val="2"/>
      </rPr>
      <t xml:space="preserve"> =</t>
    </r>
  </si>
  <si>
    <t xml:space="preserve">= </t>
  </si>
  <si>
    <r>
      <t>d</t>
    </r>
    <r>
      <rPr>
        <i/>
        <vertAlign val="subscript"/>
        <sz val="10"/>
        <rFont val="Arial"/>
        <family val="2"/>
      </rPr>
      <t>e</t>
    </r>
    <r>
      <rPr>
        <i/>
        <sz val="10"/>
        <rFont val="Arial"/>
        <family val="2"/>
      </rPr>
      <t xml:space="preserve"> =</t>
    </r>
  </si>
  <si>
    <r>
      <t>A</t>
    </r>
    <r>
      <rPr>
        <i/>
        <vertAlign val="subscript"/>
        <sz val="10"/>
        <rFont val="Arial"/>
        <family val="2"/>
      </rPr>
      <t xml:space="preserve">sk(min) </t>
    </r>
    <r>
      <rPr>
        <i/>
        <sz val="10"/>
        <rFont val="Arial"/>
        <family val="2"/>
      </rPr>
      <t>=</t>
    </r>
  </si>
  <si>
    <r>
      <t>in</t>
    </r>
    <r>
      <rPr>
        <vertAlign val="superscript"/>
        <sz val="10"/>
        <rFont val="Arial"/>
        <family val="2"/>
      </rPr>
      <t>2</t>
    </r>
    <r>
      <rPr>
        <sz val="10"/>
        <rFont val="Arial"/>
        <family val="2"/>
      </rPr>
      <t>/ft</t>
    </r>
  </si>
  <si>
    <r>
      <t>S</t>
    </r>
    <r>
      <rPr>
        <i/>
        <vertAlign val="subscript"/>
        <sz val="10"/>
        <rFont val="Arial"/>
        <family val="2"/>
      </rPr>
      <t>sk(max)</t>
    </r>
    <r>
      <rPr>
        <i/>
        <sz val="10"/>
        <rFont val="Arial"/>
        <family val="2"/>
      </rPr>
      <t>=</t>
    </r>
  </si>
  <si>
    <t>Negative Moment Reinforcement</t>
  </si>
  <si>
    <t>inches</t>
  </si>
  <si>
    <t>Moment</t>
  </si>
  <si>
    <t>SWPkwy_5'x5'</t>
  </si>
  <si>
    <t>Additional Cap Deadload</t>
  </si>
  <si>
    <t>Additional Cap Weight =</t>
  </si>
  <si>
    <t>Project Aesthetics / Pedestal</t>
  </si>
  <si>
    <t>Begin Location =</t>
  </si>
  <si>
    <t>End Location =</t>
  </si>
  <si>
    <t>Total Wt =</t>
  </si>
  <si>
    <t>ft  from left end of cap</t>
  </si>
  <si>
    <t>Cap Design Forces</t>
  </si>
  <si>
    <t>DL</t>
  </si>
  <si>
    <t>Design Bent Skew =</t>
  </si>
  <si>
    <t>1.00 - Fixed update functionality; 1.01 - Aesthetic column import capability.; 1.02 - Calculation for minimum cap length revised - this only affects skewed bents with U-bms.  Previous calculations assumed that bearing seat width for U beams was normal to beam as in I-bms, rather than along bent cap.</t>
  </si>
  <si>
    <t>DL=DC+DW</t>
  </si>
  <si>
    <r>
      <t>S</t>
    </r>
    <r>
      <rPr>
        <sz val="10"/>
        <rFont val="Arial"/>
        <family val="2"/>
      </rPr>
      <t xml:space="preserve"> =</t>
    </r>
  </si>
  <si>
    <r>
      <t>V</t>
    </r>
    <r>
      <rPr>
        <vertAlign val="subscript"/>
        <sz val="10"/>
        <rFont val="Arial"/>
        <family val="2"/>
      </rPr>
      <t>U,DC</t>
    </r>
    <r>
      <rPr>
        <sz val="10"/>
        <rFont val="Arial"/>
        <family val="2"/>
      </rPr>
      <t xml:space="preserve"> =</t>
    </r>
  </si>
  <si>
    <r>
      <t>V</t>
    </r>
    <r>
      <rPr>
        <vertAlign val="subscript"/>
        <sz val="10"/>
        <rFont val="Arial"/>
        <family val="2"/>
      </rPr>
      <t>U,DW</t>
    </r>
    <r>
      <rPr>
        <sz val="10"/>
        <rFont val="Arial"/>
        <family val="2"/>
      </rPr>
      <t xml:space="preserve"> =</t>
    </r>
  </si>
  <si>
    <t>Shear at Columns for DC on One Span</t>
  </si>
  <si>
    <r>
      <t>T</t>
    </r>
    <r>
      <rPr>
        <vertAlign val="subscript"/>
        <sz val="10"/>
        <rFont val="Arial"/>
        <family val="2"/>
      </rPr>
      <t>U,DC</t>
    </r>
    <r>
      <rPr>
        <sz val="10"/>
        <rFont val="Arial"/>
        <family val="2"/>
      </rPr>
      <t xml:space="preserve"> =</t>
    </r>
  </si>
  <si>
    <r>
      <t>T</t>
    </r>
    <r>
      <rPr>
        <vertAlign val="subscript"/>
        <sz val="10"/>
        <rFont val="Arial"/>
        <family val="2"/>
      </rPr>
      <t>U,DW</t>
    </r>
    <r>
      <rPr>
        <sz val="10"/>
        <rFont val="Arial"/>
        <family val="2"/>
      </rPr>
      <t xml:space="preserve"> =</t>
    </r>
  </si>
  <si>
    <t>Torsion at Columns for DC on One Span</t>
  </si>
  <si>
    <t>Positive values indicate rotation toward the forward span.</t>
  </si>
  <si>
    <t>Lanes are positioned to maximize V and T for each column.</t>
  </si>
  <si>
    <r>
      <t>g</t>
    </r>
    <r>
      <rPr>
        <vertAlign val="subscript"/>
        <sz val="10"/>
        <rFont val="Arial"/>
        <family val="2"/>
      </rPr>
      <t>LL</t>
    </r>
    <r>
      <rPr>
        <sz val="10"/>
        <rFont val="Arial"/>
        <family val="2"/>
      </rPr>
      <t xml:space="preserve"> =</t>
    </r>
  </si>
  <si>
    <r>
      <t>M</t>
    </r>
    <r>
      <rPr>
        <vertAlign val="subscript"/>
        <sz val="10"/>
        <rFont val="Arial"/>
        <family val="2"/>
      </rPr>
      <t>ws</t>
    </r>
    <r>
      <rPr>
        <vertAlign val="superscript"/>
        <sz val="10"/>
        <rFont val="Arial"/>
        <family val="2"/>
      </rPr>
      <t>-</t>
    </r>
    <r>
      <rPr>
        <sz val="10"/>
        <rFont val="Arial"/>
        <family val="2"/>
      </rPr>
      <t>=</t>
    </r>
  </si>
  <si>
    <t>Flexure Design for Negative Moment - Bars A</t>
  </si>
  <si>
    <t>Outer Face Left Column</t>
  </si>
  <si>
    <t>Inner Face Left Column</t>
  </si>
  <si>
    <t>Inner Face Right Column</t>
  </si>
  <si>
    <t>Outer Face Right Column</t>
  </si>
  <si>
    <t>Contributions due to Cap Self Weight</t>
  </si>
  <si>
    <t>Span Between Columns =</t>
  </si>
  <si>
    <t>Back DC</t>
  </si>
  <si>
    <t>Back DW</t>
  </si>
  <si>
    <t>Fwd DC</t>
  </si>
  <si>
    <t>Fwd DW</t>
  </si>
  <si>
    <t>Shear at Face of Column =</t>
  </si>
  <si>
    <r>
      <t>T</t>
    </r>
    <r>
      <rPr>
        <b/>
        <vertAlign val="subscript"/>
        <sz val="10"/>
        <rFont val="Arial"/>
        <family val="2"/>
      </rPr>
      <t>U,DC</t>
    </r>
    <r>
      <rPr>
        <b/>
        <sz val="10"/>
        <rFont val="Arial"/>
        <family val="2"/>
      </rPr>
      <t xml:space="preserve"> =</t>
    </r>
  </si>
  <si>
    <t>Flexure Design for Positive Moment - Bars B</t>
  </si>
  <si>
    <t>Edit Flexural Reinforcing</t>
  </si>
  <si>
    <t>Skin Reinforcement:</t>
  </si>
  <si>
    <r>
      <t>A</t>
    </r>
    <r>
      <rPr>
        <i/>
        <vertAlign val="subscript"/>
        <sz val="10"/>
        <rFont val="Arial"/>
        <family val="2"/>
      </rPr>
      <t>sk</t>
    </r>
    <r>
      <rPr>
        <i/>
        <vertAlign val="superscript"/>
        <sz val="10"/>
        <rFont val="Arial"/>
        <family val="2"/>
      </rPr>
      <t>-</t>
    </r>
    <r>
      <rPr>
        <i/>
        <vertAlign val="subscript"/>
        <sz val="10"/>
        <rFont val="Arial"/>
        <family val="2"/>
      </rPr>
      <t xml:space="preserve"> </t>
    </r>
    <r>
      <rPr>
        <i/>
        <sz val="10"/>
        <rFont val="Arial"/>
        <family val="2"/>
      </rPr>
      <t>=</t>
    </r>
  </si>
  <si>
    <r>
      <t>A</t>
    </r>
    <r>
      <rPr>
        <i/>
        <vertAlign val="subscript"/>
        <sz val="10"/>
        <rFont val="Arial"/>
        <family val="2"/>
      </rPr>
      <t>sk</t>
    </r>
    <r>
      <rPr>
        <i/>
        <vertAlign val="superscript"/>
        <sz val="10"/>
        <rFont val="Arial"/>
        <family val="2"/>
      </rPr>
      <t>+</t>
    </r>
    <r>
      <rPr>
        <i/>
        <vertAlign val="subscript"/>
        <sz val="10"/>
        <rFont val="Arial"/>
        <family val="2"/>
      </rPr>
      <t xml:space="preserve"> </t>
    </r>
    <r>
      <rPr>
        <i/>
        <sz val="10"/>
        <rFont val="Arial"/>
        <family val="2"/>
      </rPr>
      <t>=</t>
    </r>
  </si>
  <si>
    <r>
      <t>A</t>
    </r>
    <r>
      <rPr>
        <i/>
        <vertAlign val="subscript"/>
        <sz val="10"/>
        <rFont val="Arial"/>
        <family val="2"/>
      </rPr>
      <t xml:space="preserve">sk(prvd) </t>
    </r>
    <r>
      <rPr>
        <i/>
        <sz val="10"/>
        <rFont val="Arial"/>
        <family val="2"/>
      </rPr>
      <t>=</t>
    </r>
  </si>
  <si>
    <t>Shear Design - Stirrups</t>
  </si>
  <si>
    <t>Max Factored Shear, Vu =</t>
  </si>
  <si>
    <r>
      <t>V</t>
    </r>
    <r>
      <rPr>
        <vertAlign val="subscript"/>
        <sz val="10"/>
        <rFont val="Arial"/>
        <family val="2"/>
      </rPr>
      <t>c</t>
    </r>
    <r>
      <rPr>
        <sz val="10"/>
        <rFont val="Arial"/>
        <family val="2"/>
      </rPr>
      <t xml:space="preserve"> =</t>
    </r>
  </si>
  <si>
    <t>v/f'c</t>
  </si>
  <si>
    <r>
      <t>e</t>
    </r>
    <r>
      <rPr>
        <b/>
        <sz val="9"/>
        <rFont val="Tahoma"/>
        <family val="2"/>
      </rPr>
      <t>x</t>
    </r>
  </si>
  <si>
    <t>FOR SHEAR CALCULATIONS</t>
  </si>
  <si>
    <r>
      <t>b</t>
    </r>
    <r>
      <rPr>
        <vertAlign val="subscript"/>
        <sz val="10"/>
        <rFont val="Arial"/>
        <family val="2"/>
      </rPr>
      <t>v</t>
    </r>
    <r>
      <rPr>
        <sz val="10"/>
        <rFont val="Arial"/>
        <family val="2"/>
      </rPr>
      <t xml:space="preserve"> =</t>
    </r>
  </si>
  <si>
    <r>
      <t>d</t>
    </r>
    <r>
      <rPr>
        <vertAlign val="subscript"/>
        <sz val="10"/>
        <rFont val="Arial"/>
        <family val="2"/>
      </rPr>
      <t>v</t>
    </r>
    <r>
      <rPr>
        <sz val="10"/>
        <rFont val="Arial"/>
        <family val="2"/>
      </rPr>
      <t xml:space="preserve"> =</t>
    </r>
  </si>
  <si>
    <t>β =</t>
  </si>
  <si>
    <t>Corresponding max |Mu| =</t>
  </si>
  <si>
    <t>θ =</t>
  </si>
  <si>
    <t>(Trial value)</t>
  </si>
  <si>
    <t>shear reinforcing :</t>
  </si>
  <si>
    <r>
      <t>in</t>
    </r>
    <r>
      <rPr>
        <vertAlign val="superscript"/>
        <sz val="10"/>
        <rFont val="Arial"/>
        <family val="2"/>
      </rPr>
      <t>2</t>
    </r>
  </si>
  <si>
    <r>
      <t>l</t>
    </r>
    <r>
      <rPr>
        <vertAlign val="subscript"/>
        <sz val="10"/>
        <rFont val="Arial"/>
        <family val="2"/>
      </rPr>
      <t>d</t>
    </r>
    <r>
      <rPr>
        <sz val="10"/>
        <rFont val="Arial"/>
        <family val="2"/>
      </rPr>
      <t xml:space="preserve"> =</t>
    </r>
  </si>
  <si>
    <t>Sample Calculations</t>
  </si>
  <si>
    <t>Dist. to cap edge =</t>
  </si>
  <si>
    <r>
      <t>ε</t>
    </r>
    <r>
      <rPr>
        <vertAlign val="subscript"/>
        <sz val="10"/>
        <rFont val="Arial"/>
        <family val="2"/>
      </rPr>
      <t>x</t>
    </r>
    <r>
      <rPr>
        <sz val="10"/>
        <rFont val="Arial"/>
        <family val="2"/>
      </rPr>
      <t xml:space="preserve"> =</t>
    </r>
  </si>
  <si>
    <r>
      <t>As (for ε</t>
    </r>
    <r>
      <rPr>
        <vertAlign val="subscript"/>
        <sz val="10"/>
        <rFont val="Arial"/>
        <family val="2"/>
      </rPr>
      <t>x</t>
    </r>
    <r>
      <rPr>
        <sz val="10"/>
        <rFont val="Arial"/>
        <family val="2"/>
      </rPr>
      <t>) =</t>
    </r>
  </si>
  <si>
    <r>
      <t>v</t>
    </r>
    <r>
      <rPr>
        <vertAlign val="subscript"/>
        <sz val="10"/>
        <rFont val="Arial"/>
        <family val="2"/>
      </rPr>
      <t>u</t>
    </r>
    <r>
      <rPr>
        <sz val="10"/>
        <rFont val="Arial"/>
        <family val="2"/>
      </rPr>
      <t xml:space="preserve"> =</t>
    </r>
  </si>
  <si>
    <t xml:space="preserve">Φ = </t>
  </si>
  <si>
    <t>Max Dead + Live Load Reaction</t>
  </si>
  <si>
    <t>Column</t>
  </si>
  <si>
    <t>From Cap 18 Results:</t>
  </si>
  <si>
    <t>Double</t>
  </si>
  <si>
    <t>Triple</t>
  </si>
  <si>
    <t>End Elevation area =</t>
  </si>
  <si>
    <t>Front elevation area =</t>
  </si>
  <si>
    <t>X axis is parallel to long axis of bent cap</t>
  </si>
  <si>
    <t>Y axis is perpendicular to long axis of bent cap</t>
  </si>
  <si>
    <t>Rail Distribution:</t>
  </si>
  <si>
    <t>Angle of Wind</t>
  </si>
  <si>
    <t>Multiple Presence Factor =</t>
  </si>
  <si>
    <t>Design Tandem</t>
  </si>
  <si>
    <t>{AASHTO LRFD 3.6.1.2.3}</t>
  </si>
  <si>
    <t>Backward Span Only =</t>
  </si>
  <si>
    <t>Forward Span Only =</t>
  </si>
  <si>
    <r>
      <t>v</t>
    </r>
    <r>
      <rPr>
        <vertAlign val="subscript"/>
        <sz val="10"/>
        <rFont val="Arial"/>
        <family val="2"/>
      </rPr>
      <t>u</t>
    </r>
    <r>
      <rPr>
        <sz val="10"/>
        <rFont val="Arial"/>
        <family val="2"/>
      </rPr>
      <t>/f'</t>
    </r>
    <r>
      <rPr>
        <vertAlign val="subscript"/>
        <sz val="10"/>
        <rFont val="Arial"/>
        <family val="2"/>
      </rPr>
      <t>c</t>
    </r>
    <r>
      <rPr>
        <sz val="10"/>
        <rFont val="Arial"/>
        <family val="2"/>
      </rPr>
      <t>=</t>
    </r>
  </si>
  <si>
    <r>
      <t>s x V</t>
    </r>
    <r>
      <rPr>
        <vertAlign val="subscript"/>
        <sz val="10"/>
        <rFont val="Arial"/>
        <family val="2"/>
      </rPr>
      <t>s</t>
    </r>
    <r>
      <rPr>
        <sz val="10"/>
        <rFont val="Arial"/>
        <family val="2"/>
      </rPr>
      <t xml:space="preserve"> =</t>
    </r>
  </si>
  <si>
    <r>
      <t>A</t>
    </r>
    <r>
      <rPr>
        <vertAlign val="subscript"/>
        <sz val="10"/>
        <rFont val="Arial"/>
        <family val="2"/>
      </rPr>
      <t>v</t>
    </r>
    <r>
      <rPr>
        <sz val="10"/>
        <rFont val="Arial"/>
        <family val="2"/>
      </rPr>
      <t xml:space="preserve"> =</t>
    </r>
  </si>
  <si>
    <r>
      <t>V</t>
    </r>
    <r>
      <rPr>
        <vertAlign val="subscript"/>
        <sz val="10"/>
        <rFont val="Arial"/>
        <family val="2"/>
      </rPr>
      <t>n</t>
    </r>
    <r>
      <rPr>
        <sz val="10"/>
        <rFont val="Arial"/>
        <family val="2"/>
      </rPr>
      <t xml:space="preserve"> =</t>
    </r>
  </si>
  <si>
    <r>
      <t>0.25f'</t>
    </r>
    <r>
      <rPr>
        <vertAlign val="subscript"/>
        <sz val="10"/>
        <rFont val="Arial"/>
        <family val="2"/>
      </rPr>
      <t>c</t>
    </r>
    <r>
      <rPr>
        <sz val="10"/>
        <rFont val="Arial"/>
        <family val="2"/>
      </rPr>
      <t>b</t>
    </r>
    <r>
      <rPr>
        <vertAlign val="subscript"/>
        <sz val="10"/>
        <rFont val="Arial"/>
        <family val="2"/>
      </rPr>
      <t>v</t>
    </r>
    <r>
      <rPr>
        <sz val="10"/>
        <rFont val="Arial"/>
        <family val="2"/>
      </rPr>
      <t>d</t>
    </r>
    <r>
      <rPr>
        <vertAlign val="subscript"/>
        <sz val="10"/>
        <rFont val="Arial"/>
        <family val="2"/>
      </rPr>
      <t>v</t>
    </r>
    <r>
      <rPr>
        <sz val="10"/>
        <rFont val="Arial"/>
        <family val="2"/>
      </rPr>
      <t xml:space="preserve"> =</t>
    </r>
  </si>
  <si>
    <r>
      <t>V</t>
    </r>
    <r>
      <rPr>
        <vertAlign val="subscript"/>
        <sz val="10"/>
        <rFont val="Arial"/>
        <family val="2"/>
      </rPr>
      <t>s</t>
    </r>
    <r>
      <rPr>
        <sz val="10"/>
        <rFont val="Arial"/>
        <family val="2"/>
      </rPr>
      <t xml:space="preserve"> (k)</t>
    </r>
  </si>
  <si>
    <r>
      <t>V</t>
    </r>
    <r>
      <rPr>
        <vertAlign val="subscript"/>
        <sz val="10"/>
        <rFont val="Arial"/>
        <family val="2"/>
      </rPr>
      <t>n</t>
    </r>
    <r>
      <rPr>
        <sz val="10"/>
        <rFont val="Arial"/>
        <family val="2"/>
      </rPr>
      <t xml:space="preserve"> (k)</t>
    </r>
  </si>
  <si>
    <r>
      <t>Φ</t>
    </r>
    <r>
      <rPr>
        <sz val="10"/>
        <rFont val="Arial"/>
        <family val="2"/>
      </rPr>
      <t>V</t>
    </r>
    <r>
      <rPr>
        <vertAlign val="subscript"/>
        <sz val="10"/>
        <rFont val="Arial"/>
        <family val="2"/>
      </rPr>
      <t>n</t>
    </r>
    <r>
      <rPr>
        <sz val="10"/>
        <rFont val="Arial"/>
        <family val="2"/>
      </rPr>
      <t xml:space="preserve"> (k)</t>
    </r>
  </si>
  <si>
    <t>θ trial</t>
  </si>
  <si>
    <r>
      <t>l</t>
    </r>
    <r>
      <rPr>
        <vertAlign val="subscript"/>
        <sz val="10"/>
        <rFont val="Arial"/>
        <family val="2"/>
      </rPr>
      <t>d</t>
    </r>
  </si>
  <si>
    <t>Dist to edge</t>
  </si>
  <si>
    <t>As</t>
  </si>
  <si>
    <r>
      <t>ε</t>
    </r>
    <r>
      <rPr>
        <vertAlign val="subscript"/>
        <sz val="10"/>
        <rFont val="Arial"/>
        <family val="2"/>
      </rPr>
      <t>x</t>
    </r>
  </si>
  <si>
    <r>
      <t>v</t>
    </r>
    <r>
      <rPr>
        <vertAlign val="subscript"/>
        <sz val="10"/>
        <rFont val="Arial"/>
        <family val="2"/>
      </rPr>
      <t>u</t>
    </r>
    <r>
      <rPr>
        <sz val="10"/>
        <rFont val="Arial"/>
        <family val="2"/>
      </rPr>
      <t xml:space="preserve"> </t>
    </r>
  </si>
  <si>
    <r>
      <t>v</t>
    </r>
    <r>
      <rPr>
        <vertAlign val="subscript"/>
        <sz val="10"/>
        <rFont val="Arial"/>
        <family val="2"/>
      </rPr>
      <t>u</t>
    </r>
    <r>
      <rPr>
        <sz val="10"/>
        <rFont val="Arial"/>
        <family val="2"/>
      </rPr>
      <t>/f'</t>
    </r>
    <r>
      <rPr>
        <vertAlign val="subscript"/>
        <sz val="10"/>
        <rFont val="Arial"/>
        <family val="2"/>
      </rPr>
      <t>c</t>
    </r>
  </si>
  <si>
    <t>θ</t>
  </si>
  <si>
    <t>β</t>
  </si>
  <si>
    <r>
      <t>V</t>
    </r>
    <r>
      <rPr>
        <vertAlign val="subscript"/>
        <sz val="10"/>
        <rFont val="Arial"/>
        <family val="2"/>
      </rPr>
      <t>c</t>
    </r>
  </si>
  <si>
    <t>θ - θtrial</t>
  </si>
  <si>
    <t>Detailed Stirrup Spacing Along Cap</t>
  </si>
  <si>
    <t>ex LB</t>
  </si>
  <si>
    <t>ex UB</t>
  </si>
  <si>
    <t>Interpolation</t>
  </si>
  <si>
    <t>Bm Dpth &amp; bot flg wdth =</t>
  </si>
  <si>
    <t>Offset to leveling Pad =</t>
  </si>
  <si>
    <t>Number of columns =</t>
  </si>
  <si>
    <t>kips/col</t>
  </si>
  <si>
    <t>Load per column (at top of column) =</t>
  </si>
  <si>
    <t>Drilled Shaft Load =</t>
  </si>
  <si>
    <t>kips/D.S.</t>
  </si>
  <si>
    <t>v/f'c LB</t>
  </si>
  <si>
    <t>v/f'c UB</t>
  </si>
  <si>
    <t>Theta LB,LB</t>
  </si>
  <si>
    <t>Theta LB,UB</t>
  </si>
  <si>
    <t>Theta UB,LB</t>
  </si>
  <si>
    <t>Theta UB,UB</t>
  </si>
  <si>
    <t>Bounding Strains</t>
  </si>
  <si>
    <t>Bounding vu/f'c</t>
  </si>
  <si>
    <t>Int (strain)</t>
  </si>
  <si>
    <t>Int (vu/f'c)</t>
  </si>
  <si>
    <t>Theta</t>
  </si>
  <si>
    <t>Beta</t>
  </si>
  <si>
    <t>Beta LB,LB</t>
  </si>
  <si>
    <t>Beta LB,UB</t>
  </si>
  <si>
    <t>Beta UB,LB</t>
  </si>
  <si>
    <t>Beta UB,UB</t>
  </si>
  <si>
    <r>
      <t>θ</t>
    </r>
    <r>
      <rPr>
        <vertAlign val="subscript"/>
        <sz val="10"/>
        <rFont val="Arial"/>
        <family val="2"/>
      </rPr>
      <t>(trial)</t>
    </r>
    <r>
      <rPr>
        <sz val="10"/>
        <rFont val="Arial"/>
        <family val="2"/>
      </rPr>
      <t xml:space="preserve"> =</t>
    </r>
  </si>
  <si>
    <r>
      <t>θ - θ</t>
    </r>
    <r>
      <rPr>
        <vertAlign val="subscript"/>
        <sz val="10"/>
        <rFont val="Arial"/>
        <family val="2"/>
      </rPr>
      <t>(trial)</t>
    </r>
    <r>
      <rPr>
        <sz val="10"/>
        <rFont val="Arial"/>
        <family val="2"/>
      </rPr>
      <t xml:space="preserve"> =</t>
    </r>
  </si>
  <si>
    <t>Spa * Vs</t>
  </si>
  <si>
    <r>
      <t>s</t>
    </r>
    <r>
      <rPr>
        <vertAlign val="subscript"/>
        <sz val="10"/>
        <rFont val="Arial"/>
        <family val="2"/>
      </rPr>
      <t>max</t>
    </r>
    <r>
      <rPr>
        <sz val="10"/>
        <rFont val="Arial"/>
        <family val="2"/>
      </rPr>
      <t xml:space="preserve"> =</t>
    </r>
  </si>
  <si>
    <t>Maximum Spacing Permitted by AASHTO LRFD</t>
  </si>
  <si>
    <t>Along Cap</t>
  </si>
  <si>
    <t>End</t>
  </si>
  <si>
    <t>Distance CL Column to Effective face =</t>
  </si>
  <si>
    <t>Mr&gt;Mu</t>
  </si>
  <si>
    <t>Slab Overhang at Lft Bm and middle of Back Span =</t>
  </si>
  <si>
    <t>Slab Overhang at Lft Bm and middle of Fwd Span =</t>
  </si>
  <si>
    <t>Slab Overhang at Rt Bm and middle of Span =</t>
  </si>
  <si>
    <t>Slab Overhang at Rt Bm and middle of Back Span =</t>
  </si>
  <si>
    <t>Slab Overhang at Rt Bm and middle of Fwd Span =</t>
  </si>
  <si>
    <t>Neg Reinf</t>
  </si>
  <si>
    <t>Pos Reinf</t>
  </si>
  <si>
    <t>As&gt;Asmin</t>
  </si>
  <si>
    <t>εt&lt;εy</t>
  </si>
  <si>
    <t>Skin Spa</t>
  </si>
  <si>
    <t>Ask</t>
  </si>
  <si>
    <t>Distr.of Reinf.</t>
  </si>
  <si>
    <t>A "#" below indicates that station is at or within effective face of column.</t>
  </si>
  <si>
    <t>Possible Spacing &amp; Corresponding Shear Resistance:</t>
  </si>
  <si>
    <t>clear spacing =</t>
  </si>
  <si>
    <t>{AASHTO LRFD 5.10.3.1.5}</t>
  </si>
  <si>
    <t>Spa of Bundled bars (2 bars/bundle):</t>
  </si>
  <si>
    <t>Bundled Spa</t>
  </si>
  <si>
    <t>Simple Spa</t>
  </si>
  <si>
    <t>Cap Analysis &amp; Design</t>
  </si>
  <si>
    <t>ENGINEERING SPREADSHEET APPLICATION REVISION RECORD</t>
  </si>
  <si>
    <t>Revision</t>
  </si>
  <si>
    <t>Issued For</t>
  </si>
  <si>
    <t>Output at:</t>
  </si>
  <si>
    <t>Is Pedestal Continuous?</t>
  </si>
  <si>
    <t>Sample Entry:</t>
  </si>
  <si>
    <r>
      <t xml:space="preserve">See ModuleSecurity and UserForm3 for information on changing the password to </t>
    </r>
    <r>
      <rPr>
        <b/>
        <sz val="10"/>
        <rFont val="Arial"/>
        <family val="2"/>
      </rPr>
      <t>open and use the spreadsheet.</t>
    </r>
  </si>
  <si>
    <t>Developed By:</t>
  </si>
  <si>
    <t>Checked By:</t>
  </si>
  <si>
    <t>Approved By:</t>
  </si>
  <si>
    <t>a</t>
  </si>
  <si>
    <t>Development</t>
  </si>
  <si>
    <t>Purpose:</t>
  </si>
  <si>
    <t>Instructions:</t>
  </si>
  <si>
    <t>Principle Reference Specifications:</t>
  </si>
  <si>
    <t>Principle Design Aides:</t>
  </si>
  <si>
    <t>Steven Austin</t>
  </si>
  <si>
    <t>-</t>
  </si>
  <si>
    <t>Support</t>
  </si>
  <si>
    <t>Max</t>
  </si>
  <si>
    <t>Min</t>
  </si>
  <si>
    <t>CAP18 Analysis Results - Support Reactions (k)</t>
  </si>
  <si>
    <t>Overall Maximums &amp; Minimums</t>
  </si>
  <si>
    <t>2.0 - Modified for general use on other projects.  Modified Pedestal wt.  Modified FWS distribution; FWS now distributed by tributary area. Modified Other Rail and Sidewalk distribution; Other Rail and Sidewalk loads are now distributed to specified beams.  Revised calculation of the modulus of rupture from the 0.37 fc^.5 presented in AASHTO to the 0.24 fc^.5 as shown in the TxDOT LRFD BDM dated 04/07.  Modified macro ReactExe_Info to allow for uplift in column reactions.</t>
  </si>
  <si>
    <r>
      <t>lesser of [V</t>
    </r>
    <r>
      <rPr>
        <vertAlign val="subscript"/>
        <sz val="10"/>
        <rFont val="Arial"/>
        <family val="2"/>
      </rPr>
      <t>s</t>
    </r>
    <r>
      <rPr>
        <sz val="10"/>
        <rFont val="Arial"/>
        <family val="2"/>
      </rPr>
      <t xml:space="preserve"> + V</t>
    </r>
    <r>
      <rPr>
        <vertAlign val="subscript"/>
        <sz val="10"/>
        <rFont val="Arial"/>
        <family val="2"/>
      </rPr>
      <t>c</t>
    </r>
    <r>
      <rPr>
        <sz val="10"/>
        <rFont val="Arial"/>
        <family val="2"/>
      </rPr>
      <t>] and [0.25f'</t>
    </r>
    <r>
      <rPr>
        <vertAlign val="subscript"/>
        <sz val="10"/>
        <rFont val="Arial"/>
        <family val="2"/>
      </rPr>
      <t>c</t>
    </r>
    <r>
      <rPr>
        <sz val="10"/>
        <rFont val="Arial"/>
        <family val="2"/>
      </rPr>
      <t>b</t>
    </r>
    <r>
      <rPr>
        <vertAlign val="subscript"/>
        <sz val="10"/>
        <rFont val="Arial"/>
        <family val="2"/>
      </rPr>
      <t>v</t>
    </r>
    <r>
      <rPr>
        <sz val="10"/>
        <rFont val="Arial"/>
        <family val="2"/>
      </rPr>
      <t>d</t>
    </r>
    <r>
      <rPr>
        <vertAlign val="subscript"/>
        <sz val="10"/>
        <rFont val="Arial"/>
        <family val="2"/>
      </rPr>
      <t>v</t>
    </r>
    <r>
      <rPr>
        <sz val="10"/>
        <rFont val="Arial"/>
        <family val="2"/>
      </rPr>
      <t>]</t>
    </r>
  </si>
  <si>
    <t>FOR SHEAR DIAGRAM</t>
  </si>
  <si>
    <t>Effect</t>
  </si>
  <si>
    <t>DW*</t>
  </si>
  <si>
    <t>DC</t>
  </si>
  <si>
    <t>Design Speed =</t>
  </si>
  <si>
    <t>mph</t>
  </si>
  <si>
    <t>Span Lengths</t>
  </si>
  <si>
    <t>For Load Calculations</t>
  </si>
  <si>
    <t>Beam / Girder Spacing</t>
  </si>
  <si>
    <t>Equivalent Slab width at Centerline of Bent =</t>
  </si>
  <si>
    <t>PGL to Left edge of Slab =</t>
  </si>
  <si>
    <t>klf</t>
  </si>
  <si>
    <t>Edge of Slab</t>
  </si>
  <si>
    <t>Span Geometry (and Approximate Beam Lengths)</t>
  </si>
  <si>
    <t>Actual Beam Spacing along bent</t>
  </si>
  <si>
    <t>Dist. from left edge of slab along bent</t>
  </si>
  <si>
    <t>Column Spacing measured along bent</t>
  </si>
  <si>
    <t>For Geometry Calculations</t>
  </si>
  <si>
    <t>C-C Bent</t>
  </si>
  <si>
    <t xml:space="preserve">Perp. Dist. from left edge of slab </t>
  </si>
  <si>
    <t>Cap Height to Bearing =</t>
  </si>
  <si>
    <t>Roadway Curve Radius (PGL) =</t>
  </si>
  <si>
    <t>Bm Length</t>
  </si>
  <si>
    <t>Dead Loads:</t>
  </si>
  <si>
    <t>DC =</t>
  </si>
  <si>
    <t>DW =</t>
  </si>
  <si>
    <t>2.01 - Modified default skin reinforcement from #9 to #5 to be in line with the TxDOT Standards. Modified minimum edge distance calculation for cap length check.  Previous calculation did not take absolute value of skew. Modified the cap end station formula for CAP18 input.  Previous versions were may be rounding to next station.</t>
  </si>
  <si>
    <t>Back Span Beam Reactions:</t>
  </si>
  <si>
    <t>Forward Span Beam Reactions:</t>
  </si>
  <si>
    <t>Bent Self Weight:</t>
  </si>
  <si>
    <t>Cap Self Weight =</t>
  </si>
  <si>
    <t>Total Dead Load =</t>
  </si>
  <si>
    <t>Live Load:</t>
  </si>
  <si>
    <t>Project Aeshetics/Pedastal =</t>
  </si>
  <si>
    <t>Design Lane+Truck (w/o impact) =</t>
  </si>
  <si>
    <t>Number of lanes =</t>
  </si>
  <si>
    <t>Total Live Load =</t>
  </si>
  <si>
    <t>Dead Load + Live Load:</t>
  </si>
  <si>
    <t>=</t>
  </si>
  <si>
    <t>Drilled Shaft Loads:</t>
  </si>
  <si>
    <t>tons/D.S.</t>
  </si>
  <si>
    <t>Service Dead + Live</t>
  </si>
  <si>
    <t>Factored Dead + Live</t>
  </si>
  <si>
    <t>Live Load Distributed Through Back Span Beams</t>
  </si>
  <si>
    <t>Tx28</t>
  </si>
  <si>
    <t>Tx34</t>
  </si>
  <si>
    <t>Tx40</t>
  </si>
  <si>
    <t>Tx46</t>
  </si>
  <si>
    <t>Loads for Inverted Tee Design - Single Column Bent</t>
  </si>
  <si>
    <t>Left Face of Col</t>
  </si>
  <si>
    <t>of Column</t>
  </si>
  <si>
    <t>Centerline</t>
  </si>
  <si>
    <t>Critical Face</t>
  </si>
  <si>
    <t>Left Face of Column</t>
  </si>
  <si>
    <t>Right Face of Column</t>
  </si>
  <si>
    <t>Left Overhang =</t>
  </si>
  <si>
    <t>Right Overhang =</t>
  </si>
  <si>
    <t>Shear at Left Face of Column =</t>
  </si>
  <si>
    <t>Shear at Right Face of Column =</t>
  </si>
  <si>
    <t>Cap Shear for DC, DW, and DL</t>
  </si>
  <si>
    <t>Cap Shear for DC on One Span</t>
  </si>
  <si>
    <t>Bearing Eccentrictity =</t>
  </si>
  <si>
    <t>Cap Torsion for DC on One Span</t>
  </si>
  <si>
    <t>Cap Torsion for DC, DW, and DL</t>
  </si>
  <si>
    <t>Right Face of Col</t>
  </si>
  <si>
    <t>Additional Dead Load at Top of Colum</t>
  </si>
  <si>
    <t>Add'l Axial Load (DC) =</t>
  </si>
  <si>
    <t>kip-ft</t>
  </si>
  <si>
    <t>Add'l Transverse Moment (DC) =</t>
  </si>
  <si>
    <t>Add'l Longitudinal Moment (DC) =</t>
  </si>
  <si>
    <t>Additional Live Load at Top of Colum</t>
  </si>
  <si>
    <t>Add'l Axial Load (LL) =</t>
  </si>
  <si>
    <t>Add'l Transverse Moment (LL) =</t>
  </si>
  <si>
    <t>Add'l Longitudinal Moment (LL) =</t>
  </si>
  <si>
    <t>Beam Geometry Relative to Columns</t>
  </si>
  <si>
    <t>Fwd Span Only</t>
  </si>
  <si>
    <t>Unfactored Live Loads (From Previous Calculation)</t>
  </si>
  <si>
    <t>LL on Both Spans</t>
  </si>
  <si>
    <t>LL on One Span Only</t>
  </si>
  <si>
    <t>Total for Both Spans</t>
  </si>
  <si>
    <t xml:space="preserve">Max for One Span Only  </t>
  </si>
  <si>
    <t>tee cap design spreadsheet.  These calculations supplement the cap analysis performed in previous calculations.</t>
  </si>
  <si>
    <t>The following calculations are to determine maximum shear and torsion in the bent cap to be passed to the inverted</t>
  </si>
  <si>
    <t>Maximum Beam Reactions for Ledge Design:</t>
  </si>
  <si>
    <t>Max Service Exterior Reaction =</t>
  </si>
  <si>
    <t>Max Service Interior Reaction =</t>
  </si>
  <si>
    <t>Exterior Beam:</t>
  </si>
  <si>
    <t>Interior Beam:</t>
  </si>
  <si>
    <t>5.0 - Added inverted-tee torsion calculations for single column bents.  Included ability to add additional DL and LL moments at top of column.  Significant change to sign convention for application of transvers forces and moments - now handles offset columns.</t>
  </si>
  <si>
    <t>Rev_5 - J59 and K59, Removed Sign reversal based on direction of curve.</t>
  </si>
  <si>
    <t>Rev_5 - J34 and K34, Removed Sign reversal based on direction of curve.</t>
  </si>
  <si>
    <t>(Positive Moment is to the right)</t>
  </si>
  <si>
    <t>Rev_5 - C17, removed curve direction test from offset direction</t>
  </si>
  <si>
    <t>Rev_5 - C20, removed curve direction test from offset direction</t>
  </si>
  <si>
    <t>Rev_5 - Changed "Outside" to "Rightmost"</t>
  </si>
  <si>
    <t>Rev_5 - Changed "Inside" to "Leftmost"</t>
  </si>
  <si>
    <t>Number of Lanes to Right of Column Centerline =</t>
  </si>
  <si>
    <t>Number of Lanes to Left of Column Centerline =</t>
  </si>
  <si>
    <t>Rev_5 - Changed "for Outside Loading" to "to Right of Column Centerline"</t>
  </si>
  <si>
    <t>Rev_5 - Changed "for Inside Loading" to "to Left of Column Centerline"</t>
  </si>
  <si>
    <r>
      <t xml:space="preserve">Lanes pushed to Right Face of Rail </t>
    </r>
    <r>
      <rPr>
        <i/>
        <sz val="10"/>
        <rFont val="Arial"/>
        <family val="2"/>
      </rPr>
      <t>(Note: Lanes numbered Right to Left)</t>
    </r>
  </si>
  <si>
    <r>
      <t xml:space="preserve">Lanes pushed to Left Face of Rail </t>
    </r>
    <r>
      <rPr>
        <i/>
        <sz val="10"/>
        <rFont val="Arial"/>
        <family val="2"/>
      </rPr>
      <t>(Note: Lanes numbered Left to Right)</t>
    </r>
  </si>
  <si>
    <t>Rev_5 - Changed "Outside of curve" to "Right Face of Rail"</t>
  </si>
  <si>
    <t>Rev_5 - Changed "Inside of curve" to "Left Face of Rail"</t>
  </si>
  <si>
    <t>Rev_5 - Changed sign convention from inside/outside to left/right</t>
  </si>
  <si>
    <t>(Positive Moment toward forward span)</t>
  </si>
  <si>
    <t>Rev_5 - D39:D58, Revised formulas, reversed sign convention.</t>
  </si>
  <si>
    <t>Rev_5 - D14:D33, Revised formulas, reversed sign convention.</t>
  </si>
  <si>
    <t>Rev_5 - Changed error about Offsett column to Note</t>
  </si>
  <si>
    <t>Rev_5 - List column offset distance</t>
  </si>
  <si>
    <t xml:space="preserve">ft          </t>
  </si>
  <si>
    <t>Rev_5 - Add note about sign convention</t>
  </si>
  <si>
    <r>
      <t>BR</t>
    </r>
    <r>
      <rPr>
        <sz val="10"/>
        <rFont val="Arial"/>
        <family val="2"/>
      </rPr>
      <t xml:space="preserve"> (Rightmost Lanes, Both Spans)</t>
    </r>
  </si>
  <si>
    <r>
      <t>BR</t>
    </r>
    <r>
      <rPr>
        <sz val="10"/>
        <rFont val="Arial"/>
        <family val="2"/>
      </rPr>
      <t xml:space="preserve"> (Rightmost Lanes, Longest Span)</t>
    </r>
  </si>
  <si>
    <r>
      <t>BR</t>
    </r>
    <r>
      <rPr>
        <sz val="10"/>
        <rFont val="Arial"/>
        <family val="2"/>
      </rPr>
      <t xml:space="preserve"> (Leftmost Lanes, Longest Span)</t>
    </r>
  </si>
  <si>
    <r>
      <t>BR</t>
    </r>
    <r>
      <rPr>
        <sz val="10"/>
        <rFont val="Arial"/>
        <family val="2"/>
      </rPr>
      <t xml:space="preserve"> (Leftmost Lanes, Both Spans)</t>
    </r>
  </si>
  <si>
    <r>
      <t>CE</t>
    </r>
    <r>
      <rPr>
        <sz val="10"/>
        <rFont val="Arial"/>
        <family val="2"/>
      </rPr>
      <t xml:space="preserve"> (Rightmost Lanes)</t>
    </r>
  </si>
  <si>
    <r>
      <t>CE</t>
    </r>
    <r>
      <rPr>
        <sz val="10"/>
        <rFont val="Arial"/>
        <family val="2"/>
      </rPr>
      <t xml:space="preserve"> (Leftmost Lanes)</t>
    </r>
  </si>
  <si>
    <r>
      <t>IM</t>
    </r>
    <r>
      <rPr>
        <sz val="10"/>
        <rFont val="Arial"/>
        <family val="2"/>
      </rPr>
      <t xml:space="preserve"> (Rightmost Lanes, Both Spans)</t>
    </r>
  </si>
  <si>
    <r>
      <t>IM</t>
    </r>
    <r>
      <rPr>
        <sz val="10"/>
        <rFont val="Arial"/>
        <family val="2"/>
      </rPr>
      <t xml:space="preserve"> (Leftmost Lanes, Both Spans)</t>
    </r>
  </si>
  <si>
    <r>
      <t>IM</t>
    </r>
    <r>
      <rPr>
        <sz val="10"/>
        <rFont val="Arial"/>
        <family val="2"/>
      </rPr>
      <t xml:space="preserve"> (Rightmost Lanes, Longest Span)</t>
    </r>
  </si>
  <si>
    <r>
      <t>IM</t>
    </r>
    <r>
      <rPr>
        <sz val="10"/>
        <rFont val="Arial"/>
        <family val="2"/>
      </rPr>
      <t xml:space="preserve"> (Leftmost Lanes, Longest Span)</t>
    </r>
  </si>
  <si>
    <r>
      <t>LL</t>
    </r>
    <r>
      <rPr>
        <sz val="10"/>
        <rFont val="Arial"/>
        <family val="2"/>
      </rPr>
      <t xml:space="preserve"> (Rightmost Lanes, Both Spans)</t>
    </r>
  </si>
  <si>
    <r>
      <t>LL</t>
    </r>
    <r>
      <rPr>
        <sz val="10"/>
        <rFont val="Arial"/>
        <family val="2"/>
      </rPr>
      <t xml:space="preserve"> (Leftmost Lanes, Both Spans)</t>
    </r>
  </si>
  <si>
    <r>
      <t>LL</t>
    </r>
    <r>
      <rPr>
        <sz val="10"/>
        <rFont val="Arial"/>
        <family val="2"/>
      </rPr>
      <t xml:space="preserve"> (Rightmost Lanes, Longest Span)</t>
    </r>
  </si>
  <si>
    <r>
      <t>LL</t>
    </r>
    <r>
      <rPr>
        <sz val="10"/>
        <rFont val="Arial"/>
        <family val="2"/>
      </rPr>
      <t xml:space="preserve"> (Leftmost Lanes, Longest Span)</t>
    </r>
  </si>
  <si>
    <t>IM (Rightmost Lanes, Both Spans) =</t>
  </si>
  <si>
    <t>IM (Leftmost Lanes, Both Spans) =</t>
  </si>
  <si>
    <t>IM (Rightmost Lanes, Longest Span) =</t>
  </si>
  <si>
    <t>IM (Leftmost Lanes, Longest Span) =</t>
  </si>
  <si>
    <t>LL (Rightmost Lanes, Both Spans) =</t>
  </si>
  <si>
    <t>LL (Leftmost Lanes, Both Spans) =</t>
  </si>
  <si>
    <t>LL (Rightmost Lanes, Longest Span) =</t>
  </si>
  <si>
    <t>LL (Leftmost Lanes, Longest Span) =</t>
  </si>
  <si>
    <t>Rev_5 - Changed to Rightmost</t>
  </si>
  <si>
    <t>Rev_5 - set sign of force based on curve direction, added ABS to Col-Y Force</t>
  </si>
  <si>
    <t>Rev_5 - Added line for Leftmost lanes</t>
  </si>
  <si>
    <t>Rev_5 - Changed to Rightmost, Ignore when curve is opposite lane placement</t>
  </si>
  <si>
    <t>Rev_5 - Added line for Leftmost lanes, ignore when curve direction is opposite lane placement</t>
  </si>
  <si>
    <t>Rev_5 - Simplified sign of axial load due to transverse force</t>
  </si>
  <si>
    <t>Rev_5 - Removed note about direction of Wind</t>
  </si>
  <si>
    <t>WL and WS are shown with Positive sign.  Wind direction will be determined on a case by case basis to produce maximum effects.</t>
  </si>
  <si>
    <r>
      <t>WS-Uplift</t>
    </r>
    <r>
      <rPr>
        <sz val="10"/>
        <rFont val="Arial"/>
        <family val="2"/>
      </rPr>
      <t xml:space="preserve"> (Wind from Left)</t>
    </r>
  </si>
  <si>
    <r>
      <t>WS-Uplift</t>
    </r>
    <r>
      <rPr>
        <sz val="10"/>
        <rFont val="Arial"/>
        <family val="2"/>
      </rPr>
      <t xml:space="preserve"> (Wind from Right)</t>
    </r>
  </si>
  <si>
    <t>Rev_5 -Modified to acount for curvedirection when no offset</t>
  </si>
  <si>
    <t>CurveDirections</t>
  </si>
  <si>
    <t>Tx54</t>
  </si>
  <si>
    <t>Tx62</t>
  </si>
  <si>
    <t>Tx70</t>
  </si>
  <si>
    <t>3.11 - Revised location of cutoff for moment at face of column</t>
  </si>
  <si>
    <t>4.0 - Incorporated - TX Girders and revised cells in inverted-tee tab for lane 3 and 4 location description.</t>
  </si>
  <si>
    <t>Live Load Distributed Through Forward Span Beams</t>
  </si>
  <si>
    <t>Bm self wt =</t>
  </si>
  <si>
    <t>SSR</t>
  </si>
  <si>
    <t>Right</t>
  </si>
  <si>
    <t>Contributing Slab Width</t>
  </si>
  <si>
    <t>Slab Load</t>
  </si>
  <si>
    <t>Bm       Self Wt</t>
  </si>
  <si>
    <t>k/lane</t>
  </si>
  <si>
    <t>Anly Option</t>
  </si>
  <si>
    <t>ΣDC (left) =</t>
  </si>
  <si>
    <t>ΣDC (right) =</t>
  </si>
  <si>
    <t>ΣDW (left) =</t>
  </si>
  <si>
    <t>ΣDW (right) =</t>
  </si>
  <si>
    <t>Lane 1</t>
  </si>
  <si>
    <t>Unfactored Dead Loads</t>
  </si>
  <si>
    <t>This sheet applies only to two-column inverted tee bent caps.</t>
  </si>
  <si>
    <r>
      <t xml:space="preserve">S </t>
    </r>
    <r>
      <rPr>
        <sz val="10"/>
        <rFont val="Arial"/>
        <family val="2"/>
      </rPr>
      <t>=</t>
    </r>
  </si>
  <si>
    <t>CL Column to CL Lane 1</t>
  </si>
  <si>
    <t>Unfactored Live Loads (per lane)</t>
  </si>
  <si>
    <t>Multiple Presence Factors - Lanes</t>
  </si>
  <si>
    <t xml:space="preserve">Load Factor for </t>
  </si>
  <si>
    <t>DW</t>
  </si>
  <si>
    <t>----------- Loads -----------</t>
  </si>
  <si>
    <t>DC Loads</t>
  </si>
  <si>
    <t>DW Loads</t>
  </si>
  <si>
    <t>ConcBmDC-Bk-1</t>
  </si>
  <si>
    <t>ConcBmDC-Bk-2</t>
  </si>
  <si>
    <t>ConcBmDC-Bk-3</t>
  </si>
  <si>
    <t>ConcBmDC-Bk-4</t>
  </si>
  <si>
    <t>ConcBmDC-Bk-5</t>
  </si>
  <si>
    <t>ConcBmDC-Bk-6</t>
  </si>
  <si>
    <t>ConcBmDC-Bk-7</t>
  </si>
  <si>
    <t>ConcBmDC-Bk-8</t>
  </si>
  <si>
    <t>ConcBmDC-Bk-9</t>
  </si>
  <si>
    <t>ConcBmDC-Bk-10</t>
  </si>
  <si>
    <t>ConcBmDC-Bk-11</t>
  </si>
  <si>
    <t>ConcBmDC-Bk-12</t>
  </si>
  <si>
    <t>ConcBmDC-Bk-13</t>
  </si>
  <si>
    <t>ConcBmDC-Bk-14</t>
  </si>
  <si>
    <t>ConcBmDC-Bk-15</t>
  </si>
  <si>
    <t>ConcBmDC-Bk-16</t>
  </si>
  <si>
    <t>ConcBmDC-Bk-17</t>
  </si>
  <si>
    <t>ConcBmDC-Bk-18</t>
  </si>
  <si>
    <t>ConcBmDC-Bk-19</t>
  </si>
  <si>
    <t>ConcBmDC-Bk-20</t>
  </si>
  <si>
    <t>ConcBmDC-Fd-1</t>
  </si>
  <si>
    <t>ConcBmDC-Fd-2</t>
  </si>
  <si>
    <t>ConcBmDC-Fd-3</t>
  </si>
  <si>
    <t>ConcBmDC-Fd-4</t>
  </si>
  <si>
    <t>ConcBmDC-Fd-5</t>
  </si>
  <si>
    <t>ConcBmDC-Fd-6</t>
  </si>
  <si>
    <t>ConcBmDC-Fd-7</t>
  </si>
  <si>
    <t>ConcBmDC-Fd-8</t>
  </si>
  <si>
    <t>ConcBmDC-Fd-9</t>
  </si>
  <si>
    <t>ConcBmDC-Fd-10</t>
  </si>
  <si>
    <t>ConcBmDC-Fd-11</t>
  </si>
  <si>
    <t>ConcBmDC-Fd-12</t>
  </si>
  <si>
    <t>ConcBmDC-Fd-13</t>
  </si>
  <si>
    <t>ConcBmDC-Fd-14</t>
  </si>
  <si>
    <t>ConcBmDC-Fd-15</t>
  </si>
  <si>
    <t>ConcBmDC-Fd-16</t>
  </si>
  <si>
    <t>ConcBmDC-Fd-17</t>
  </si>
  <si>
    <t>ConcBmDC-Fd-18</t>
  </si>
  <si>
    <t>ConcBmDC-Fd-19</t>
  </si>
  <si>
    <t>ConcBmDC-Fd-20</t>
  </si>
  <si>
    <t>ConcBmDW-Bk-1</t>
  </si>
  <si>
    <t>ConcBmDW-Bk-2</t>
  </si>
  <si>
    <t>ConcBmDW-Bk-3</t>
  </si>
  <si>
    <t>ConcBmDW-Bk-4</t>
  </si>
  <si>
    <t>Roadway Curves:</t>
  </si>
  <si>
    <r>
      <t xml:space="preserve">ft </t>
    </r>
    <r>
      <rPr>
        <sz val="9"/>
        <rFont val="Arial Narrow"/>
        <family val="2"/>
      </rPr>
      <t>("-" when e.o.s. is left of pgl)</t>
    </r>
  </si>
  <si>
    <t>ConcBmDW-Bk-5</t>
  </si>
  <si>
    <t>ConcBmDW-Bk-6</t>
  </si>
  <si>
    <t>ConcBmDW-Bk-7</t>
  </si>
  <si>
    <t>ConcBmDW-Bk-8</t>
  </si>
  <si>
    <t>ConcBmDW-Bk-9</t>
  </si>
  <si>
    <t>ConcBmDW-Bk-10</t>
  </si>
  <si>
    <t>ConcBmDW-Bk-11</t>
  </si>
  <si>
    <t>ConcBmDW-Bk-12</t>
  </si>
  <si>
    <t>ConcBmDW-Bk-13</t>
  </si>
  <si>
    <t>ConcBmDW-Bk-14</t>
  </si>
  <si>
    <t>ConcBmDW-Bk-15</t>
  </si>
  <si>
    <t>ConcBmDW-Bk-16</t>
  </si>
  <si>
    <t>ConcBmDW-Bk-17</t>
  </si>
  <si>
    <t>ConcBmDW-Bk-18</t>
  </si>
  <si>
    <t>ConcBmDW-Bk-19</t>
  </si>
  <si>
    <t>ConcBmDW-Bk-20</t>
  </si>
  <si>
    <t>ConcBmDW-Fd-1</t>
  </si>
  <si>
    <t>ConcBmDW-Fd-2</t>
  </si>
  <si>
    <t>ConcBmDW-Fd-3</t>
  </si>
  <si>
    <t>ConcBmDW-Fd-4</t>
  </si>
  <si>
    <t>ConcBmDW-Fd-5</t>
  </si>
  <si>
    <t>ConcBmDW-Fd-6</t>
  </si>
  <si>
    <t>ConcBmDW-Fd-7</t>
  </si>
  <si>
    <t>ConcBmDW-Fd-8</t>
  </si>
  <si>
    <t>ConcBmDW-Fd-9</t>
  </si>
  <si>
    <t>ConcBmDW-Fd-10</t>
  </si>
  <si>
    <t>ConcBmDW-Fd-11</t>
  </si>
  <si>
    <t>ConcBmDW-Fd-12</t>
  </si>
  <si>
    <t>ConcBmDW-Fd-13</t>
  </si>
  <si>
    <t>ConcBmDW-Fd-14</t>
  </si>
  <si>
    <t>ConcBmDW-Fd-15</t>
  </si>
  <si>
    <t>ConcBmDW-Fd-16</t>
  </si>
  <si>
    <t>ConcBmDW-Fd-17</t>
  </si>
  <si>
    <t>ConcBmDW-Fd-18</t>
  </si>
  <si>
    <t>ConcBmDW-Fd-19</t>
  </si>
  <si>
    <t>ConcBmDW-Fd-20</t>
  </si>
  <si>
    <t>Total DC+DW =</t>
  </si>
  <si>
    <t>Column / Capital Width =</t>
  </si>
  <si>
    <t>Column Offset =</t>
  </si>
  <si>
    <t>Dist. From Left Col</t>
  </si>
  <si>
    <t>Dist. To Right Col</t>
  </si>
  <si>
    <t>Shear at Outer Face</t>
  </si>
  <si>
    <t>Shear at Inner Face</t>
  </si>
  <si>
    <t>Of Left Column (k)</t>
  </si>
  <si>
    <t>Of Right Column (k)</t>
  </si>
  <si>
    <t>Backward Span - DC Only</t>
  </si>
  <si>
    <t>Forward Span - DC Only</t>
  </si>
  <si>
    <t>Backward Span - DW Only</t>
  </si>
  <si>
    <t>Forward Span - DW Only</t>
  </si>
  <si>
    <t>Distance to Critical Face =</t>
  </si>
  <si>
    <t>Total Number of Beams =</t>
  </si>
  <si>
    <t xml:space="preserve">Totals Backward Span =  </t>
  </si>
  <si>
    <t xml:space="preserve">Totals Forward Span =  </t>
  </si>
  <si>
    <r>
      <t>M*</t>
    </r>
    <r>
      <rPr>
        <vertAlign val="subscript"/>
        <sz val="10"/>
        <rFont val="Arial"/>
        <family val="2"/>
      </rPr>
      <t xml:space="preserve"> @ CL Column</t>
    </r>
  </si>
  <si>
    <t>Beam Reactions on Critical Side</t>
  </si>
  <si>
    <t>Both Spans LL</t>
  </si>
  <si>
    <r>
      <t>V</t>
    </r>
    <r>
      <rPr>
        <vertAlign val="subscript"/>
        <sz val="10"/>
        <rFont val="Arial"/>
        <family val="2"/>
      </rPr>
      <t>DL</t>
    </r>
  </si>
  <si>
    <t>LL</t>
  </si>
  <si>
    <t>Both Spans</t>
  </si>
  <si>
    <t>Live Load Distribution For Single Column Bent Cap Analysis</t>
  </si>
  <si>
    <t>LL =</t>
  </si>
  <si>
    <t>Avg Spa</t>
  </si>
  <si>
    <t>Design bridge rail width =</t>
  </si>
  <si>
    <t>Design Lane =</t>
  </si>
  <si>
    <t>DF</t>
  </si>
  <si>
    <t>OS Bm Spa</t>
  </si>
  <si>
    <t>R-LL</t>
  </si>
  <si>
    <t>R-IM</t>
  </si>
  <si>
    <t>IM</t>
  </si>
  <si>
    <t>Forward Span</t>
  </si>
  <si>
    <t>Back Span Only</t>
  </si>
  <si>
    <t>Forward Span Only</t>
  </si>
  <si>
    <t>Backward Span</t>
  </si>
  <si>
    <t>Both Spans IM</t>
  </si>
  <si>
    <r>
      <t>M</t>
    </r>
    <r>
      <rPr>
        <vertAlign val="subscript"/>
        <sz val="10"/>
        <rFont val="Arial"/>
        <family val="2"/>
      </rPr>
      <t>DW</t>
    </r>
  </si>
  <si>
    <r>
      <t>M</t>
    </r>
    <r>
      <rPr>
        <vertAlign val="subscript"/>
        <sz val="10"/>
        <rFont val="Arial"/>
        <family val="2"/>
      </rPr>
      <t>LL(Both Span)</t>
    </r>
  </si>
  <si>
    <r>
      <t>M</t>
    </r>
    <r>
      <rPr>
        <vertAlign val="subscript"/>
        <sz val="10"/>
        <rFont val="Arial"/>
        <family val="2"/>
      </rPr>
      <t>IM(Both Span)</t>
    </r>
  </si>
  <si>
    <t>Moment at Face of Column Due to Beam Reactions</t>
  </si>
  <si>
    <t>Equations:</t>
  </si>
  <si>
    <t>Bm Self Wt = bm wt per foot x beam length / 2</t>
  </si>
  <si>
    <t>Contributing Slab Width = average beam spacing on either side of beam</t>
  </si>
  <si>
    <t>Slab Load = 1.05 x 0.150 kcf x slab thickness x contributing slab width x span length at bm / 2</t>
  </si>
  <si>
    <t>Rails (or Sdwlk) = rail load (or Sdwlk load)  x distribution defined in "Rails" x span length at bm / 2</t>
  </si>
  <si>
    <t>Total DC = bm self wt + slab load + rails + sidewalk load</t>
  </si>
  <si>
    <t>Total DW = (WS x contributing slab width + utilities) x span length at beam / 2</t>
  </si>
  <si>
    <t>Increment length =</t>
  </si>
  <si>
    <t>No of Incr. for Live Load Model =</t>
  </si>
  <si>
    <t>k/incr</t>
  </si>
  <si>
    <t>CAP18 Station</t>
  </si>
  <si>
    <t>Dist. from left end of</t>
  </si>
  <si>
    <t>Bent</t>
  </si>
  <si>
    <t>Slab</t>
  </si>
  <si>
    <t>Cap18.exe</t>
  </si>
  <si>
    <t>This tool can accommodate the design of bents with up to 10 columns.  CAP18 can be used for the analysis of bents with up to 20 columns.  Moment control points are specified at each beam and column.  Shear control points are specified at no closer that two stations either side of every support within the limitations of CAP18.  All control points can be overridden by the user.  All other limitations imposed in this spreadsheet are consistent with those of CAP18.  Under extreme cases when a column is under uplift, values from the CAP18 output may not be imported correctly.  If this occurs manual entry of these values is required in columns S thru Z of the CAP18 Out(2) tab.</t>
  </si>
  <si>
    <r>
      <t>M</t>
    </r>
    <r>
      <rPr>
        <vertAlign val="subscript"/>
        <sz val="10"/>
        <rFont val="Arial"/>
        <family val="2"/>
      </rPr>
      <t>DC</t>
    </r>
  </si>
  <si>
    <t>Left</t>
  </si>
  <si>
    <t>Overhang</t>
  </si>
  <si>
    <t>Wt/ft</t>
  </si>
  <si>
    <t>Shear</t>
  </si>
  <si>
    <t>Shear at Face of Column Due to Beam Reactions</t>
  </si>
  <si>
    <r>
      <t>V</t>
    </r>
    <r>
      <rPr>
        <vertAlign val="subscript"/>
        <sz val="10"/>
        <rFont val="Arial"/>
        <family val="2"/>
      </rPr>
      <t>DC</t>
    </r>
  </si>
  <si>
    <r>
      <t>V</t>
    </r>
    <r>
      <rPr>
        <vertAlign val="subscript"/>
        <sz val="10"/>
        <rFont val="Arial"/>
        <family val="2"/>
      </rPr>
      <t>DW</t>
    </r>
  </si>
  <si>
    <r>
      <t>V</t>
    </r>
    <r>
      <rPr>
        <vertAlign val="subscript"/>
        <sz val="10"/>
        <rFont val="Arial"/>
        <family val="2"/>
      </rPr>
      <t>LLBoth</t>
    </r>
  </si>
  <si>
    <r>
      <t>V</t>
    </r>
    <r>
      <rPr>
        <vertAlign val="subscript"/>
        <sz val="10"/>
        <rFont val="Arial"/>
        <family val="2"/>
      </rPr>
      <t>IMBoth</t>
    </r>
  </si>
  <si>
    <r>
      <t>DC</t>
    </r>
    <r>
      <rPr>
        <vertAlign val="subscript"/>
        <sz val="10"/>
        <rFont val="Arial"/>
        <family val="2"/>
      </rPr>
      <t>bms</t>
    </r>
  </si>
  <si>
    <t>Shear &amp; Moment at Face of Column Due to Cap and Earwall</t>
  </si>
  <si>
    <t>Earwall-V</t>
  </si>
  <si>
    <t>Earwall-M</t>
  </si>
  <si>
    <t>Total Unfactored Shear and Moment at Face of Column</t>
  </si>
  <si>
    <t>Vu =</t>
  </si>
  <si>
    <t>Mu =</t>
  </si>
  <si>
    <t>Load Factors:</t>
  </si>
  <si>
    <t>Factored Loads:</t>
  </si>
  <si>
    <t>Summary of Unfactored Shears and Moments at Face of Column</t>
  </si>
  <si>
    <t>DC:</t>
  </si>
  <si>
    <t>DW:</t>
  </si>
  <si>
    <t>LL:</t>
  </si>
  <si>
    <t>IM:</t>
  </si>
  <si>
    <t>Service Loads:</t>
  </si>
  <si>
    <t>Mws =</t>
  </si>
  <si>
    <r>
      <t>M</t>
    </r>
    <r>
      <rPr>
        <b/>
        <vertAlign val="subscript"/>
        <sz val="10"/>
        <rFont val="Arial"/>
        <family val="2"/>
      </rPr>
      <t>DC+DW</t>
    </r>
    <r>
      <rPr>
        <b/>
        <sz val="10"/>
        <rFont val="Arial"/>
        <family val="2"/>
      </rPr>
      <t xml:space="preserve"> =</t>
    </r>
  </si>
  <si>
    <t>Service Load:</t>
  </si>
  <si>
    <t xml:space="preserve">The following calculations are for the analysis and design of a rectangular bent cap (single or </t>
  </si>
  <si>
    <t>This page specifies the bridge geometry for a roadway of varying deck width.</t>
  </si>
  <si>
    <t>Design width for the backward and forward span are based on engineering judgement.</t>
  </si>
  <si>
    <t>Spacing Shown is Along Bent Centerline</t>
  </si>
  <si>
    <t xml:space="preserve">Distance from PGL to Beam #1 = </t>
  </si>
  <si>
    <t>Dist from Crit. Face</t>
  </si>
  <si>
    <t>Brg Seat Width</t>
  </si>
  <si>
    <r>
      <t>(Span / (2π R)) x 360</t>
    </r>
    <r>
      <rPr>
        <vertAlign val="superscript"/>
        <sz val="9"/>
        <rFont val="Arial"/>
        <family val="2"/>
      </rPr>
      <t>o</t>
    </r>
  </si>
  <si>
    <t>Maximum Rail Height (of all rails) =</t>
  </si>
  <si>
    <t>Slab (left bm) =</t>
  </si>
  <si>
    <t>Slab (rt bm) =</t>
  </si>
  <si>
    <t>Total DC on bent for span =</t>
  </si>
  <si>
    <t>Total DW on bent (Wearing Surface &amp; Utilities):</t>
  </si>
  <si>
    <t>Distance to Center of Column</t>
  </si>
  <si>
    <t>Unfactored Transverse Column Dead Load Moments</t>
  </si>
  <si>
    <t>Looking upstation, rdwy curves</t>
  </si>
  <si>
    <t>Is super-elevation provided?</t>
  </si>
  <si>
    <t>Mr =</t>
  </si>
  <si>
    <t>Beam 1</t>
  </si>
  <si>
    <t>Dead Load Geometry Relative to Columns</t>
  </si>
  <si>
    <t>multi-column). A structural analysis is performed to obtain design moments and shears which are then used</t>
  </si>
  <si>
    <t>in the design of the bent cap.  In addition, loads are summarized to aid in the design of columns.</t>
  </si>
  <si>
    <t>All Good?</t>
  </si>
  <si>
    <t>Consider only the 5% of Truck + lane load in accordance with the TxDOT LRFD BDM</t>
  </si>
  <si>
    <r>
      <t>Min S</t>
    </r>
    <r>
      <rPr>
        <vertAlign val="subscript"/>
        <sz val="8"/>
        <color indexed="18"/>
        <rFont val="Arial"/>
        <family val="2"/>
      </rPr>
      <t>max</t>
    </r>
    <r>
      <rPr>
        <sz val="8"/>
        <color indexed="18"/>
        <rFont val="Arial"/>
        <family val="2"/>
      </rPr>
      <t xml:space="preserve"> &gt; 4inches</t>
    </r>
  </si>
  <si>
    <t>Flexure Design</t>
  </si>
  <si>
    <t>Shear Design</t>
  </si>
  <si>
    <t>CAP18 Analysis Results - M &amp; V</t>
  </si>
  <si>
    <t xml:space="preserve">Unique Description: </t>
  </si>
  <si>
    <t>Structure Name or other descriptive run information</t>
  </si>
  <si>
    <t>Ver:</t>
  </si>
  <si>
    <t xml:space="preserve">                                            CAP18 Input</t>
  </si>
  <si>
    <t>|Mu| (k-ft)</t>
  </si>
  <si>
    <t>|Vu| (k)</t>
  </si>
  <si>
    <t>θ (deg)</t>
  </si>
  <si>
    <r>
      <t>V</t>
    </r>
    <r>
      <rPr>
        <vertAlign val="subscript"/>
        <sz val="10"/>
        <rFont val="Arial"/>
        <family val="2"/>
      </rPr>
      <t xml:space="preserve">c </t>
    </r>
    <r>
      <rPr>
        <sz val="10"/>
        <rFont val="Arial"/>
        <family val="2"/>
      </rPr>
      <t xml:space="preserve"> (k)</t>
    </r>
  </si>
  <si>
    <t>Vn rqd (k)</t>
  </si>
  <si>
    <t>Vs rqd (k)</t>
  </si>
  <si>
    <r>
      <t>Not less than V</t>
    </r>
    <r>
      <rPr>
        <vertAlign val="subscript"/>
        <sz val="10"/>
        <rFont val="Arial"/>
        <family val="2"/>
      </rPr>
      <t>u</t>
    </r>
    <r>
      <rPr>
        <sz val="10"/>
        <rFont val="Arial"/>
        <family val="2"/>
      </rPr>
      <t>d</t>
    </r>
    <r>
      <rPr>
        <vertAlign val="subscript"/>
        <sz val="10"/>
        <rFont val="Arial"/>
        <family val="2"/>
      </rPr>
      <t>v</t>
    </r>
  </si>
  <si>
    <t>Live Loading Distributed Through Forward Span Beams</t>
  </si>
  <si>
    <t>Run Solver... θ - θ(trial)</t>
  </si>
  <si>
    <t>~  Quick Checks  ~</t>
  </si>
  <si>
    <t>Interpolation -----&gt;--&gt;-&gt;</t>
  </si>
  <si>
    <t>Future Wearing Surface Weight =</t>
  </si>
  <si>
    <t>Sidewalks</t>
  </si>
  <si>
    <t>Width =</t>
  </si>
  <si>
    <t>Thickness =</t>
  </si>
  <si>
    <t>Density =</t>
  </si>
  <si>
    <t>Load =</t>
  </si>
  <si>
    <t>kcf</t>
  </si>
  <si>
    <t>Lft(slab,rail,sdwlk) =</t>
  </si>
  <si>
    <t>Rt(slab,rail,sdwlk) =</t>
  </si>
  <si>
    <t>PR3</t>
  </si>
  <si>
    <t>B3</t>
  </si>
  <si>
    <t xml:space="preserve">Checks </t>
  </si>
  <si>
    <t>CAP18</t>
  </si>
  <si>
    <t>Skip</t>
  </si>
  <si>
    <t>Span Length at Beam</t>
  </si>
  <si>
    <t>Beam Length</t>
  </si>
  <si>
    <t>Design Spa</t>
  </si>
  <si>
    <r>
      <t>Spa</t>
    </r>
    <r>
      <rPr>
        <vertAlign val="subscript"/>
        <sz val="10"/>
        <rFont val="Arial Narrow"/>
        <family val="2"/>
      </rPr>
      <t>(max)</t>
    </r>
  </si>
  <si>
    <t>Minimum required spacing =</t>
  </si>
  <si>
    <t>Spa For Design &amp; Shear Diagram:</t>
  </si>
  <si>
    <t>Optimum Spacing</t>
  </si>
  <si>
    <t>Misc Cap Wt from Aesthetics:</t>
  </si>
  <si>
    <t>Number of Spacings:</t>
  </si>
  <si>
    <t>{At longest beam}</t>
  </si>
  <si>
    <t>Centrifugal &amp; Braking Forces</t>
  </si>
  <si>
    <t xml:space="preserve">f = </t>
  </si>
  <si>
    <t>Controlling Design Speed =</t>
  </si>
  <si>
    <t xml:space="preserve">v = </t>
  </si>
  <si>
    <t>ft/s</t>
  </si>
  <si>
    <t xml:space="preserve">g = </t>
  </si>
  <si>
    <t>ft/s²</t>
  </si>
  <si>
    <t xml:space="preserve">R = </t>
  </si>
  <si>
    <t>Peter Quinn, Duncan Paterson</t>
  </si>
  <si>
    <t>General Use</t>
  </si>
  <si>
    <t>{estimated as radius along CL Rdwy}</t>
  </si>
  <si>
    <t xml:space="preserve">C = </t>
  </si>
  <si>
    <t xml:space="preserve">CE (1 lane) = </t>
  </si>
  <si>
    <t xml:space="preserve">CE (2 lanes) = </t>
  </si>
  <si>
    <t xml:space="preserve">CE (3 lanes) = </t>
  </si>
  <si>
    <t xml:space="preserve">CE (&gt;3 lanes) = </t>
  </si>
  <si>
    <t>Braking Force: BR     - AASHTO LRFD 3.6.4</t>
  </si>
  <si>
    <t xml:space="preserve">25% of axle wt = </t>
  </si>
  <si>
    <t>Both Spans Loaded</t>
  </si>
  <si>
    <t xml:space="preserve">BR (1 lane) = </t>
  </si>
  <si>
    <t xml:space="preserve">BR (2 lanes) = </t>
  </si>
  <si>
    <t xml:space="preserve">BR (3 lanes) = </t>
  </si>
  <si>
    <t xml:space="preserve">BR (&gt;3 lanes) = </t>
  </si>
  <si>
    <t>Long Span Loaded</t>
  </si>
  <si>
    <r>
      <t>2.03 - Revised Check of Stirrup Spacing to be "=IF(</t>
    </r>
    <r>
      <rPr>
        <b/>
        <sz val="10"/>
        <rFont val="Arial"/>
        <family val="2"/>
      </rPr>
      <t>OR</t>
    </r>
    <r>
      <rPr>
        <sz val="10"/>
        <rFont val="Arial"/>
        <family val="2"/>
      </rPr>
      <t>(BarsSminspa&lt;4,BarsSminspa-Stirrup*VLOOKUP(BarS,BarTable,2,FALSE)&lt;3),"NG - 4'' Minimum Spacing and 3'' Minimum Clr Required","OK")" instead of "=IF(</t>
    </r>
    <r>
      <rPr>
        <b/>
        <sz val="10"/>
        <rFont val="Arial"/>
        <family val="2"/>
      </rPr>
      <t>AND</t>
    </r>
    <r>
      <rPr>
        <sz val="10"/>
        <rFont val="Arial"/>
        <family val="2"/>
      </rPr>
      <t>(BarsSminspa&lt;4,BarsSminspa-Stirrup*VLOOKUP(BarS,BarTable,2,FALSE)&lt;3),"NG - 4'' Minimum Spacing and 3'' Minimum Clr Required","OK")"</t>
    </r>
  </si>
  <si>
    <t>Wind Loads</t>
  </si>
  <si>
    <t>Distance from PGL to Left Edge of Slab =</t>
  </si>
  <si>
    <t>ΔRight =</t>
  </si>
  <si>
    <t>ΔLeft =</t>
  </si>
  <si>
    <t>Radius at Left bm =</t>
  </si>
  <si>
    <t>ΔLeft and ΔRight represent the displacement of the bent CL at the outside bms due to the skewed bent condition. Δθ are the changes in angle due to this Δleft and right. The values are approximate and may be incorrect for large skews.</t>
  </si>
  <si>
    <t>Δθ Left =</t>
  </si>
  <si>
    <t>Δθ Right =</t>
  </si>
  <si>
    <t>(sign matches fwd span)</t>
  </si>
  <si>
    <t>(sign matches back span)</t>
  </si>
  <si>
    <t>Backward Span Length at Left Beam* =</t>
  </si>
  <si>
    <t>Forward Span Length at Left Beam* =</t>
  </si>
  <si>
    <t>Backward Span Length at Right Beam* =</t>
  </si>
  <si>
    <t>Forward Span Length at Right Beam* =</t>
  </si>
  <si>
    <t>Longitudinal</t>
  </si>
  <si>
    <t>15º</t>
  </si>
  <si>
    <t>30º</t>
  </si>
  <si>
    <t>45º</t>
  </si>
  <si>
    <t>Longest Span Only</t>
  </si>
  <si>
    <t>Force (kips)</t>
  </si>
  <si>
    <t>Long.</t>
  </si>
  <si>
    <t>ksf</t>
  </si>
  <si>
    <t>Right Column</t>
  </si>
  <si>
    <r>
      <t>V</t>
    </r>
    <r>
      <rPr>
        <vertAlign val="subscript"/>
        <sz val="10"/>
        <rFont val="Arial"/>
        <family val="2"/>
      </rPr>
      <t xml:space="preserve">U,EQ </t>
    </r>
    <r>
      <rPr>
        <sz val="10"/>
        <rFont val="Arial"/>
        <family val="2"/>
      </rPr>
      <t>= [V</t>
    </r>
    <r>
      <rPr>
        <vertAlign val="subscript"/>
        <sz val="10"/>
        <rFont val="Arial"/>
        <family val="2"/>
      </rPr>
      <t>U</t>
    </r>
    <r>
      <rPr>
        <vertAlign val="superscript"/>
        <sz val="10"/>
        <rFont val="Arial"/>
        <family val="2"/>
      </rPr>
      <t xml:space="preserve">2 </t>
    </r>
    <r>
      <rPr>
        <sz val="10"/>
        <rFont val="Arial"/>
        <family val="2"/>
      </rPr>
      <t>+ (0.9p</t>
    </r>
    <r>
      <rPr>
        <vertAlign val="subscript"/>
        <sz val="10"/>
        <rFont val="Arial"/>
        <family val="2"/>
      </rPr>
      <t>h</t>
    </r>
    <r>
      <rPr>
        <sz val="10"/>
        <rFont val="Arial"/>
        <family val="2"/>
      </rPr>
      <t>T</t>
    </r>
    <r>
      <rPr>
        <vertAlign val="subscript"/>
        <sz val="10"/>
        <rFont val="Arial"/>
        <family val="2"/>
      </rPr>
      <t>U</t>
    </r>
    <r>
      <rPr>
        <sz val="10"/>
        <rFont val="Arial"/>
        <family val="2"/>
      </rPr>
      <t>/2A</t>
    </r>
    <r>
      <rPr>
        <vertAlign val="subscript"/>
        <sz val="10"/>
        <rFont val="Arial"/>
        <family val="2"/>
      </rPr>
      <t>0</t>
    </r>
    <r>
      <rPr>
        <sz val="10"/>
        <rFont val="Arial"/>
        <family val="2"/>
      </rPr>
      <t>)</t>
    </r>
    <r>
      <rPr>
        <vertAlign val="superscript"/>
        <sz val="10"/>
        <rFont val="Arial"/>
        <family val="2"/>
      </rPr>
      <t>2</t>
    </r>
    <r>
      <rPr>
        <sz val="10"/>
        <rFont val="Arial"/>
        <family val="2"/>
      </rPr>
      <t>]</t>
    </r>
    <r>
      <rPr>
        <vertAlign val="superscript"/>
        <sz val="10"/>
        <rFont val="Arial"/>
        <family val="2"/>
      </rPr>
      <t xml:space="preserve">1/2 </t>
    </r>
  </si>
  <si>
    <t>Tributary Span =</t>
  </si>
  <si>
    <t>Distributed Force (klf)</t>
  </si>
  <si>
    <t>Plan Area of Superstructure (Both Spans) =</t>
  </si>
  <si>
    <t>Plan Area of Superstructure (Long Span) =</t>
  </si>
  <si>
    <t>psf</t>
  </si>
  <si>
    <t>Forces at Top of Column</t>
  </si>
  <si>
    <t>P</t>
  </si>
  <si>
    <t>DD</t>
  </si>
  <si>
    <r>
      <t>DC</t>
    </r>
    <r>
      <rPr>
        <sz val="10"/>
        <rFont val="Arial"/>
        <family val="2"/>
      </rPr>
      <t xml:space="preserve"> (Longest Span Only)</t>
    </r>
  </si>
  <si>
    <t>EH</t>
  </si>
  <si>
    <t>EL</t>
  </si>
  <si>
    <t>ES</t>
  </si>
  <si>
    <t>EV</t>
  </si>
  <si>
    <t>TU</t>
  </si>
  <si>
    <t>CR</t>
  </si>
  <si>
    <t>SH</t>
  </si>
  <si>
    <r>
      <t>BR</t>
    </r>
    <r>
      <rPr>
        <sz val="10"/>
        <rFont val="Arial"/>
        <family val="2"/>
      </rPr>
      <t xml:space="preserve"> (All Lanes, Both Spans)</t>
    </r>
  </si>
  <si>
    <r>
      <t>BR</t>
    </r>
    <r>
      <rPr>
        <sz val="10"/>
        <rFont val="Arial"/>
        <family val="2"/>
      </rPr>
      <t xml:space="preserve"> (All Lanes, Longest Span)</t>
    </r>
  </si>
  <si>
    <t>CT</t>
  </si>
  <si>
    <t>CV</t>
  </si>
  <si>
    <t>EQ</t>
  </si>
  <si>
    <t>FR</t>
  </si>
  <si>
    <t>IC</t>
  </si>
  <si>
    <r>
      <t>IM</t>
    </r>
    <r>
      <rPr>
        <sz val="10"/>
        <rFont val="Arial"/>
        <family val="2"/>
      </rPr>
      <t xml:space="preserve"> (All Lanes, Both Spans)</t>
    </r>
  </si>
  <si>
    <r>
      <t>IM</t>
    </r>
    <r>
      <rPr>
        <sz val="10"/>
        <rFont val="Arial"/>
        <family val="2"/>
      </rPr>
      <t xml:space="preserve"> (All Lanes, Longest Span)</t>
    </r>
  </si>
  <si>
    <r>
      <t>LL</t>
    </r>
    <r>
      <rPr>
        <sz val="10"/>
        <rFont val="Arial"/>
        <family val="2"/>
      </rPr>
      <t xml:space="preserve"> (All Lanes, Both Spans)</t>
    </r>
  </si>
  <si>
    <t>1.03 - Calculation for minimum cap length revised - sets min cap length for skews less then 30 degrees to leave 3" min from edge of pedestal and for skews greeter then 30 degrees sets so the bottom of beam flange is inside of edge of cap. U-beams have been adjusted to account for skewed conditions</t>
  </si>
  <si>
    <t>Background &amp; Limitations:</t>
  </si>
  <si>
    <r>
      <t>LL</t>
    </r>
    <r>
      <rPr>
        <sz val="10"/>
        <rFont val="Arial"/>
        <family val="2"/>
      </rPr>
      <t xml:space="preserve"> (All Lanes, Longest Span)</t>
    </r>
  </si>
  <si>
    <t>LS</t>
  </si>
  <si>
    <t>PL</t>
  </si>
  <si>
    <t>SE</t>
  </si>
  <si>
    <t>TG</t>
  </si>
  <si>
    <t>WA</t>
  </si>
  <si>
    <r>
      <t xml:space="preserve">WL </t>
    </r>
    <r>
      <rPr>
        <sz val="10"/>
        <rFont val="Arial"/>
        <family val="2"/>
      </rPr>
      <t>(0°)</t>
    </r>
  </si>
  <si>
    <r>
      <t xml:space="preserve">WL </t>
    </r>
    <r>
      <rPr>
        <sz val="10"/>
        <rFont val="Arial"/>
        <family val="2"/>
      </rPr>
      <t>(15°)</t>
    </r>
  </si>
  <si>
    <r>
      <t xml:space="preserve">WL </t>
    </r>
    <r>
      <rPr>
        <sz val="10"/>
        <rFont val="Arial"/>
        <family val="2"/>
      </rPr>
      <t>(30°)</t>
    </r>
  </si>
  <si>
    <r>
      <t xml:space="preserve">WL </t>
    </r>
    <r>
      <rPr>
        <sz val="10"/>
        <rFont val="Arial"/>
        <family val="2"/>
      </rPr>
      <t>(45°)</t>
    </r>
  </si>
  <si>
    <r>
      <t xml:space="preserve">WL </t>
    </r>
    <r>
      <rPr>
        <sz val="10"/>
        <rFont val="Arial"/>
        <family val="2"/>
      </rPr>
      <t>(60°)</t>
    </r>
  </si>
  <si>
    <r>
      <t xml:space="preserve">WS </t>
    </r>
    <r>
      <rPr>
        <sz val="10"/>
        <rFont val="Arial"/>
        <family val="2"/>
      </rPr>
      <t>(0°)</t>
    </r>
  </si>
  <si>
    <r>
      <t xml:space="preserve">WS </t>
    </r>
    <r>
      <rPr>
        <sz val="10"/>
        <rFont val="Arial"/>
        <family val="2"/>
      </rPr>
      <t>(15°)</t>
    </r>
  </si>
  <si>
    <r>
      <t xml:space="preserve">WS </t>
    </r>
    <r>
      <rPr>
        <sz val="10"/>
        <rFont val="Arial"/>
        <family val="2"/>
      </rPr>
      <t>(30°)</t>
    </r>
  </si>
  <si>
    <r>
      <t xml:space="preserve">WS </t>
    </r>
    <r>
      <rPr>
        <sz val="10"/>
        <rFont val="Arial"/>
        <family val="2"/>
      </rPr>
      <t>(45°)</t>
    </r>
  </si>
  <si>
    <r>
      <t xml:space="preserve">WS </t>
    </r>
    <r>
      <rPr>
        <sz val="10"/>
        <rFont val="Arial"/>
        <family val="2"/>
      </rPr>
      <t>(60°)</t>
    </r>
  </si>
  <si>
    <r>
      <t xml:space="preserve">WS </t>
    </r>
    <r>
      <rPr>
        <sz val="10"/>
        <rFont val="Arial"/>
        <family val="2"/>
      </rPr>
      <t>(Longest Span Only) (0°)</t>
    </r>
  </si>
  <si>
    <t>Back</t>
  </si>
  <si>
    <t>Fwd</t>
  </si>
  <si>
    <t>Dist. from PGL to back beam 1 (along bent) =</t>
  </si>
  <si>
    <t>Bent Cap Design - Concrete Units</t>
  </si>
  <si>
    <t xml:space="preserve">The purpose of this spreadsheet is to analyze and design rectangular or inverted-tee bent caps (single or multi-column bents) and provide top of column forces for column analysis.   For multi-column bent caps, this spreadsheet calculates girder reactions, runs CAP18 for internal cap forces (M and V), and column loads.  Single column bent caps are analyzed assuming a cantilevered section to obtain bending moment and shears at the face of the column.  The designer can then select the flexural and shear reinforcing to be used.  </t>
  </si>
  <si>
    <t>ft (bottom of cap to top of bearing build-up)</t>
  </si>
  <si>
    <t>Notes &amp; Warnings (for Geometry Data Only):</t>
  </si>
  <si>
    <r>
      <t xml:space="preserve">WS </t>
    </r>
    <r>
      <rPr>
        <sz val="10"/>
        <rFont val="Arial"/>
        <family val="2"/>
      </rPr>
      <t>(Longest Span Only) (15°)</t>
    </r>
  </si>
  <si>
    <r>
      <t xml:space="preserve">WS </t>
    </r>
    <r>
      <rPr>
        <sz val="10"/>
        <rFont val="Arial"/>
        <family val="2"/>
      </rPr>
      <t>(Longest Span Only) (30°)</t>
    </r>
  </si>
  <si>
    <r>
      <t xml:space="preserve">WS </t>
    </r>
    <r>
      <rPr>
        <sz val="10"/>
        <rFont val="Arial"/>
        <family val="2"/>
      </rPr>
      <t>(Longest Span Only) (45°)</t>
    </r>
  </si>
  <si>
    <t>Loads for Inverted Tee Design</t>
  </si>
  <si>
    <r>
      <t xml:space="preserve">WS </t>
    </r>
    <r>
      <rPr>
        <sz val="10"/>
        <rFont val="Arial"/>
        <family val="2"/>
      </rPr>
      <t>(Longest Span Only) (60°)</t>
    </r>
  </si>
  <si>
    <t>Additional Forces at Base of Column</t>
  </si>
  <si>
    <t>DC (Column Self Weight)</t>
  </si>
  <si>
    <r>
      <t xml:space="preserve">WS on Column </t>
    </r>
    <r>
      <rPr>
        <sz val="10"/>
        <rFont val="Arial"/>
        <family val="2"/>
      </rPr>
      <t>(0°)</t>
    </r>
  </si>
  <si>
    <r>
      <t xml:space="preserve">WS on Column </t>
    </r>
    <r>
      <rPr>
        <sz val="10"/>
        <rFont val="Arial"/>
        <family val="2"/>
      </rPr>
      <t>(15°)</t>
    </r>
  </si>
  <si>
    <r>
      <t xml:space="preserve">WS on Column </t>
    </r>
    <r>
      <rPr>
        <sz val="10"/>
        <rFont val="Arial"/>
        <family val="2"/>
      </rPr>
      <t>(30°)</t>
    </r>
  </si>
  <si>
    <r>
      <t xml:space="preserve">WS on Column </t>
    </r>
    <r>
      <rPr>
        <sz val="10"/>
        <rFont val="Arial"/>
        <family val="2"/>
      </rPr>
      <t>(45°)</t>
    </r>
  </si>
  <si>
    <r>
      <t xml:space="preserve">WS on Column </t>
    </r>
    <r>
      <rPr>
        <sz val="10"/>
        <rFont val="Arial"/>
        <family val="2"/>
      </rPr>
      <t>(60°)</t>
    </r>
  </si>
  <si>
    <t>Column Analysis - Right</t>
  </si>
  <si>
    <t>Dist. from left end of bent along bent</t>
  </si>
  <si>
    <t>(Rt Fwd is Positive)</t>
  </si>
  <si>
    <t>{TxDOT limits steel stress due to Service Load Combination I to 0.6fy}</t>
  </si>
  <si>
    <r>
      <t>M</t>
    </r>
    <r>
      <rPr>
        <vertAlign val="subscript"/>
        <sz val="10"/>
        <rFont val="Arial"/>
        <family val="2"/>
      </rPr>
      <t xml:space="preserve">WS </t>
    </r>
    <r>
      <rPr>
        <sz val="10"/>
        <rFont val="Arial"/>
        <family val="2"/>
      </rPr>
      <t>=</t>
    </r>
  </si>
  <si>
    <t>3.12 - Incorporated 0.6fy stress limit for service level stresses per TxDOT LRFD Bridge Design Manual - 07/2008 revision.</t>
  </si>
  <si>
    <t>Mws</t>
  </si>
  <si>
    <r>
      <t>0</t>
    </r>
    <r>
      <rPr>
        <sz val="10"/>
        <rFont val="Arial"/>
        <family val="2"/>
      </rPr>
      <t>º</t>
    </r>
  </si>
  <si>
    <r>
      <t>60</t>
    </r>
    <r>
      <rPr>
        <sz val="10"/>
        <rFont val="Arial"/>
        <family val="2"/>
      </rPr>
      <t>º</t>
    </r>
  </si>
  <si>
    <r>
      <t>WL</t>
    </r>
    <r>
      <rPr>
        <i/>
        <sz val="10"/>
        <rFont val="Arial"/>
        <family val="2"/>
      </rPr>
      <t xml:space="preserve"> {AASHTO LRFD Table 3.8.1.3-1}</t>
    </r>
  </si>
  <si>
    <r>
      <t xml:space="preserve">         </t>
    </r>
    <r>
      <rPr>
        <b/>
        <u/>
        <sz val="9"/>
        <rFont val="Arial"/>
        <family val="2"/>
      </rPr>
      <t>Direction Notation:</t>
    </r>
  </si>
  <si>
    <t>Bk Span Long Bm Len =</t>
  </si>
  <si>
    <t>Fd Span Long Bm Len =</t>
  </si>
  <si>
    <t>Col-X and Col-Y represent axes of the column parallel and perpendicular to the cap, respectively.</t>
  </si>
  <si>
    <r>
      <t>V</t>
    </r>
    <r>
      <rPr>
        <vertAlign val="subscript"/>
        <sz val="8"/>
        <rFont val="Arial"/>
        <family val="2"/>
      </rPr>
      <t>x</t>
    </r>
    <r>
      <rPr>
        <sz val="8"/>
        <rFont val="Arial"/>
        <family val="2"/>
      </rPr>
      <t xml:space="preserve"> indicates a shear force applied along the x axis</t>
    </r>
  </si>
  <si>
    <r>
      <t>V</t>
    </r>
    <r>
      <rPr>
        <vertAlign val="subscript"/>
        <sz val="8"/>
        <rFont val="Arial"/>
        <family val="2"/>
      </rPr>
      <t>y</t>
    </r>
    <r>
      <rPr>
        <sz val="8"/>
        <rFont val="Arial"/>
        <family val="2"/>
      </rPr>
      <t xml:space="preserve"> indicates a shear force applied along the y axis</t>
    </r>
  </si>
  <si>
    <t>Distribution of Total DC to Column =</t>
  </si>
  <si>
    <t>Distribution of Transverse Forces to Column =</t>
  </si>
  <si>
    <t>Distribution of Longitudinal Forces to Column =</t>
  </si>
  <si>
    <t>Distribution of DW and LL to Column =</t>
  </si>
  <si>
    <t>kips</t>
  </si>
  <si>
    <t>Total Number of Lanes =</t>
  </si>
  <si>
    <t>Multiple presence factor =</t>
  </si>
  <si>
    <t>Location of Centroid of Lane Load from C.L. Column</t>
  </si>
  <si>
    <t>Both Spans Loaded - Transverse Moment</t>
  </si>
  <si>
    <r>
      <t>{f</t>
    </r>
    <r>
      <rPr>
        <i/>
        <vertAlign val="subscript"/>
        <sz val="9"/>
        <rFont val="Arial"/>
        <family val="2"/>
      </rPr>
      <t xml:space="preserve">s </t>
    </r>
    <r>
      <rPr>
        <i/>
        <sz val="9"/>
        <rFont val="Arial"/>
        <family val="2"/>
      </rPr>
      <t>= M</t>
    </r>
    <r>
      <rPr>
        <i/>
        <vertAlign val="subscript"/>
        <sz val="9"/>
        <rFont val="Arial"/>
        <family val="2"/>
      </rPr>
      <t>ws</t>
    </r>
    <r>
      <rPr>
        <i/>
        <sz val="9"/>
        <rFont val="Arial"/>
        <family val="2"/>
      </rPr>
      <t xml:space="preserve"> / A</t>
    </r>
    <r>
      <rPr>
        <i/>
        <vertAlign val="subscript"/>
        <sz val="9"/>
        <rFont val="Arial"/>
        <family val="2"/>
      </rPr>
      <t>s</t>
    </r>
    <r>
      <rPr>
        <i/>
        <sz val="9"/>
        <rFont val="Arial"/>
        <family val="2"/>
      </rPr>
      <t>jd}</t>
    </r>
  </si>
  <si>
    <r>
      <t>{cap height - d</t>
    </r>
    <r>
      <rPr>
        <i/>
        <vertAlign val="subscript"/>
        <sz val="9"/>
        <rFont val="Arial"/>
        <family val="2"/>
      </rPr>
      <t>t</t>
    </r>
    <r>
      <rPr>
        <i/>
        <sz val="9"/>
        <rFont val="Arial"/>
        <family val="2"/>
      </rPr>
      <t>}</t>
    </r>
  </si>
  <si>
    <r>
      <t>{k = (2</t>
    </r>
    <r>
      <rPr>
        <i/>
        <sz val="9"/>
        <rFont val="Symbol"/>
        <family val="1"/>
        <charset val="2"/>
      </rPr>
      <t>rh</t>
    </r>
    <r>
      <rPr>
        <i/>
        <sz val="9"/>
        <rFont val="Arial"/>
        <family val="2"/>
      </rPr>
      <t xml:space="preserve"> + (</t>
    </r>
    <r>
      <rPr>
        <i/>
        <sz val="9"/>
        <rFont val="Symbol"/>
        <family val="1"/>
        <charset val="2"/>
      </rPr>
      <t>rh</t>
    </r>
    <r>
      <rPr>
        <i/>
        <sz val="9"/>
        <rFont val="Arial"/>
        <family val="2"/>
      </rPr>
      <t>)</t>
    </r>
    <r>
      <rPr>
        <i/>
        <vertAlign val="superscript"/>
        <sz val="9"/>
        <rFont val="Arial"/>
        <family val="2"/>
      </rPr>
      <t>2</t>
    </r>
    <r>
      <rPr>
        <i/>
        <sz val="9"/>
        <rFont val="Arial"/>
        <family val="2"/>
      </rPr>
      <t>)</t>
    </r>
    <r>
      <rPr>
        <i/>
        <vertAlign val="superscript"/>
        <sz val="9"/>
        <rFont val="Arial"/>
        <family val="2"/>
      </rPr>
      <t>1/2</t>
    </r>
    <r>
      <rPr>
        <i/>
        <sz val="9"/>
        <rFont val="Arial"/>
        <family val="2"/>
      </rPr>
      <t xml:space="preserve"> - </t>
    </r>
    <r>
      <rPr>
        <i/>
        <sz val="9"/>
        <rFont val="Symbol"/>
        <family val="1"/>
        <charset val="2"/>
      </rPr>
      <t>rh}</t>
    </r>
  </si>
  <si>
    <r>
      <t>{(ε</t>
    </r>
    <r>
      <rPr>
        <i/>
        <vertAlign val="subscript"/>
        <sz val="9"/>
        <rFont val="Arial"/>
        <family val="2"/>
      </rPr>
      <t>cu</t>
    </r>
    <r>
      <rPr>
        <i/>
        <sz val="9"/>
        <rFont val="Arial"/>
        <family val="2"/>
      </rPr>
      <t>/c)*(d</t>
    </r>
    <r>
      <rPr>
        <i/>
        <vertAlign val="subscript"/>
        <sz val="9"/>
        <rFont val="Arial"/>
        <family val="2"/>
      </rPr>
      <t>t</t>
    </r>
    <r>
      <rPr>
        <i/>
        <sz val="9"/>
        <rFont val="Arial"/>
        <family val="2"/>
      </rPr>
      <t>-c), ε</t>
    </r>
    <r>
      <rPr>
        <i/>
        <vertAlign val="subscript"/>
        <sz val="9"/>
        <rFont val="Arial"/>
        <family val="2"/>
      </rPr>
      <t>cu</t>
    </r>
    <r>
      <rPr>
        <i/>
        <sz val="9"/>
        <rFont val="Arial"/>
        <family val="2"/>
      </rPr>
      <t xml:space="preserve"> = 0.003}</t>
    </r>
  </si>
  <si>
    <t>Live Load =</t>
  </si>
  <si>
    <t>Long Span Loaded - Transverse Moment</t>
  </si>
  <si>
    <t>Equation for design strength assumes that steel has yielded.  This assumption will be verified.</t>
  </si>
  <si>
    <t xml:space="preserve">Maximum Spacing </t>
  </si>
  <si>
    <r>
      <t>CE</t>
    </r>
    <r>
      <rPr>
        <sz val="10"/>
        <rFont val="Arial"/>
        <family val="2"/>
      </rPr>
      <t xml:space="preserve"> (All Lanes)</t>
    </r>
  </si>
  <si>
    <t>DC (Back Span) =</t>
  </si>
  <si>
    <t>DC (Forward Span) =</t>
  </si>
  <si>
    <t>DW (Back Span) =</t>
  </si>
  <si>
    <t>DW (Forward Span) =</t>
  </si>
  <si>
    <t>IM (All Lanes, Both Spans) =</t>
  </si>
  <si>
    <t>IM (All Lanes, Longest Span) =</t>
  </si>
  <si>
    <t>LL (All Lanes, Both Spans) =</t>
  </si>
  <si>
    <t>LL (All Lanes, Longest Span) =</t>
  </si>
  <si>
    <t>Wind on Live Load</t>
  </si>
  <si>
    <t>Angle</t>
  </si>
  <si>
    <t>Transverse</t>
  </si>
  <si>
    <t>0º</t>
  </si>
  <si>
    <t>60º</t>
  </si>
  <si>
    <t>Wind on Both Spans</t>
  </si>
  <si>
    <t>Wind on Long Span</t>
  </si>
  <si>
    <t>Wind on Cap</t>
  </si>
  <si>
    <t>Wind on Column</t>
  </si>
  <si>
    <t>Single Column Bent Cap Analysis</t>
  </si>
  <si>
    <t>TxDOT Live Load Model for CAP18 Input</t>
  </si>
  <si>
    <t>Left Column</t>
  </si>
  <si>
    <t>Wind Forces on Cap (kips)</t>
  </si>
  <si>
    <t>Wind Forces on Column (kips)</t>
  </si>
  <si>
    <t>Abs Max</t>
  </si>
  <si>
    <t>Vu</t>
  </si>
  <si>
    <t>Trans.</t>
  </si>
  <si>
    <t>Transverse Moments at Top of Column (For Single Column Bents Only)</t>
  </si>
  <si>
    <t>*</t>
  </si>
  <si>
    <r>
      <t>ksi      E</t>
    </r>
    <r>
      <rPr>
        <vertAlign val="subscript"/>
        <sz val="9"/>
        <rFont val="Arial"/>
        <family val="2"/>
      </rPr>
      <t xml:space="preserve">c </t>
    </r>
    <r>
      <rPr>
        <sz val="9"/>
        <rFont val="Arial"/>
        <family val="2"/>
      </rPr>
      <t>=</t>
    </r>
  </si>
  <si>
    <r>
      <t>ksi      E</t>
    </r>
    <r>
      <rPr>
        <vertAlign val="subscript"/>
        <sz val="9"/>
        <rFont val="Arial"/>
        <family val="2"/>
      </rPr>
      <t xml:space="preserve">s </t>
    </r>
    <r>
      <rPr>
        <sz val="9"/>
        <rFont val="Arial"/>
        <family val="2"/>
      </rPr>
      <t>=</t>
    </r>
  </si>
  <si>
    <r>
      <t xml:space="preserve">Step through the spreadsheet starting with the geometry worksheet.  "Complex geometry" must be specified when designing bents supporting a flaring or tapering roadway.  Fill in all required input values (dark red cells).  Proceed top to bottom of each sheet and left to right along the tabs.  More tabs should appear as your design progresses.  Press dark red buttons as required.  Before pressing the "Run CAP18" button in the </t>
    </r>
    <r>
      <rPr>
        <i/>
        <sz val="10"/>
        <rFont val="Arial"/>
        <family val="2"/>
      </rPr>
      <t>CAP18 Input</t>
    </r>
    <r>
      <rPr>
        <sz val="10"/>
        <rFont val="Arial"/>
        <family val="2"/>
      </rPr>
      <t xml:space="preserve"> tab, copy the "Cap18v6.exe" program into the same folder as this spreadsheet.  When CAP18 is complete, have the spreadsheet solve for a preliminary design then check the generated design and modify as necessary.  Orange Buttons are required, tan colored buttons and input cells are not required but may need to be modified for unusual cases.  Before beginning read this tab in its entirety as well as the CAP18 user manual and user guide.  Be sure to perform a thorough check of all calculations when using this design aid.</t>
    </r>
  </si>
  <si>
    <r>
      <t>ft</t>
    </r>
    <r>
      <rPr>
        <sz val="8"/>
        <rFont val="Arial Narrow"/>
        <family val="2"/>
      </rPr>
      <t xml:space="preserve"> ("-" when bm 1 is left of PGL)</t>
    </r>
  </si>
  <si>
    <t>3.0 - Revised method of CAP18 input. Method now consistent with TxDOT Documented Procedures.  CAP18 model is along bent centerline and increment is set at 0.5'.  This change modified several inputs/calculations on the CAP18 input tab.  Other minor cosmetic issues were incorporated as well including moving Fwd and Bk bent skew into printable area on the Geometry Tab. Also, in welcome screen viewing Program Documentation is now an option.</t>
  </si>
  <si>
    <t>Roadway Width =</t>
  </si>
  <si>
    <t>Beam Type =</t>
  </si>
  <si>
    <t>Cap Types</t>
  </si>
  <si>
    <t>Rectangular</t>
  </si>
  <si>
    <t>Inverted-Tee</t>
  </si>
  <si>
    <t>Nominal Beam Spacing of Forward Span =</t>
  </si>
  <si>
    <t>6.0 - Updated for Excel 2007.  Renamed some ranges in conflict: "IBV1" to "_IBV1" etc.  Updated drawing macro to eliminate some bugs with 2007.</t>
  </si>
  <si>
    <t>T1F</t>
  </si>
  <si>
    <t>TABLE 3. LIST OF STATIONS (CASE II - FWD BEAMS)</t>
  </si>
  <si>
    <t xml:space="preserve">This spreadsheet is intended to be used on structures with prestressed concrete beam superstructures.  This spreadsheet is not currently able to designs bents that support steel units.  This tool is not intended to be used "as is" for the design of phased construction.  Phased construction design will require two separate runs.  Sidewalk live load is not considered.  All sidewalk dead load is distributed through stringers.  Vehicle live load is run between inside faces of rail and lane loads are defined by dividing the total roadway width by the number of lanes as defined by AASHTO.  </t>
  </si>
  <si>
    <t>HDR Computation -  Cover Sheet</t>
  </si>
  <si>
    <t>6.01 - added T1F rail, fixed minor bug in maximum shear spacing requirement, removed note restricting U beams for CAP18</t>
  </si>
  <si>
    <t>6.02 - fixed bug in macro that was causing run-time errors.</t>
  </si>
  <si>
    <t>6.03 - Removed Design Spacing from shear design calculation printout.</t>
  </si>
  <si>
    <t>Bent Cap Design Summary</t>
  </si>
  <si>
    <t>Spacing of Shear Reinforcing:</t>
  </si>
  <si>
    <t>Design Section:</t>
  </si>
  <si>
    <t>Department 036, Transportation Section</t>
  </si>
  <si>
    <t>Darin Splittgerber</t>
  </si>
  <si>
    <t>Force / Lane (kips)</t>
  </si>
  <si>
    <t>6.04 - Fixed some minor bugs: clarified CE and BR are Force per Lane, round design wind speed to nearest mph, fixed column orientation for wind loads</t>
  </si>
  <si>
    <t>6.05 - Added 6" Spacing for overhangs in multicolumn shear calc.</t>
  </si>
  <si>
    <t>6.06 - Revised Wind Loads Tab.  Wind Load on Column, total effective width calculation was incorrect for round columns only.  Cells F98-H102, F119-H123.</t>
  </si>
  <si>
    <t>Bm Length*</t>
  </si>
  <si>
    <t>Bot Flange</t>
  </si>
  <si>
    <t>Dist from end of bm to face of inv-tee or CL bent</t>
  </si>
  <si>
    <t>T1W</t>
  </si>
  <si>
    <t>T223</t>
  </si>
  <si>
    <t>T551</t>
  </si>
  <si>
    <t>T552</t>
  </si>
  <si>
    <t>T66</t>
  </si>
  <si>
    <t>T80HT</t>
  </si>
  <si>
    <t>T80SS</t>
  </si>
  <si>
    <t>C1W</t>
  </si>
  <si>
    <t>C223</t>
  </si>
  <si>
    <r>
      <t>M</t>
    </r>
    <r>
      <rPr>
        <vertAlign val="subscript"/>
        <sz val="8"/>
        <rFont val="Arial"/>
        <family val="2"/>
      </rPr>
      <t>x</t>
    </r>
    <r>
      <rPr>
        <sz val="8"/>
        <rFont val="Arial"/>
        <family val="2"/>
      </rPr>
      <t xml:space="preserve"> Indicates a Moment applied about the x axis</t>
    </r>
  </si>
  <si>
    <t>Summary of CE &amp; BR Force Effects:</t>
  </si>
  <si>
    <t>CE</t>
  </si>
  <si>
    <t>Total</t>
  </si>
  <si>
    <t>BR (Both)</t>
  </si>
  <si>
    <t>BR (Long)</t>
  </si>
  <si>
    <t>(k)</t>
  </si>
  <si>
    <r>
      <t>{f</t>
    </r>
    <r>
      <rPr>
        <i/>
        <vertAlign val="subscript"/>
        <sz val="9"/>
        <rFont val="Arial"/>
        <family val="2"/>
      </rPr>
      <t xml:space="preserve">s </t>
    </r>
    <r>
      <rPr>
        <i/>
        <sz val="9"/>
        <rFont val="Arial"/>
        <family val="2"/>
      </rPr>
      <t>= M</t>
    </r>
    <r>
      <rPr>
        <i/>
        <vertAlign val="subscript"/>
        <sz val="9"/>
        <rFont val="Arial"/>
        <family val="2"/>
      </rPr>
      <t>WS</t>
    </r>
    <r>
      <rPr>
        <i/>
        <sz val="9"/>
        <rFont val="Arial"/>
        <family val="2"/>
      </rPr>
      <t xml:space="preserve"> / A</t>
    </r>
    <r>
      <rPr>
        <i/>
        <vertAlign val="subscript"/>
        <sz val="9"/>
        <rFont val="Arial"/>
        <family val="2"/>
      </rPr>
      <t>s</t>
    </r>
    <r>
      <rPr>
        <i/>
        <sz val="9"/>
        <rFont val="Arial"/>
        <family val="2"/>
      </rPr>
      <t>jd}</t>
    </r>
  </si>
  <si>
    <r>
      <t>V</t>
    </r>
    <r>
      <rPr>
        <vertAlign val="subscript"/>
        <sz val="8"/>
        <rFont val="Arial"/>
        <family val="2"/>
      </rPr>
      <t>x</t>
    </r>
    <r>
      <rPr>
        <sz val="8"/>
        <rFont val="Arial"/>
        <family val="2"/>
      </rPr>
      <t xml:space="preserve"> indicates a shear force applied along the x axis (positive to the right)</t>
    </r>
  </si>
  <si>
    <r>
      <t>M</t>
    </r>
    <r>
      <rPr>
        <vertAlign val="subscript"/>
        <sz val="8"/>
        <rFont val="Arial"/>
        <family val="2"/>
      </rPr>
      <t>y</t>
    </r>
    <r>
      <rPr>
        <sz val="8"/>
        <rFont val="Arial"/>
        <family val="2"/>
      </rPr>
      <t xml:space="preserve"> Indicates a Moment applied about the y axis (positive moment is resulted from positive Vx)</t>
    </r>
  </si>
  <si>
    <t>Rev6.08 - Revised logic for calculation of P to be consistent with sign convention left and right</t>
  </si>
  <si>
    <t>Rev_5 - Simplified sign of axial load due to transverse force,  Rev6.08 - Revised logic for calculation of P to be consistent with sign convention left and right</t>
  </si>
  <si>
    <t>6.08 - Revised beam end distance for TX Girders.  Added current bridge rail types.  Added summary at end of CE &amp; BR tab.  Fixed definition of force direction Mx and My in Col Analysis tabs.</t>
  </si>
  <si>
    <t>Axial force P revised for straddle bent load calculations to be consistent with notation change from "inside/outside curve" to "left/right"</t>
  </si>
  <si>
    <t>Jos van Dijk, Shinji Konno</t>
  </si>
  <si>
    <t>See LP375 Validation by Shinji Konno and Jos Van Dijk for additional details</t>
  </si>
  <si>
    <t>6.09 - Corrected bm length error (of 2") caused by revisions made in version 6.08</t>
  </si>
  <si>
    <t>Both Spans Uplift Force (Applied at 1/4 Point of slab) =</t>
  </si>
  <si>
    <t>Long Span Uplift Force (Applied at 1/4 Point of slab) =</t>
  </si>
  <si>
    <t>Rev_6.10 - Corrected Sign of IM all lanes loaded</t>
  </si>
  <si>
    <t>6.10 - Corrected Sign of IM all lanes loaded (Tab "Live Load on Column", cells G27 and G36)</t>
  </si>
  <si>
    <t>Revised direction of wind uplift on longest span</t>
  </si>
  <si>
    <t>Rev_6.11 - Named cell G18 to DC_LEFT_PERC for use in module II</t>
  </si>
  <si>
    <t>Ryan Fritz, Steven Austin</t>
  </si>
  <si>
    <t>6.11 - Named cell G18 in Col Analysis-I tab to DC_LEFT_PERC for module II to work properly.  Affects 2 column bents only</t>
  </si>
  <si>
    <t>U-40</t>
  </si>
  <si>
    <t>Based on 100' Span</t>
  </si>
  <si>
    <t>Based on 80' Span</t>
  </si>
  <si>
    <t>PaSsWoRd</t>
  </si>
  <si>
    <t>6.12 - Added U40 Beam Types, added ability to use increased clear cover</t>
  </si>
  <si>
    <t>6.13 - Fixed concrete dead load calculation for conditions with only two beams.</t>
  </si>
  <si>
    <t>Erin O'Malley</t>
  </si>
  <si>
    <t>Maximum Shear and Torsion Combinations</t>
  </si>
  <si>
    <r>
      <t>T</t>
    </r>
    <r>
      <rPr>
        <sz val="10"/>
        <rFont val="Arial"/>
        <family val="2"/>
      </rPr>
      <t xml:space="preserve"> =</t>
    </r>
  </si>
  <si>
    <r>
      <t>T</t>
    </r>
    <r>
      <rPr>
        <vertAlign val="subscript"/>
        <sz val="10"/>
        <rFont val="Arial"/>
        <family val="2"/>
      </rPr>
      <t>u</t>
    </r>
    <r>
      <rPr>
        <sz val="10"/>
        <rFont val="Arial"/>
        <family val="2"/>
      </rPr>
      <t xml:space="preserve"> =</t>
    </r>
  </si>
  <si>
    <r>
      <t>V</t>
    </r>
    <r>
      <rPr>
        <sz val="10"/>
        <rFont val="Arial"/>
        <family val="2"/>
      </rPr>
      <t xml:space="preserve"> =</t>
    </r>
  </si>
  <si>
    <r>
      <t>V</t>
    </r>
    <r>
      <rPr>
        <vertAlign val="subscript"/>
        <sz val="10"/>
        <rFont val="Arial"/>
        <family val="2"/>
      </rPr>
      <t>u,EQ</t>
    </r>
    <r>
      <rPr>
        <sz val="10"/>
        <rFont val="Arial"/>
        <family val="2"/>
      </rPr>
      <t xml:space="preserve"> =</t>
    </r>
  </si>
  <si>
    <t>V =</t>
  </si>
  <si>
    <t>6.20 -On Inv T tabs, added shear/torsion combos to summary. On Inv T SC tab, fixed I306:L306 for max torsion calc. On Geometry tab, fixed units of sidewalk load.</t>
  </si>
  <si>
    <t>6.21 - On Conc DL tab, fixed typo that affected 2-beam condition only. Load on Rt beam was incorrect.</t>
  </si>
  <si>
    <t>Rev 6.3 to add two lanes loading</t>
  </si>
  <si>
    <t>Max reactions for exterior bm calculated using lever rule.  Max reaction for interior bm calculated using AASHTO LRFD Table 4.6.2.2.3a-1 (0.36+S/25.0  and 0.2+S/12-(S/35)^2.0).  The following calculations assume a zero skew angle.</t>
  </si>
  <si>
    <t>DF (1) =</t>
  </si>
  <si>
    <t>DF (2) =</t>
  </si>
  <si>
    <t>Exterior Bm Distribution Factor:</t>
  </si>
  <si>
    <t>Interior Bm Distribution Factor for 1 and 2 lanes loaded:</t>
  </si>
  <si>
    <t>Rev 6.3</t>
  </si>
  <si>
    <t>Interior Bm Distribution Factor for one (1) and two (2) lanes loaded:</t>
  </si>
  <si>
    <t>6.3 - Added LLDF for two lanes loaded to calculate maximum beam reactions for ledge design on inverted-tees.  Also revised max beam reaction for "Inv Tee-SC" tab (used for single column bents) to be consistent with "Inv Tee" tab.</t>
  </si>
  <si>
    <t>6.31 - Added Right slab overhang input cells and revised formulas for loads resulting from this change in Conc DL tab.</t>
  </si>
  <si>
    <t>Bryan Kukoda</t>
  </si>
  <si>
    <t>Tyler Brendlinger</t>
  </si>
  <si>
    <r>
      <t>S</t>
    </r>
    <r>
      <rPr>
        <i/>
        <vertAlign val="subscript"/>
        <sz val="10"/>
        <rFont val="Arial"/>
        <family val="2"/>
      </rPr>
      <t>h</t>
    </r>
    <r>
      <rPr>
        <i/>
        <sz val="10"/>
        <rFont val="Arial"/>
        <family val="2"/>
      </rPr>
      <t>=</t>
    </r>
  </si>
  <si>
    <t>Skin Reinforcing Spacing</t>
  </si>
  <si>
    <t>6.32 - Updated to reflect new brand, Added skin reinforcing check to "Bars A" tab per TxDOT BDM Chapter 4</t>
  </si>
  <si>
    <t>{AASHTO LRFD 3.6.1.1.1}</t>
  </si>
  <si>
    <r>
      <t xml:space="preserve">ksi   </t>
    </r>
    <r>
      <rPr>
        <i/>
        <sz val="8"/>
        <rFont val="Arial"/>
        <family val="2"/>
      </rPr>
      <t>{AASHTO LRFD 5.4.2.4}</t>
    </r>
  </si>
  <si>
    <r>
      <t>in</t>
    </r>
    <r>
      <rPr>
        <vertAlign val="superscript"/>
        <sz val="9"/>
        <rFont val="Arial"/>
        <family val="2"/>
      </rPr>
      <t>4</t>
    </r>
  </si>
  <si>
    <r>
      <t>in</t>
    </r>
    <r>
      <rPr>
        <vertAlign val="superscript"/>
        <sz val="9"/>
        <rFont val="Arial"/>
        <family val="2"/>
      </rPr>
      <t>4</t>
    </r>
    <r>
      <rPr>
        <sz val="10"/>
        <rFont val="Arial"/>
        <family val="2"/>
      </rPr>
      <t/>
    </r>
  </si>
  <si>
    <r>
      <t>{f</t>
    </r>
    <r>
      <rPr>
        <i/>
        <sz val="9"/>
        <rFont val="Arial"/>
        <family val="2"/>
      </rPr>
      <t>M</t>
    </r>
    <r>
      <rPr>
        <i/>
        <vertAlign val="subscript"/>
        <sz val="9"/>
        <rFont val="Arial"/>
        <family val="2"/>
      </rPr>
      <t xml:space="preserve">n </t>
    </r>
    <r>
      <rPr>
        <i/>
        <sz val="9"/>
        <rFont val="Arial"/>
        <family val="2"/>
      </rPr>
      <t xml:space="preserve">= </t>
    </r>
    <r>
      <rPr>
        <i/>
        <sz val="9"/>
        <rFont val="Symbol"/>
        <family val="1"/>
        <charset val="2"/>
      </rPr>
      <t>f</t>
    </r>
    <r>
      <rPr>
        <i/>
        <sz val="9"/>
        <rFont val="Arial"/>
        <family val="2"/>
      </rPr>
      <t>[A</t>
    </r>
    <r>
      <rPr>
        <i/>
        <vertAlign val="subscript"/>
        <sz val="9"/>
        <rFont val="Arial"/>
        <family val="2"/>
      </rPr>
      <t>s</t>
    </r>
    <r>
      <rPr>
        <i/>
        <sz val="9"/>
        <rFont val="Arial"/>
        <family val="2"/>
      </rPr>
      <t>f</t>
    </r>
    <r>
      <rPr>
        <i/>
        <vertAlign val="subscript"/>
        <sz val="9"/>
        <rFont val="Arial"/>
        <family val="2"/>
      </rPr>
      <t>y</t>
    </r>
    <r>
      <rPr>
        <i/>
        <sz val="9"/>
        <rFont val="Arial"/>
        <family val="2"/>
      </rPr>
      <t>(d- a/2)]}</t>
    </r>
  </si>
  <si>
    <t>Bars in 1st Row</t>
  </si>
  <si>
    <t>Bars in 2nd Row</t>
  </si>
  <si>
    <t>Bars in 3rd Row</t>
  </si>
  <si>
    <r>
      <t>{(A</t>
    </r>
    <r>
      <rPr>
        <i/>
        <vertAlign val="subscript"/>
        <sz val="8"/>
        <rFont val="Arial"/>
        <family val="2"/>
      </rPr>
      <t>s</t>
    </r>
    <r>
      <rPr>
        <i/>
        <sz val="8"/>
        <rFont val="Arial"/>
        <family val="2"/>
      </rPr>
      <t>f</t>
    </r>
    <r>
      <rPr>
        <i/>
        <vertAlign val="subscript"/>
        <sz val="8"/>
        <rFont val="Arial"/>
        <family val="2"/>
      </rPr>
      <t>y</t>
    </r>
    <r>
      <rPr>
        <i/>
        <sz val="8"/>
        <rFont val="Arial"/>
        <family val="2"/>
      </rPr>
      <t>)/(0.85f'</t>
    </r>
    <r>
      <rPr>
        <i/>
        <vertAlign val="subscript"/>
        <sz val="8"/>
        <rFont val="Arial"/>
        <family val="2"/>
      </rPr>
      <t>c</t>
    </r>
    <r>
      <rPr>
        <i/>
        <sz val="8"/>
        <rFont val="Arial"/>
        <family val="2"/>
      </rPr>
      <t>β</t>
    </r>
    <r>
      <rPr>
        <i/>
        <vertAlign val="subscript"/>
        <sz val="8"/>
        <rFont val="Arial"/>
        <family val="2"/>
      </rPr>
      <t>1</t>
    </r>
    <r>
      <rPr>
        <i/>
        <sz val="8"/>
        <rFont val="Arial"/>
        <family val="2"/>
      </rPr>
      <t>b)}</t>
    </r>
  </si>
  <si>
    <r>
      <t>{M</t>
    </r>
    <r>
      <rPr>
        <i/>
        <vertAlign val="subscript"/>
        <sz val="9"/>
        <rFont val="Arial"/>
        <family val="2"/>
      </rPr>
      <t>cr</t>
    </r>
    <r>
      <rPr>
        <i/>
        <sz val="9"/>
        <rFont val="Arial"/>
        <family val="2"/>
      </rPr>
      <t xml:space="preserve"> = f</t>
    </r>
    <r>
      <rPr>
        <i/>
        <vertAlign val="subscript"/>
        <sz val="9"/>
        <rFont val="Arial"/>
        <family val="2"/>
      </rPr>
      <t xml:space="preserve">r </t>
    </r>
    <r>
      <rPr>
        <i/>
        <sz val="9"/>
        <rFont val="Arial"/>
        <family val="2"/>
      </rPr>
      <t>x S}</t>
    </r>
  </si>
  <si>
    <r>
      <t xml:space="preserve">{fr = 0.24 x </t>
    </r>
    <r>
      <rPr>
        <sz val="9"/>
        <rFont val="Arial"/>
        <family val="2"/>
      </rPr>
      <t>√</t>
    </r>
    <r>
      <rPr>
        <i/>
        <sz val="9"/>
        <rFont val="Arial"/>
        <family val="2"/>
      </rPr>
      <t>f'c}</t>
    </r>
  </si>
  <si>
    <t>{f v² / g R}</t>
  </si>
  <si>
    <r>
      <t>{|V</t>
    </r>
    <r>
      <rPr>
        <i/>
        <vertAlign val="subscript"/>
        <sz val="9"/>
        <rFont val="Arial"/>
        <family val="2"/>
      </rPr>
      <t>u</t>
    </r>
    <r>
      <rPr>
        <i/>
        <sz val="9"/>
        <rFont val="Arial"/>
        <family val="2"/>
      </rPr>
      <t>|/Φb</t>
    </r>
    <r>
      <rPr>
        <i/>
        <vertAlign val="subscript"/>
        <sz val="9"/>
        <rFont val="Arial"/>
        <family val="2"/>
      </rPr>
      <t>v</t>
    </r>
    <r>
      <rPr>
        <i/>
        <sz val="9"/>
        <rFont val="Arial"/>
        <family val="2"/>
      </rPr>
      <t>d</t>
    </r>
    <r>
      <rPr>
        <i/>
        <vertAlign val="subscript"/>
        <sz val="9"/>
        <rFont val="Arial"/>
        <family val="2"/>
      </rPr>
      <t>v</t>
    </r>
    <r>
      <rPr>
        <i/>
        <sz val="9"/>
        <rFont val="Arial"/>
        <family val="2"/>
      </rPr>
      <t>}</t>
    </r>
  </si>
  <si>
    <r>
      <t>{0.0316β√(f'</t>
    </r>
    <r>
      <rPr>
        <i/>
        <vertAlign val="subscript"/>
        <sz val="9"/>
        <rFont val="Arial"/>
        <family val="2"/>
      </rPr>
      <t>c</t>
    </r>
    <r>
      <rPr>
        <i/>
        <sz val="9"/>
        <rFont val="Arial"/>
        <family val="2"/>
      </rPr>
      <t>)b</t>
    </r>
    <r>
      <rPr>
        <i/>
        <vertAlign val="subscript"/>
        <sz val="9"/>
        <rFont val="Arial"/>
        <family val="2"/>
      </rPr>
      <t>v</t>
    </r>
    <r>
      <rPr>
        <i/>
        <sz val="9"/>
        <rFont val="Arial"/>
        <family val="2"/>
      </rPr>
      <t>d</t>
    </r>
    <r>
      <rPr>
        <i/>
        <vertAlign val="subscript"/>
        <sz val="9"/>
        <rFont val="Arial"/>
        <family val="2"/>
      </rPr>
      <t>v</t>
    </r>
    <r>
      <rPr>
        <i/>
        <sz val="9"/>
        <rFont val="Arial"/>
        <family val="2"/>
      </rPr>
      <t>}</t>
    </r>
  </si>
  <si>
    <r>
      <t>{V</t>
    </r>
    <r>
      <rPr>
        <i/>
        <vertAlign val="subscript"/>
        <sz val="9"/>
        <rFont val="Arial"/>
        <family val="2"/>
      </rPr>
      <t>s</t>
    </r>
    <r>
      <rPr>
        <i/>
        <sz val="9"/>
        <rFont val="Arial"/>
        <family val="2"/>
      </rPr>
      <t xml:space="preserve"> = A</t>
    </r>
    <r>
      <rPr>
        <i/>
        <vertAlign val="subscript"/>
        <sz val="9"/>
        <rFont val="Arial"/>
        <family val="2"/>
      </rPr>
      <t>v</t>
    </r>
    <r>
      <rPr>
        <i/>
        <sz val="9"/>
        <rFont val="Arial"/>
        <family val="2"/>
      </rPr>
      <t>f</t>
    </r>
    <r>
      <rPr>
        <i/>
        <vertAlign val="subscript"/>
        <sz val="9"/>
        <rFont val="Arial"/>
        <family val="2"/>
      </rPr>
      <t>y</t>
    </r>
    <r>
      <rPr>
        <i/>
        <sz val="9"/>
        <rFont val="Arial"/>
        <family val="2"/>
      </rPr>
      <t>d</t>
    </r>
    <r>
      <rPr>
        <i/>
        <vertAlign val="subscript"/>
        <sz val="9"/>
        <rFont val="Arial"/>
        <family val="2"/>
      </rPr>
      <t>v</t>
    </r>
    <r>
      <rPr>
        <i/>
        <sz val="9"/>
        <rFont val="Arial"/>
        <family val="2"/>
      </rPr>
      <t>cot(θ) / s}</t>
    </r>
  </si>
  <si>
    <r>
      <t>{(|M</t>
    </r>
    <r>
      <rPr>
        <i/>
        <vertAlign val="subscript"/>
        <sz val="8.5"/>
        <rFont val="Arial"/>
        <family val="2"/>
      </rPr>
      <t>u</t>
    </r>
    <r>
      <rPr>
        <i/>
        <sz val="8.5"/>
        <rFont val="Arial"/>
        <family val="2"/>
      </rPr>
      <t>|/d</t>
    </r>
    <r>
      <rPr>
        <i/>
        <vertAlign val="subscript"/>
        <sz val="8.5"/>
        <rFont val="Arial"/>
        <family val="2"/>
      </rPr>
      <t>v</t>
    </r>
    <r>
      <rPr>
        <i/>
        <sz val="8.5"/>
        <rFont val="Arial"/>
        <family val="2"/>
      </rPr>
      <t xml:space="preserve"> + 0.5|V</t>
    </r>
    <r>
      <rPr>
        <i/>
        <vertAlign val="subscript"/>
        <sz val="8.5"/>
        <rFont val="Arial"/>
        <family val="2"/>
      </rPr>
      <t>u</t>
    </r>
    <r>
      <rPr>
        <i/>
        <sz val="8.5"/>
        <rFont val="Arial"/>
        <family val="2"/>
      </rPr>
      <t>|cotθ) / (2E</t>
    </r>
    <r>
      <rPr>
        <i/>
        <vertAlign val="subscript"/>
        <sz val="8.5"/>
        <rFont val="Arial"/>
        <family val="2"/>
      </rPr>
      <t>s</t>
    </r>
    <r>
      <rPr>
        <i/>
        <sz val="8.5"/>
        <rFont val="Arial"/>
        <family val="2"/>
      </rPr>
      <t>A</t>
    </r>
    <r>
      <rPr>
        <i/>
        <vertAlign val="subscript"/>
        <sz val="8.5"/>
        <rFont val="Arial"/>
        <family val="2"/>
      </rPr>
      <t>s</t>
    </r>
    <r>
      <rPr>
        <i/>
        <sz val="8.5"/>
        <rFont val="Arial"/>
        <family val="2"/>
      </rPr>
      <t>) ≤ 0.001}</t>
    </r>
  </si>
  <si>
    <r>
      <t>{A</t>
    </r>
    <r>
      <rPr>
        <i/>
        <vertAlign val="subscript"/>
        <sz val="9"/>
        <rFont val="Arial"/>
        <family val="2"/>
      </rPr>
      <t>v</t>
    </r>
    <r>
      <rPr>
        <i/>
        <sz val="9"/>
        <rFont val="Arial"/>
        <family val="2"/>
      </rPr>
      <t xml:space="preserve"> ≥ 0.0316√(f'</t>
    </r>
    <r>
      <rPr>
        <i/>
        <vertAlign val="subscript"/>
        <sz val="9"/>
        <rFont val="Arial"/>
        <family val="2"/>
      </rPr>
      <t>c</t>
    </r>
    <r>
      <rPr>
        <i/>
        <sz val="9"/>
        <rFont val="Arial"/>
        <family val="2"/>
      </rPr>
      <t>) b</t>
    </r>
    <r>
      <rPr>
        <i/>
        <vertAlign val="subscript"/>
        <sz val="9"/>
        <rFont val="Arial"/>
        <family val="2"/>
      </rPr>
      <t>v</t>
    </r>
    <r>
      <rPr>
        <i/>
        <sz val="9"/>
        <rFont val="Arial"/>
        <family val="2"/>
      </rPr>
      <t xml:space="preserve"> s / f</t>
    </r>
    <r>
      <rPr>
        <i/>
        <vertAlign val="subscript"/>
        <sz val="9"/>
        <rFont val="Arial"/>
        <family val="2"/>
      </rPr>
      <t>y</t>
    </r>
    <r>
      <rPr>
        <i/>
        <sz val="9"/>
        <rFont val="Arial"/>
        <family val="2"/>
      </rPr>
      <t>}</t>
    </r>
  </si>
  <si>
    <r>
      <t>{</t>
    </r>
    <r>
      <rPr>
        <i/>
        <sz val="9"/>
        <rFont val="Symbol"/>
        <family val="1"/>
        <charset val="2"/>
      </rPr>
      <t xml:space="preserve">h </t>
    </r>
    <r>
      <rPr>
        <i/>
        <sz val="9"/>
        <rFont val="Arial"/>
        <family val="2"/>
      </rPr>
      <t>= E</t>
    </r>
    <r>
      <rPr>
        <i/>
        <vertAlign val="subscript"/>
        <sz val="9"/>
        <rFont val="Arial"/>
        <family val="2"/>
      </rPr>
      <t xml:space="preserve">s </t>
    </r>
    <r>
      <rPr>
        <i/>
        <sz val="9"/>
        <rFont val="Arial"/>
        <family val="2"/>
      </rPr>
      <t>/ E</t>
    </r>
    <r>
      <rPr>
        <i/>
        <vertAlign val="subscript"/>
        <sz val="9"/>
        <rFont val="Arial"/>
        <family val="2"/>
      </rPr>
      <t>c</t>
    </r>
    <r>
      <rPr>
        <i/>
        <sz val="9"/>
        <rFont val="Arial"/>
        <family val="2"/>
      </rPr>
      <t>}</t>
    </r>
  </si>
  <si>
    <t>{AASHTO LRFD TABLE 3.5.1-1}</t>
  </si>
  <si>
    <t>Design Lane Load</t>
  </si>
  <si>
    <t>{AASHTO LRFD 5.4.2.6}</t>
  </si>
  <si>
    <r>
      <t xml:space="preserve">Service Load Stress </t>
    </r>
    <r>
      <rPr>
        <b/>
        <i/>
        <sz val="10"/>
        <rFont val="Arial"/>
        <family val="2"/>
      </rPr>
      <t>{TxDOT LRFD Bridge Design Manual Ch 4, Sect 4}</t>
    </r>
  </si>
  <si>
    <t>{AASHTO LRFD 5.10.3.1.1}</t>
  </si>
  <si>
    <t>{1.5xMaxAgg}</t>
  </si>
  <si>
    <t>{1.5xBarDiam}</t>
  </si>
  <si>
    <r>
      <t xml:space="preserve">Bar Spacing </t>
    </r>
    <r>
      <rPr>
        <b/>
        <i/>
        <sz val="10"/>
        <rFont val="Arial"/>
        <family val="2"/>
      </rPr>
      <t>{AASHTO LRFD 5.10.3}</t>
    </r>
  </si>
  <si>
    <t>Use 6" spa in overhangs when load is within 1.2d of face of column. (TxDOT LRFD Bridge Design Manual Ch 4, Sect 4)</t>
  </si>
  <si>
    <r>
      <t>ε</t>
    </r>
    <r>
      <rPr>
        <vertAlign val="subscript"/>
        <sz val="10"/>
        <rFont val="Arial"/>
        <family val="2"/>
      </rPr>
      <t>cl</t>
    </r>
    <r>
      <rPr>
        <sz val="10"/>
        <rFont val="Arial"/>
        <family val="2"/>
      </rPr>
      <t xml:space="preserve"> =</t>
    </r>
  </si>
  <si>
    <r>
      <t>ε</t>
    </r>
    <r>
      <rPr>
        <vertAlign val="subscript"/>
        <sz val="10"/>
        <rFont val="Arial"/>
        <family val="2"/>
      </rPr>
      <t>tl</t>
    </r>
    <r>
      <rPr>
        <sz val="10"/>
        <rFont val="Arial"/>
        <family val="2"/>
      </rPr>
      <t xml:space="preserve"> =</t>
    </r>
  </si>
  <si>
    <t>*All AASHTO Minimum Spacing Requirements not checked because 3" controls.</t>
  </si>
  <si>
    <t>Fwd Dist. from CL bm 1 to end of cap (along CL bent) =</t>
  </si>
  <si>
    <t>Back Dist. from CL bm 1 to end of cap (along CL bent) =</t>
  </si>
  <si>
    <t xml:space="preserve">Design Wind Speed for Different Load Combinations, V </t>
  </si>
  <si>
    <t>{AASHTO LRFD Table 3.8.1.1.2-1}</t>
  </si>
  <si>
    <t>Load Combination</t>
  </si>
  <si>
    <t>Strength III</t>
  </si>
  <si>
    <t>Strength V</t>
  </si>
  <si>
    <t>New LF</t>
  </si>
  <si>
    <t>Service IV</t>
  </si>
  <si>
    <t>Orig LF*</t>
  </si>
  <si>
    <t>Roughness Category:</t>
  </si>
  <si>
    <t>Urban/Suburban/Wooded - many closely spaced obstructions</t>
  </si>
  <si>
    <t>Open with scattered obstructions less then 33 ft tall</t>
  </si>
  <si>
    <t>D</t>
  </si>
  <si>
    <t>Flat, unobstructed land or water</t>
  </si>
  <si>
    <t>Match Ground Surface Roughness</t>
  </si>
  <si>
    <r>
      <t>Wind Exposure Category</t>
    </r>
    <r>
      <rPr>
        <b/>
        <i/>
        <u/>
        <sz val="10"/>
        <rFont val="Arial"/>
        <family val="2"/>
      </rPr>
      <t xml:space="preserve"> {AASHTO LRFD 3.8.1.1.5}</t>
    </r>
  </si>
  <si>
    <r>
      <t>Ground Surface Roughness</t>
    </r>
    <r>
      <rPr>
        <b/>
        <i/>
        <u/>
        <sz val="10"/>
        <rFont val="Arial"/>
        <family val="2"/>
      </rPr>
      <t xml:space="preserve"> {AASHTO LRFD 3.8.1.1.4}</t>
    </r>
  </si>
  <si>
    <t>Column Height =</t>
  </si>
  <si>
    <t>Structure Height, Z =</t>
  </si>
  <si>
    <r>
      <t>K</t>
    </r>
    <r>
      <rPr>
        <vertAlign val="subscript"/>
        <sz val="10"/>
        <rFont val="Arial"/>
        <family val="2"/>
      </rPr>
      <t>z</t>
    </r>
    <r>
      <rPr>
        <sz val="10"/>
        <rFont val="Arial"/>
        <family val="2"/>
      </rPr>
      <t xml:space="preserve"> = </t>
    </r>
  </si>
  <si>
    <t>Kz</t>
  </si>
  <si>
    <t>For all load combos, For structures other than sound walls</t>
  </si>
  <si>
    <t>For all load combos, For bridge substructures</t>
  </si>
  <si>
    <t>G =</t>
  </si>
  <si>
    <r>
      <t>C</t>
    </r>
    <r>
      <rPr>
        <vertAlign val="subscript"/>
        <sz val="10"/>
        <rFont val="Arial"/>
        <family val="2"/>
      </rPr>
      <t>d</t>
    </r>
    <r>
      <rPr>
        <sz val="10"/>
        <rFont val="Arial"/>
        <family val="2"/>
      </rPr>
      <t xml:space="preserve"> =</t>
    </r>
  </si>
  <si>
    <t>(Str 3 and Serv 4)</t>
  </si>
  <si>
    <t>(Str 5 and Serv 1)</t>
  </si>
  <si>
    <t>sq ft</t>
  </si>
  <si>
    <t>{AASHTO LRFD Table 3.6.2.1-1}</t>
  </si>
  <si>
    <t>Skew Coefficient</t>
  </si>
  <si>
    <t>Uplift Pressure =</t>
  </si>
  <si>
    <r>
      <t>P</t>
    </r>
    <r>
      <rPr>
        <b/>
        <vertAlign val="subscript"/>
        <sz val="10"/>
        <rFont val="Arial"/>
        <family val="2"/>
      </rPr>
      <t>z</t>
    </r>
    <r>
      <rPr>
        <b/>
        <sz val="10"/>
        <rFont val="Arial"/>
        <family val="2"/>
      </rPr>
      <t xml:space="preserve"> = 2.56 x 10</t>
    </r>
    <r>
      <rPr>
        <b/>
        <vertAlign val="superscript"/>
        <sz val="10"/>
        <rFont val="Arial"/>
        <family val="2"/>
      </rPr>
      <t>-6</t>
    </r>
    <r>
      <rPr>
        <b/>
        <sz val="10"/>
        <rFont val="Arial"/>
        <family val="2"/>
      </rPr>
      <t xml:space="preserve"> V</t>
    </r>
    <r>
      <rPr>
        <b/>
        <vertAlign val="superscript"/>
        <sz val="10"/>
        <rFont val="Arial"/>
        <family val="2"/>
      </rPr>
      <t>2</t>
    </r>
    <r>
      <rPr>
        <b/>
        <sz val="10"/>
        <rFont val="Arial"/>
        <family val="2"/>
      </rPr>
      <t xml:space="preserve"> K</t>
    </r>
    <r>
      <rPr>
        <b/>
        <vertAlign val="subscript"/>
        <sz val="10"/>
        <rFont val="Arial"/>
        <family val="2"/>
      </rPr>
      <t>z</t>
    </r>
    <r>
      <rPr>
        <b/>
        <sz val="10"/>
        <rFont val="Arial"/>
        <family val="2"/>
      </rPr>
      <t xml:space="preserve"> G C</t>
    </r>
    <r>
      <rPr>
        <b/>
        <vertAlign val="subscript"/>
        <sz val="10"/>
        <rFont val="Arial"/>
        <family val="2"/>
      </rPr>
      <t>D</t>
    </r>
  </si>
  <si>
    <t>Col-X, and Col-Y represent the principal axes of the column (in line and perpendicular to the cap for circular columns).</t>
  </si>
  <si>
    <t>Right Column:</t>
  </si>
  <si>
    <t>SSCB</t>
  </si>
  <si>
    <t xml:space="preserve">TxDOT Bridge Design Manual - LRFD </t>
  </si>
  <si>
    <t>Centrifugal Forces: CE - AASHTO LRFD 3.6.3</t>
  </si>
  <si>
    <t>*Using friction factor = 0.15</t>
  </si>
  <si>
    <t>*Former equation for Controlling Design Speed was from 2001 Bridge Design Manual, using friction factor = 0.15 for 45 mph.</t>
  </si>
  <si>
    <t xml:space="preserve"> Equation is converted to form shown in RDM &amp; Green Book. Friction factor actually varies by speed, per Green Book.</t>
  </si>
  <si>
    <t>Molly Patterson</t>
  </si>
  <si>
    <t>Amy Smith</t>
  </si>
  <si>
    <t>2.  TxDOT Bridge Division Web Page</t>
  </si>
  <si>
    <t>Rev_7.0 - Added back span distance from CL bm 1 to cap end</t>
  </si>
  <si>
    <t>Rev_7.0 - Updated reference</t>
  </si>
  <si>
    <t>Rev_7.0 - Updated model illistration reference</t>
  </si>
  <si>
    <t>Rev_7.0 - Added condition for backwards and forwards distance to cap end</t>
  </si>
  <si>
    <t>Rev_7.0 - Added 1ft increments to output</t>
  </si>
  <si>
    <t>Rev_7.0 - Updated Wind Loads calculations per AASHTO LRFD 3.8.1</t>
  </si>
  <si>
    <t>Rev_7.0 - Removed Dead Load Stress per BDM</t>
  </si>
  <si>
    <t>Rev_7.0 - New phi factor equation per 5.5.4.2.1-2</t>
  </si>
  <si>
    <t xml:space="preserve">Rev_7.0 - Added εtl </t>
  </si>
  <si>
    <t xml:space="preserve">Rev_7.0 - Added εcl </t>
  </si>
  <si>
    <t>Rev_7.0 - Added Skin Reinforcement Spacing</t>
  </si>
  <si>
    <t>Rev_7.0- New phi factor equation per 5.5.4.2.1-2</t>
  </si>
  <si>
    <r>
      <t>Base Design Wind Speed, V</t>
    </r>
    <r>
      <rPr>
        <sz val="10"/>
        <rFont val="Arial"/>
        <family val="2"/>
      </rPr>
      <t xml:space="preserve"> = </t>
    </r>
  </si>
  <si>
    <r>
      <t xml:space="preserve">Horizontal Wind Load  </t>
    </r>
    <r>
      <rPr>
        <b/>
        <i/>
        <sz val="10"/>
        <rFont val="Arial"/>
        <family val="2"/>
      </rPr>
      <t>{AASHTO LRFD 3.8.1}</t>
    </r>
  </si>
  <si>
    <t>Figure 3.8.1.1.2-1</t>
  </si>
  <si>
    <r>
      <t>3-Second Gust Wind Speed (mph), V</t>
    </r>
    <r>
      <rPr>
        <vertAlign val="subscript"/>
        <sz val="9"/>
        <rFont val="Arial Narrow"/>
        <family val="2"/>
      </rPr>
      <t>3</t>
    </r>
  </si>
  <si>
    <t>Service I</t>
  </si>
  <si>
    <r>
      <t>WS Load Factors*</t>
    </r>
    <r>
      <rPr>
        <i/>
        <u/>
        <sz val="10"/>
        <rFont val="Arial"/>
        <family val="2"/>
      </rPr>
      <t xml:space="preserve"> {Table 3.4.1-1}</t>
    </r>
  </si>
  <si>
    <r>
      <t xml:space="preserve">Wind Load on Live Load (WL)   </t>
    </r>
    <r>
      <rPr>
        <b/>
        <i/>
        <sz val="10"/>
        <rFont val="Arial"/>
        <family val="2"/>
      </rPr>
      <t>{AASHTO LRFD 3.8.1.3}</t>
    </r>
  </si>
  <si>
    <r>
      <t>Vertical Wind Load (Uplift) on Superstructure (WS</t>
    </r>
    <r>
      <rPr>
        <b/>
        <vertAlign val="subscript"/>
        <sz val="10"/>
        <rFont val="Arial"/>
        <family val="2"/>
      </rPr>
      <t>uplift</t>
    </r>
    <r>
      <rPr>
        <b/>
        <sz val="10"/>
        <rFont val="Arial"/>
        <family val="2"/>
      </rPr>
      <t xml:space="preserve">)   </t>
    </r>
    <r>
      <rPr>
        <b/>
        <i/>
        <sz val="10"/>
        <rFont val="Arial"/>
        <family val="2"/>
      </rPr>
      <t>{AASHTO LRFD 3.8.2}</t>
    </r>
  </si>
  <si>
    <t>from AASHTO LRFD Figure 3.8.1.1.2-1</t>
  </si>
  <si>
    <r>
      <t xml:space="preserve">Loads from the Superstructure </t>
    </r>
    <r>
      <rPr>
        <b/>
        <i/>
        <u/>
        <sz val="10"/>
        <rFont val="Arial"/>
        <family val="2"/>
      </rPr>
      <t>{AASHTO LRFD 3.8.1.2.3a}</t>
    </r>
  </si>
  <si>
    <t>For all load combos, For girder superstructures</t>
  </si>
  <si>
    <r>
      <t xml:space="preserve">Wind Load on Structures (WS) </t>
    </r>
    <r>
      <rPr>
        <b/>
        <i/>
        <sz val="10"/>
        <rFont val="Arial"/>
        <family val="2"/>
      </rPr>
      <t>{AASHTO LRFD 3.8.1.2}</t>
    </r>
  </si>
  <si>
    <t>Consider Both Spans Loaded</t>
  </si>
  <si>
    <t>Consider Only Longest Span Loaded (Construction)</t>
  </si>
  <si>
    <t xml:space="preserve">Exposed Area = </t>
  </si>
  <si>
    <t xml:space="preserve">Total Load = </t>
  </si>
  <si>
    <r>
      <t xml:space="preserve">Wind on Cap </t>
    </r>
    <r>
      <rPr>
        <b/>
        <i/>
        <u/>
        <sz val="10"/>
        <rFont val="Arial"/>
        <family val="2"/>
      </rPr>
      <t>{AASHTO LRFD 3.8.1.2.3b}</t>
    </r>
  </si>
  <si>
    <t>End Elevation                 (ksf)</t>
  </si>
  <si>
    <t>Front Elevation                 (ksf)</t>
  </si>
  <si>
    <t>Pressure, Pz, Component on Cap</t>
  </si>
  <si>
    <r>
      <t xml:space="preserve">Wind on Column </t>
    </r>
    <r>
      <rPr>
        <b/>
        <i/>
        <u/>
        <sz val="10"/>
        <rFont val="Arial"/>
        <family val="2"/>
      </rPr>
      <t>{AASHTO LRFD 3.8.1.2.3b}</t>
    </r>
  </si>
  <si>
    <t>Pressure, Pz, Component on Column</t>
  </si>
  <si>
    <t>Trans Face                 (ksf)</t>
  </si>
  <si>
    <t>Long Face                 (ksf)</t>
  </si>
  <si>
    <r>
      <t xml:space="preserve">Centroid of Wind Force on Column </t>
    </r>
    <r>
      <rPr>
        <sz val="11"/>
        <rFont val="Arial Narrow"/>
        <family val="2"/>
      </rPr>
      <t>=</t>
    </r>
  </si>
  <si>
    <r>
      <t>Trans Face of column (wind on Col-X)</t>
    </r>
    <r>
      <rPr>
        <sz val="9"/>
        <rFont val="Arial Narrow"/>
        <family val="2"/>
      </rPr>
      <t xml:space="preserve"> </t>
    </r>
    <r>
      <rPr>
        <sz val="11"/>
        <rFont val="Arial Narrow"/>
        <family val="2"/>
      </rPr>
      <t>=</t>
    </r>
  </si>
  <si>
    <r>
      <t>Long Face of column (wind on Col-Y)</t>
    </r>
    <r>
      <rPr>
        <sz val="9"/>
        <rFont val="Arial Narrow"/>
        <family val="2"/>
      </rPr>
      <t xml:space="preserve"> </t>
    </r>
    <r>
      <rPr>
        <sz val="11"/>
        <rFont val="Arial Narrow"/>
        <family val="2"/>
      </rPr>
      <t>=</t>
    </r>
  </si>
  <si>
    <t xml:space="preserve">Trans column area = </t>
  </si>
  <si>
    <t xml:space="preserve">Long column area = </t>
  </si>
  <si>
    <r>
      <t>{0.012*(d</t>
    </r>
    <r>
      <rPr>
        <i/>
        <vertAlign val="subscript"/>
        <sz val="9"/>
        <rFont val="Arial"/>
        <family val="2"/>
      </rPr>
      <t>e</t>
    </r>
    <r>
      <rPr>
        <i/>
        <sz val="9"/>
        <rFont val="Arial"/>
        <family val="2"/>
      </rPr>
      <t>-30)}</t>
    </r>
  </si>
  <si>
    <r>
      <t>{lesser of 0.012*(d</t>
    </r>
    <r>
      <rPr>
        <i/>
        <vertAlign val="subscript"/>
        <sz val="9"/>
        <rFont val="Arial"/>
        <family val="2"/>
      </rPr>
      <t>e</t>
    </r>
    <r>
      <rPr>
        <i/>
        <sz val="9"/>
        <rFont val="Arial"/>
        <family val="2"/>
      </rPr>
      <t>-30) and (As+Aps)/4}</t>
    </r>
  </si>
  <si>
    <r>
      <t>{0.012*(d</t>
    </r>
    <r>
      <rPr>
        <i/>
        <vertAlign val="subscript"/>
        <sz val="9"/>
        <rFont val="Arial"/>
        <family val="2"/>
      </rPr>
      <t>e</t>
    </r>
    <r>
      <rPr>
        <i/>
        <sz val="9"/>
        <rFont val="Arial"/>
        <family val="2"/>
      </rPr>
      <t>-30)}</t>
    </r>
  </si>
  <si>
    <t>7.0 - Updated references and equations per LRFD 7th Edition with 2016 Interims, revised entire Wind Load calculations tab, made various formatting changes throughout document</t>
  </si>
  <si>
    <t xml:space="preserve">        Removed DL stress check; added tension/compression strain limits and revised phi equation; updated centrifugal force equation</t>
  </si>
  <si>
    <t>Max Column Height =</t>
  </si>
  <si>
    <t>Skew Coefficients</t>
  </si>
  <si>
    <r>
      <t>WS-Uplift</t>
    </r>
    <r>
      <rPr>
        <sz val="10"/>
        <rFont val="Arial"/>
        <family val="2"/>
      </rPr>
      <t xml:space="preserve"> (Longest Span Only)</t>
    </r>
  </si>
  <si>
    <t>T1P</t>
  </si>
  <si>
    <t>T224</t>
  </si>
  <si>
    <t>T631</t>
  </si>
  <si>
    <t>T631LS</t>
  </si>
  <si>
    <t>C412</t>
  </si>
  <si>
    <t>C66</t>
  </si>
  <si>
    <t xml:space="preserve">Elevation Adjustment* = </t>
  </si>
  <si>
    <t>*(Added to column H height for wind elev)</t>
  </si>
  <si>
    <r>
      <t>Substructure P</t>
    </r>
    <r>
      <rPr>
        <vertAlign val="subscript"/>
        <sz val="10"/>
        <rFont val="Arial"/>
        <family val="2"/>
      </rPr>
      <t>z</t>
    </r>
    <r>
      <rPr>
        <sz val="10"/>
        <rFont val="Arial"/>
        <family val="2"/>
      </rPr>
      <t xml:space="preserve"> = </t>
    </r>
  </si>
  <si>
    <r>
      <t>Superstructure P</t>
    </r>
    <r>
      <rPr>
        <vertAlign val="subscript"/>
        <sz val="10"/>
        <rFont val="Arial"/>
        <family val="2"/>
      </rPr>
      <t>z</t>
    </r>
    <r>
      <rPr>
        <sz val="10"/>
        <rFont val="Arial"/>
        <family val="2"/>
      </rPr>
      <t xml:space="preserve"> = </t>
    </r>
  </si>
  <si>
    <r>
      <t>*Substructure P</t>
    </r>
    <r>
      <rPr>
        <vertAlign val="subscript"/>
        <sz val="10"/>
        <rFont val="Arial"/>
        <family val="2"/>
      </rPr>
      <t>z</t>
    </r>
    <r>
      <rPr>
        <sz val="10"/>
        <rFont val="Arial"/>
        <family val="2"/>
      </rPr>
      <t xml:space="preserve"> = </t>
    </r>
  </si>
  <si>
    <r>
      <t>*Superstructure P</t>
    </r>
    <r>
      <rPr>
        <vertAlign val="subscript"/>
        <sz val="10"/>
        <rFont val="Arial"/>
        <family val="2"/>
      </rPr>
      <t>z</t>
    </r>
    <r>
      <rPr>
        <sz val="10"/>
        <rFont val="Arial"/>
        <family val="2"/>
      </rPr>
      <t xml:space="preserve"> = </t>
    </r>
  </si>
  <si>
    <t>*Pz calculated using Kz for Str III / Serv IV</t>
  </si>
  <si>
    <r>
      <t>*To simplify force calculations, wind pressure is calculated on the following pages using V</t>
    </r>
    <r>
      <rPr>
        <vertAlign val="subscript"/>
        <sz val="9"/>
        <rFont val="Arial Narrow"/>
        <family val="2"/>
      </rPr>
      <t>3</t>
    </r>
    <r>
      <rPr>
        <sz val="9"/>
        <rFont val="Arial Narrow"/>
        <family val="2"/>
      </rPr>
      <t xml:space="preserve"> and K</t>
    </r>
    <r>
      <rPr>
        <vertAlign val="subscript"/>
        <sz val="9"/>
        <rFont val="Arial Narrow"/>
        <family val="2"/>
      </rPr>
      <t>z</t>
    </r>
    <r>
      <rPr>
        <sz val="9"/>
        <rFont val="Arial Narrow"/>
        <family val="2"/>
      </rPr>
      <t xml:space="preserve"> for Strength III load combination. Load factors</t>
    </r>
  </si>
  <si>
    <t xml:space="preserve"> are adjusted based on appropriate ratios for each load combination, and will be applied to the forces in column analysis.</t>
  </si>
  <si>
    <r>
      <t>New LF = Orig LF x V</t>
    </r>
    <r>
      <rPr>
        <vertAlign val="subscript"/>
        <sz val="10"/>
        <rFont val="Arial"/>
        <family val="2"/>
      </rPr>
      <t>3</t>
    </r>
    <r>
      <rPr>
        <vertAlign val="superscript"/>
        <sz val="10"/>
        <rFont val="Arial"/>
        <family val="2"/>
      </rPr>
      <t>2</t>
    </r>
    <r>
      <rPr>
        <sz val="10"/>
        <rFont val="Arial"/>
        <family val="2"/>
      </rPr>
      <t xml:space="preserve"> / V</t>
    </r>
    <r>
      <rPr>
        <vertAlign val="superscript"/>
        <sz val="10"/>
        <rFont val="Arial"/>
        <family val="2"/>
      </rPr>
      <t>2</t>
    </r>
    <r>
      <rPr>
        <vertAlign val="subscript"/>
        <sz val="10"/>
        <rFont val="Arial"/>
        <family val="2"/>
      </rPr>
      <t>3(III)</t>
    </r>
    <r>
      <rPr>
        <vertAlign val="superscript"/>
        <sz val="10"/>
        <rFont val="Arial"/>
        <family val="2"/>
      </rPr>
      <t xml:space="preserve"> </t>
    </r>
    <r>
      <rPr>
        <sz val="10"/>
        <rFont val="Arial"/>
        <family val="2"/>
      </rPr>
      <t>x K</t>
    </r>
    <r>
      <rPr>
        <vertAlign val="subscript"/>
        <sz val="10"/>
        <rFont val="Arial"/>
        <family val="2"/>
      </rPr>
      <t>z</t>
    </r>
    <r>
      <rPr>
        <sz val="10"/>
        <rFont val="Arial"/>
        <family val="2"/>
      </rPr>
      <t xml:space="preserve"> / K</t>
    </r>
    <r>
      <rPr>
        <vertAlign val="subscript"/>
        <sz val="10"/>
        <rFont val="Arial"/>
        <family val="2"/>
      </rPr>
      <t>z(III)</t>
    </r>
  </si>
  <si>
    <t xml:space="preserve">*Uplift pressure is 10 psf for Service IV load combination. To account for this, Service IV load factor in </t>
  </si>
  <si>
    <t>LRFD_Col_Analysis is set to 0.5.</t>
  </si>
  <si>
    <t>Strength III load combination*</t>
  </si>
  <si>
    <r>
      <t>{Not less than V</t>
    </r>
    <r>
      <rPr>
        <i/>
        <vertAlign val="subscript"/>
        <sz val="9"/>
        <rFont val="Arial"/>
        <family val="2"/>
      </rPr>
      <t>u</t>
    </r>
    <r>
      <rPr>
        <i/>
        <sz val="9"/>
        <rFont val="Arial"/>
        <family val="2"/>
      </rPr>
      <t>* d</t>
    </r>
    <r>
      <rPr>
        <i/>
        <vertAlign val="subscript"/>
        <sz val="9"/>
        <rFont val="Arial"/>
        <family val="2"/>
      </rPr>
      <t>v</t>
    </r>
    <r>
      <rPr>
        <i/>
        <sz val="9"/>
        <rFont val="Arial"/>
        <family val="2"/>
      </rPr>
      <t>}</t>
    </r>
  </si>
  <si>
    <t>Pradeep Kumar</t>
  </si>
  <si>
    <t>T2P</t>
  </si>
  <si>
    <t>C2P</t>
  </si>
  <si>
    <t>T222</t>
  </si>
  <si>
    <t>PR1/PR11</t>
  </si>
  <si>
    <t>PR22</t>
  </si>
  <si>
    <r>
      <t xml:space="preserve">7.1 - Removed 0.9d+ from dv note in </t>
    </r>
    <r>
      <rPr>
        <i/>
        <sz val="10"/>
        <rFont val="Arial"/>
        <family val="2"/>
      </rPr>
      <t>Shear(s)</t>
    </r>
    <r>
      <rPr>
        <sz val="10"/>
        <rFont val="Arial"/>
        <family val="2"/>
      </rPr>
      <t xml:space="preserve"> tab. Corrected phi note formula in </t>
    </r>
    <r>
      <rPr>
        <i/>
        <sz val="10"/>
        <rFont val="Arial"/>
        <family val="2"/>
      </rPr>
      <t>Bars A</t>
    </r>
    <r>
      <rPr>
        <sz val="10"/>
        <rFont val="Arial"/>
        <family val="2"/>
      </rPr>
      <t xml:space="preserve"> and </t>
    </r>
    <r>
      <rPr>
        <i/>
        <sz val="10"/>
        <rFont val="Arial"/>
        <family val="2"/>
      </rPr>
      <t>Bars B</t>
    </r>
    <r>
      <rPr>
        <sz val="10"/>
        <rFont val="Arial"/>
        <family val="2"/>
      </rPr>
      <t xml:space="preserve"> tab. Added rail type T2P, C2P, T222, PR11 and PR22.</t>
    </r>
  </si>
  <si>
    <t>William Clementson</t>
  </si>
  <si>
    <t>8.0 - Updated references and equations per LRFD 9th Edition and other changes based on validation comments</t>
  </si>
  <si>
    <t>LRFD 9th Edition</t>
  </si>
  <si>
    <t>Sections 3-5</t>
  </si>
  <si>
    <t>November 2021</t>
  </si>
  <si>
    <t>Ch. 2, Ch. 4-4, and Ch. 4-5</t>
  </si>
  <si>
    <t>Nominal Beam Spacing of Backward Span =</t>
  </si>
  <si>
    <t>* Measured C-C of Bents with adjustments made for skew (not printed). See skew angle inputs on the following page.</t>
  </si>
  <si>
    <t>1.  AASHTO LRFD Bridge Design Specifications, 9th Edition, 2020</t>
  </si>
  <si>
    <t>1.  TxDOT Bridge Design Manual - LRFD (November 2021)</t>
  </si>
  <si>
    <t>3.  TxDOT Roadway Design Manual (May 2022)</t>
  </si>
  <si>
    <t>Back Dist. from CL last bm to end of cap (along CL bent) =</t>
  </si>
  <si>
    <t>Fwd Dist. from CL last bm to end of cap (along CL bent) =</t>
  </si>
  <si>
    <t>Min Dist. Rqd from bm 1 centerline to cap end =</t>
  </si>
  <si>
    <t>Min Dist. Rqd from last bm centerline to cap end =</t>
  </si>
  <si>
    <t xml:space="preserve">L Cap End is </t>
  </si>
  <si>
    <t>--</t>
  </si>
  <si>
    <t>CL Bent to CL Brg (⊥ bent) =</t>
  </si>
  <si>
    <t>not used</t>
  </si>
  <si>
    <t>* Total span moments shown are positive to the right of column and negative to the left of column.</t>
  </si>
  <si>
    <t>(Live load model illustration adapted from the TxDOT Bridge Design Guide (March 2022).</t>
  </si>
  <si>
    <t>Lanes Max</t>
  </si>
  <si>
    <r>
      <t>Factored Flexural Resistance</t>
    </r>
    <r>
      <rPr>
        <b/>
        <i/>
        <sz val="10"/>
        <rFont val="Arial"/>
        <family val="2"/>
      </rPr>
      <t xml:space="preserve">  {AASHTO LRFD 5.6.3.2.1}</t>
    </r>
  </si>
  <si>
    <t>{AASHTO LRFD 5.6.2.2}</t>
  </si>
  <si>
    <t>{modified from AASHTO LRFD 5.6.3.1.1-4}</t>
  </si>
  <si>
    <r>
      <t>d</t>
    </r>
    <r>
      <rPr>
        <b/>
        <vertAlign val="subscript"/>
        <sz val="10"/>
        <rFont val="Arial"/>
        <family val="2"/>
      </rPr>
      <t>s</t>
    </r>
    <r>
      <rPr>
        <b/>
        <sz val="10"/>
        <rFont val="Arial"/>
        <family val="2"/>
      </rPr>
      <t xml:space="preserve"> =</t>
    </r>
  </si>
  <si>
    <t>{AASHTO LRFD 5.6.2.1}</t>
  </si>
  <si>
    <t>{AASHTO LRFD 5.5.4.2-2}</t>
  </si>
  <si>
    <t>{simplified from AASHTO LRFD 5.6.3.2}</t>
  </si>
  <si>
    <r>
      <t xml:space="preserve">Minimum Reinforcement </t>
    </r>
    <r>
      <rPr>
        <b/>
        <i/>
        <sz val="10"/>
        <rFont val="Arial"/>
        <family val="2"/>
      </rPr>
      <t>{AASHTO LRFD 5.6.3.3}</t>
    </r>
  </si>
  <si>
    <t>{simplified from AASHTO LRFD 5.6.3.3-1}</t>
  </si>
  <si>
    <r>
      <t>{Including γ</t>
    </r>
    <r>
      <rPr>
        <i/>
        <vertAlign val="subscript"/>
        <sz val="9"/>
        <rFont val="Arial"/>
        <family val="2"/>
      </rPr>
      <t>1</t>
    </r>
    <r>
      <rPr>
        <i/>
        <sz val="9"/>
        <rFont val="Arial"/>
        <family val="2"/>
      </rPr>
      <t xml:space="preserve"> &amp; γ</t>
    </r>
    <r>
      <rPr>
        <i/>
        <vertAlign val="subscript"/>
        <sz val="9"/>
        <rFont val="Arial"/>
        <family val="2"/>
      </rPr>
      <t>3</t>
    </r>
    <r>
      <rPr>
        <i/>
        <sz val="9"/>
        <rFont val="Arial"/>
        <family val="2"/>
      </rPr>
      <t>}</t>
    </r>
  </si>
  <si>
    <t>{AASHTO LRFD 5.10.6}</t>
  </si>
  <si>
    <t xml:space="preserve">  {AASHTO LRFD 5.6.1}</t>
  </si>
  <si>
    <r>
      <t xml:space="preserve">Distribution of Reinforcement for Crack Control </t>
    </r>
    <r>
      <rPr>
        <b/>
        <i/>
        <sz val="10"/>
        <rFont val="Arial"/>
        <family val="2"/>
      </rPr>
      <t>{AASHTO LRFD 5.6.7}</t>
    </r>
  </si>
  <si>
    <t>{AASHTO LRFD 5.6.7-1}</t>
  </si>
  <si>
    <t>{AASHTO LRFD 5.6.7-3}</t>
  </si>
  <si>
    <t>{simplified from AASHTO LRFD 5.6.3.3}</t>
  </si>
  <si>
    <t>Mcr+=</t>
  </si>
  <si>
    <t>Mcr-=</t>
  </si>
  <si>
    <t>{AASHTO LRFD 5.6.1}</t>
  </si>
  <si>
    <t>{AASHTO LRFD 5.7.2.8}</t>
  </si>
  <si>
    <t>(Modification factors included - AASHTO LRFD 5.10.8.2.1a)</t>
  </si>
  <si>
    <r>
      <t>{(|M</t>
    </r>
    <r>
      <rPr>
        <i/>
        <vertAlign val="subscript"/>
        <sz val="8.5"/>
        <rFont val="Arial"/>
        <family val="2"/>
      </rPr>
      <t>u</t>
    </r>
    <r>
      <rPr>
        <i/>
        <sz val="8.5"/>
        <rFont val="Arial"/>
        <family val="2"/>
      </rPr>
      <t>|/d</t>
    </r>
    <r>
      <rPr>
        <i/>
        <vertAlign val="subscript"/>
        <sz val="8.5"/>
        <rFont val="Arial"/>
        <family val="2"/>
      </rPr>
      <t>v</t>
    </r>
    <r>
      <rPr>
        <i/>
        <sz val="8.5"/>
        <rFont val="Arial"/>
        <family val="2"/>
      </rPr>
      <t xml:space="preserve"> + 0.5|V</t>
    </r>
    <r>
      <rPr>
        <i/>
        <vertAlign val="subscript"/>
        <sz val="8.5"/>
        <rFont val="Arial"/>
        <family val="2"/>
      </rPr>
      <t>u</t>
    </r>
    <r>
      <rPr>
        <i/>
        <sz val="8.5"/>
        <rFont val="Arial"/>
        <family val="2"/>
      </rPr>
      <t>|cotθ) / (2E</t>
    </r>
    <r>
      <rPr>
        <i/>
        <vertAlign val="subscript"/>
        <sz val="8.5"/>
        <rFont val="Arial"/>
        <family val="2"/>
      </rPr>
      <t>s</t>
    </r>
    <r>
      <rPr>
        <i/>
        <sz val="8.5"/>
        <rFont val="Arial"/>
        <family val="2"/>
      </rPr>
      <t>A</t>
    </r>
    <r>
      <rPr>
        <i/>
        <vertAlign val="subscript"/>
        <sz val="8.5"/>
        <rFont val="Arial"/>
        <family val="2"/>
      </rPr>
      <t>s</t>
    </r>
    <r>
      <rPr>
        <i/>
        <sz val="8.5"/>
        <rFont val="Arial"/>
        <family val="2"/>
      </rPr>
      <t>) ≤ 0.001  - AASHTO LRFD B5.2-3}</t>
    </r>
  </si>
  <si>
    <r>
      <t>{|V</t>
    </r>
    <r>
      <rPr>
        <i/>
        <vertAlign val="subscript"/>
        <sz val="9"/>
        <rFont val="Arial"/>
        <family val="2"/>
      </rPr>
      <t>u</t>
    </r>
    <r>
      <rPr>
        <i/>
        <sz val="9"/>
        <rFont val="Arial"/>
        <family val="2"/>
      </rPr>
      <t>|/Φb</t>
    </r>
    <r>
      <rPr>
        <i/>
        <vertAlign val="subscript"/>
        <sz val="9"/>
        <rFont val="Arial"/>
        <family val="2"/>
      </rPr>
      <t>v</t>
    </r>
    <r>
      <rPr>
        <i/>
        <sz val="9"/>
        <rFont val="Arial"/>
        <family val="2"/>
      </rPr>
      <t>d</t>
    </r>
    <r>
      <rPr>
        <i/>
        <vertAlign val="subscript"/>
        <sz val="9"/>
        <rFont val="Arial"/>
        <family val="2"/>
      </rPr>
      <t>v</t>
    </r>
    <r>
      <rPr>
        <i/>
        <sz val="9"/>
        <rFont val="Arial"/>
        <family val="2"/>
      </rPr>
      <t xml:space="preserve">  - modified from AASHTO LRFD 5.7.2.8-1}</t>
    </r>
  </si>
  <si>
    <r>
      <t>q</t>
    </r>
    <r>
      <rPr>
        <b/>
        <sz val="9"/>
        <rFont val="Tahoma"/>
        <family val="2"/>
      </rPr>
      <t xml:space="preserve"> - VALUES FROM TABLE B5.2-1</t>
    </r>
  </si>
  <si>
    <r>
      <t>b</t>
    </r>
    <r>
      <rPr>
        <b/>
        <sz val="9"/>
        <rFont val="Tahoma"/>
        <family val="2"/>
      </rPr>
      <t xml:space="preserve"> - VALUES FROM TABLE B5.2-1</t>
    </r>
  </si>
  <si>
    <t>{AASHTO LRFD Table B5.2-1}</t>
  </si>
  <si>
    <r>
      <t>{V</t>
    </r>
    <r>
      <rPr>
        <i/>
        <vertAlign val="subscript"/>
        <sz val="9"/>
        <rFont val="Arial"/>
        <family val="2"/>
      </rPr>
      <t>s</t>
    </r>
    <r>
      <rPr>
        <i/>
        <sz val="9"/>
        <rFont val="Arial"/>
        <family val="2"/>
      </rPr>
      <t xml:space="preserve"> = A</t>
    </r>
    <r>
      <rPr>
        <i/>
        <vertAlign val="subscript"/>
        <sz val="9"/>
        <rFont val="Arial"/>
        <family val="2"/>
      </rPr>
      <t>v</t>
    </r>
    <r>
      <rPr>
        <i/>
        <sz val="9"/>
        <rFont val="Arial"/>
        <family val="2"/>
      </rPr>
      <t>f</t>
    </r>
    <r>
      <rPr>
        <i/>
        <vertAlign val="subscript"/>
        <sz val="9"/>
        <rFont val="Arial"/>
        <family val="2"/>
      </rPr>
      <t>y</t>
    </r>
    <r>
      <rPr>
        <i/>
        <sz val="9"/>
        <rFont val="Arial"/>
        <family val="2"/>
      </rPr>
      <t>d</t>
    </r>
    <r>
      <rPr>
        <i/>
        <vertAlign val="subscript"/>
        <sz val="9"/>
        <rFont val="Arial"/>
        <family val="2"/>
      </rPr>
      <t>v</t>
    </r>
    <r>
      <rPr>
        <i/>
        <sz val="9"/>
        <rFont val="Arial"/>
        <family val="2"/>
      </rPr>
      <t>cot(θ) / s   - modified from AASHTO LRFD 5.7.3.3-4}</t>
    </r>
  </si>
  <si>
    <t>{ modified from AASHTO LRFD 5.7.3.3-1 and 3-2}</t>
  </si>
  <si>
    <r>
      <t>{A</t>
    </r>
    <r>
      <rPr>
        <i/>
        <vertAlign val="subscript"/>
        <sz val="9"/>
        <rFont val="Arial"/>
        <family val="2"/>
      </rPr>
      <t>v</t>
    </r>
    <r>
      <rPr>
        <i/>
        <sz val="9"/>
        <rFont val="Arial"/>
        <family val="2"/>
      </rPr>
      <t xml:space="preserve"> ≥ 0.0316√(f'</t>
    </r>
    <r>
      <rPr>
        <i/>
        <vertAlign val="subscript"/>
        <sz val="9"/>
        <rFont val="Arial"/>
        <family val="2"/>
      </rPr>
      <t>c</t>
    </r>
    <r>
      <rPr>
        <i/>
        <sz val="9"/>
        <rFont val="Arial"/>
        <family val="2"/>
      </rPr>
      <t>) b</t>
    </r>
    <r>
      <rPr>
        <i/>
        <vertAlign val="subscript"/>
        <sz val="9"/>
        <rFont val="Arial"/>
        <family val="2"/>
      </rPr>
      <t>v</t>
    </r>
    <r>
      <rPr>
        <i/>
        <sz val="9"/>
        <rFont val="Arial"/>
        <family val="2"/>
      </rPr>
      <t xml:space="preserve"> s / f</t>
    </r>
    <r>
      <rPr>
        <i/>
        <vertAlign val="subscript"/>
        <sz val="9"/>
        <rFont val="Arial"/>
        <family val="2"/>
      </rPr>
      <t>y</t>
    </r>
    <r>
      <rPr>
        <i/>
        <sz val="9"/>
        <rFont val="Arial"/>
        <family val="2"/>
      </rPr>
      <t xml:space="preserve">   - AASHTO LRFD 5.7.2.5-1}</t>
    </r>
  </si>
  <si>
    <t>Maximum Spacing at face of column =</t>
  </si>
  <si>
    <t>TEST</t>
  </si>
  <si>
    <t>TEST PROJECT</t>
  </si>
  <si>
    <t>{TxDOT RDM Ch. 2 Sec. 5}</t>
  </si>
  <si>
    <t>*All 1.0 per AASHTO 9th Edition</t>
  </si>
  <si>
    <t>assumed λrc =</t>
  </si>
  <si>
    <t>Left Overhang</t>
  </si>
  <si>
    <t>Right Overhang</t>
  </si>
  <si>
    <t>Length</t>
  </si>
  <si>
    <t>Shear at Face</t>
  </si>
  <si>
    <t>{AASHTO LRFD 5.7.3.4.2-5}</t>
  </si>
  <si>
    <r>
      <t>b</t>
    </r>
    <r>
      <rPr>
        <vertAlign val="subscript"/>
        <sz val="10"/>
        <rFont val="Arial"/>
        <family val="2"/>
      </rPr>
      <t>e</t>
    </r>
    <r>
      <rPr>
        <sz val="10"/>
        <rFont val="Arial"/>
        <family val="2"/>
      </rPr>
      <t xml:space="preserve"> =</t>
    </r>
  </si>
  <si>
    <t>{AASHTO LRFD 5.7.2.1}</t>
  </si>
  <si>
    <r>
      <t>A</t>
    </r>
    <r>
      <rPr>
        <vertAlign val="subscript"/>
        <sz val="10"/>
        <rFont val="Arial"/>
        <family val="2"/>
      </rPr>
      <t>o</t>
    </r>
    <r>
      <rPr>
        <sz val="10"/>
        <rFont val="Arial"/>
        <family val="2"/>
      </rPr>
      <t xml:space="preserve"> =</t>
    </r>
  </si>
  <si>
    <t>Exterior Girder Considered =</t>
  </si>
  <si>
    <t>{AASHTO LRFD 5.7.3.4.2}</t>
  </si>
  <si>
    <t>{AASHTO LRFD B5.2-3}</t>
  </si>
  <si>
    <t>{modified from AASHTO LRFD 5.7.2.8-1}</t>
  </si>
  <si>
    <t>{AASHTO LRFD 5.7.3.3-3}</t>
  </si>
  <si>
    <t>{modified from AASHTO LRFD 5.7.3.3-4}</t>
  </si>
  <si>
    <t>{modified from AASHTO LRFD 5.7.3.3-1 and 3-2}</t>
  </si>
  <si>
    <t>{AASHTO LRFD 5.7.2.6, 12" Max per TXDOT BDM}</t>
  </si>
  <si>
    <t>{AASHTO LRFD 5.7.2.5-1}</t>
  </si>
  <si>
    <t xml:space="preserve">5% of (dsgn truck/tandem+lane load) = </t>
  </si>
  <si>
    <t>t</t>
  </si>
  <si>
    <t>Class 2</t>
  </si>
  <si>
    <t>1 Lane</t>
  </si>
  <si>
    <t>2+ Lanes</t>
  </si>
  <si>
    <t>MPF</t>
  </si>
  <si>
    <t>D to Rail</t>
  </si>
  <si>
    <t>Ext Lever Rule</t>
  </si>
  <si>
    <t>Int Lever Rule</t>
  </si>
  <si>
    <t>Lanes * MPF / Girders</t>
  </si>
  <si>
    <t>2 Lanes</t>
  </si>
  <si>
    <t>Int DF</t>
  </si>
  <si>
    <t>Ext DF</t>
  </si>
  <si>
    <t>Shear DF from</t>
  </si>
  <si>
    <t>Maximum reactions for exterior and interior beams calculated using lever rule and AASHTO LRFD Table 4.6.2.2.3a-1 as described in the TxDOT Bridge Design Manual. The following calculations assume a zero skew angle. Distribution factors shown include the multiple presence factors where applicable.</t>
  </si>
  <si>
    <t>Table 4.6.2.2.3a/b-1</t>
  </si>
  <si>
    <t>Force at Face of Column</t>
  </si>
  <si>
    <t>Outer Left Column</t>
  </si>
  <si>
    <t>Inner Left Column</t>
  </si>
  <si>
    <t>Inner Right Column</t>
  </si>
  <si>
    <t>Max Shear Case</t>
  </si>
  <si>
    <t>Max Torsion Case</t>
  </si>
  <si>
    <t>Outer Right Column</t>
  </si>
  <si>
    <t>CF (ft)</t>
  </si>
  <si>
    <t>Backspan Girder</t>
  </si>
  <si>
    <t>Fwdspan Girder</t>
  </si>
  <si>
    <t>Cole Miller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</si>
</sst>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4" formatCode="_(&quot;$&quot;* #,##0.00_);_(&quot;$&quot;* \(#,##0.00\);_(&quot;$&quot;* &quot;-&quot;??_);_(@_)"/>
    <numFmt numFmtId="43" formatCode="_(* #,##0.00_);_(* \(#,##0.00\);_(* &quot;-&quot;??_);_(@_)"/>
    <numFmt numFmtId="164" formatCode="0.0"/>
    <numFmt numFmtId="165" formatCode="0.000"/>
    <numFmt numFmtId="166" formatCode="##0.000\ \f\t"/>
    <numFmt numFmtId="167" formatCode="_(#,##0.000_);_(\(#,##0.000\);_(&quot;-&quot;??_);_(@_)"/>
    <numFmt numFmtId="168" formatCode="0.0000"/>
    <numFmt numFmtId="169" formatCode="0.000E+00"/>
    <numFmt numFmtId="170" formatCode="0.0%"/>
    <numFmt numFmtId="171" formatCode="0.00\ \k"/>
    <numFmt numFmtId="172" formatCode="0.000\ \f\t"/>
    <numFmt numFmtId="173" formatCode="0.000000"/>
    <numFmt numFmtId="174" formatCode="0.000\ &quot;k/ft&quot;"/>
    <numFmt numFmtId="175" formatCode="&quot;Individual Beams&quot;"/>
    <numFmt numFmtId="176" formatCode="&quot;Cumulative&quot;"/>
    <numFmt numFmtId="177" formatCode="#.0\ \k"/>
    <numFmt numFmtId="178" formatCode="&quot;BB&quot;#"/>
    <numFmt numFmtId="179" formatCode="0.00\ &quot;ft&quot;"/>
    <numFmt numFmtId="180" formatCode="#.00\ \k"/>
    <numFmt numFmtId="181" formatCode="0\ \k"/>
    <numFmt numFmtId="182" formatCode="0\ &quot;k-ft&quot;"/>
    <numFmt numFmtId="183" formatCode="#.00\ \f\t"/>
    <numFmt numFmtId="184" formatCode="#\ \k"/>
    <numFmt numFmtId="185" formatCode="&quot;FB&quot;#"/>
    <numFmt numFmtId="186" formatCode="0.00\ &quot;k/ft&quot;"/>
    <numFmt numFmtId="187" formatCode="0.0\ \k"/>
    <numFmt numFmtId="188" formatCode="0\ &quot;mph&quot;"/>
    <numFmt numFmtId="189" formatCode="0.0&quot;''&quot;"/>
    <numFmt numFmtId="190" formatCode="0\ &quot;in&quot;"/>
    <numFmt numFmtId="191" formatCode="#.0\ &quot;k-ft&quot;"/>
    <numFmt numFmtId="192" formatCode="#\ \k\-\f\t"/>
    <numFmt numFmtId="193" formatCode="0\ \k\-\f\t"/>
    <numFmt numFmtId="194" formatCode="0.00\ &quot;ft from edge of slab&quot;"/>
    <numFmt numFmtId="195" formatCode="#.000\'"/>
    <numFmt numFmtId="196" formatCode="0.00\ &quot;ft inside of slab edge&quot;"/>
    <numFmt numFmtId="197" formatCode="&quot;Beam &quot;\ ##\ &quot;=&quot;"/>
    <numFmt numFmtId="198" formatCode="0.000\'"/>
    <numFmt numFmtId="199" formatCode="0.0\ &quot;k&quot;"/>
    <numFmt numFmtId="200" formatCode="0.0\ &quot;k-ft&quot;"/>
    <numFmt numFmtId="201" formatCode="0.00\ \f\t"/>
    <numFmt numFmtId="202" formatCode="&quot;Beam &quot;0"/>
    <numFmt numFmtId="203" formatCode="0.0\ &quot;ft&quot;"/>
    <numFmt numFmtId="204" formatCode="\(\P\R\ \=\ 0.0%\)"/>
    <numFmt numFmtId="205" formatCode="0.000\ \°"/>
    <numFmt numFmtId="206" formatCode="0\ &quot;k&quot;"/>
    <numFmt numFmtId="207" formatCode="#\ &quot;in&quot;"/>
    <numFmt numFmtId="208" formatCode="0\ \°"/>
  </numFmts>
  <fonts count="148">
    <font>
      <sz val="10"/>
      <name val="Arial"/>
    </font>
    <font>
      <sz val="11"/>
      <color theme="1"/>
      <name val="Calibri"/>
      <family val="2"/>
      <scheme val="minor"/>
    </font>
    <font>
      <sz val="10"/>
      <name val="Arial"/>
      <family val="2"/>
    </font>
    <font>
      <sz val="10"/>
      <name val="Arial"/>
      <family val="2"/>
    </font>
    <font>
      <sz val="10"/>
      <name val="Arial"/>
      <family val="2"/>
    </font>
    <font>
      <sz val="10"/>
      <name val="Arial"/>
      <family val="2"/>
    </font>
    <font>
      <u/>
      <sz val="10"/>
      <color indexed="12"/>
      <name val="Arial"/>
      <family val="2"/>
    </font>
    <font>
      <sz val="10"/>
      <name val="Arial"/>
      <family val="2"/>
    </font>
    <font>
      <b/>
      <sz val="20"/>
      <name val="Arial"/>
      <family val="2"/>
    </font>
    <font>
      <b/>
      <sz val="12"/>
      <name val="Arial"/>
      <family val="2"/>
    </font>
    <font>
      <sz val="8"/>
      <name val="Arial"/>
      <family val="2"/>
    </font>
    <font>
      <b/>
      <sz val="9"/>
      <color indexed="9"/>
      <name val="Arial"/>
      <family val="2"/>
    </font>
    <font>
      <b/>
      <sz val="9"/>
      <name val="Arial"/>
      <family val="2"/>
    </font>
    <font>
      <sz val="9"/>
      <name val="Arial"/>
      <family val="2"/>
    </font>
    <font>
      <b/>
      <sz val="8"/>
      <name val="Arial"/>
      <family val="2"/>
    </font>
    <font>
      <b/>
      <sz val="10"/>
      <name val="Arial"/>
      <family val="2"/>
    </font>
    <font>
      <b/>
      <sz val="9"/>
      <color indexed="10"/>
      <name val="Arial"/>
      <family val="2"/>
    </font>
    <font>
      <vertAlign val="superscript"/>
      <sz val="9"/>
      <name val="Arial"/>
      <family val="2"/>
    </font>
    <font>
      <i/>
      <sz val="8"/>
      <name val="Arial"/>
      <family val="2"/>
    </font>
    <font>
      <i/>
      <vertAlign val="subscript"/>
      <sz val="8"/>
      <name val="Arial"/>
      <family val="2"/>
    </font>
    <font>
      <b/>
      <sz val="10"/>
      <color indexed="9"/>
      <name val="Arial"/>
      <family val="2"/>
    </font>
    <font>
      <i/>
      <sz val="9"/>
      <name val="Arial"/>
      <family val="2"/>
    </font>
    <font>
      <sz val="10"/>
      <color indexed="9"/>
      <name val="Arial"/>
      <family val="2"/>
    </font>
    <font>
      <vertAlign val="subscript"/>
      <sz val="9"/>
      <name val="Arial"/>
      <family val="2"/>
    </font>
    <font>
      <b/>
      <sz val="10"/>
      <name val="Arial"/>
      <family val="2"/>
    </font>
    <font>
      <sz val="10"/>
      <color indexed="10"/>
      <name val="Arial"/>
      <family val="2"/>
    </font>
    <font>
      <sz val="10"/>
      <name val="Arial"/>
      <family val="2"/>
    </font>
    <font>
      <vertAlign val="superscript"/>
      <sz val="10"/>
      <name val="Arial"/>
      <family val="2"/>
    </font>
    <font>
      <sz val="9"/>
      <name val="Arial Narrow"/>
      <family val="2"/>
    </font>
    <font>
      <b/>
      <sz val="10"/>
      <name val="Arial Narrow"/>
      <family val="2"/>
    </font>
    <font>
      <b/>
      <sz val="8"/>
      <name val="Arial"/>
      <family val="2"/>
    </font>
    <font>
      <sz val="10"/>
      <name val="Arial Narrow"/>
      <family val="2"/>
    </font>
    <font>
      <b/>
      <u/>
      <sz val="10"/>
      <name val="Arial"/>
      <family val="2"/>
    </font>
    <font>
      <vertAlign val="superscript"/>
      <sz val="8"/>
      <name val="Arial"/>
      <family val="2"/>
    </font>
    <font>
      <sz val="9"/>
      <name val="Arial"/>
      <family val="2"/>
    </font>
    <font>
      <b/>
      <vertAlign val="superscript"/>
      <sz val="10"/>
      <name val="Arial"/>
      <family val="2"/>
    </font>
    <font>
      <b/>
      <sz val="9.25"/>
      <name val="Arial"/>
      <family val="2"/>
    </font>
    <font>
      <b/>
      <sz val="11"/>
      <name val="Arial"/>
      <family val="2"/>
    </font>
    <font>
      <b/>
      <sz val="10"/>
      <color indexed="8"/>
      <name val="Arial"/>
      <family val="2"/>
    </font>
    <font>
      <b/>
      <sz val="12"/>
      <color indexed="8"/>
      <name val="Arial"/>
      <family val="2"/>
    </font>
    <font>
      <b/>
      <sz val="10"/>
      <color indexed="10"/>
      <name val="Arial"/>
      <family val="2"/>
    </font>
    <font>
      <sz val="10"/>
      <color indexed="9"/>
      <name val="Arial"/>
      <family val="2"/>
    </font>
    <font>
      <sz val="10"/>
      <name val="MS Sans Serif"/>
      <family val="2"/>
    </font>
    <font>
      <b/>
      <vertAlign val="subscript"/>
      <sz val="10"/>
      <name val="Arial"/>
      <family val="2"/>
    </font>
    <font>
      <b/>
      <i/>
      <sz val="10"/>
      <name val="Arial"/>
      <family val="2"/>
    </font>
    <font>
      <vertAlign val="subscript"/>
      <sz val="10"/>
      <name val="Arial"/>
      <family val="2"/>
    </font>
    <font>
      <sz val="8"/>
      <name val="Symbol"/>
      <family val="1"/>
      <charset val="2"/>
    </font>
    <font>
      <sz val="10"/>
      <name val="Symbol"/>
      <family val="1"/>
      <charset val="2"/>
    </font>
    <font>
      <sz val="10"/>
      <color indexed="12"/>
      <name val="Arial"/>
      <family val="2"/>
    </font>
    <font>
      <sz val="8"/>
      <name val="Arial"/>
      <family val="2"/>
    </font>
    <font>
      <i/>
      <vertAlign val="subscript"/>
      <sz val="9"/>
      <name val="Arial"/>
      <family val="2"/>
    </font>
    <font>
      <i/>
      <sz val="8"/>
      <name val="Symbol"/>
      <family val="1"/>
      <charset val="2"/>
    </font>
    <font>
      <i/>
      <sz val="10"/>
      <name val="Arial"/>
      <family val="2"/>
    </font>
    <font>
      <i/>
      <vertAlign val="subscript"/>
      <sz val="10"/>
      <name val="Arial"/>
      <family val="2"/>
    </font>
    <font>
      <i/>
      <sz val="9"/>
      <name val="Arial Narrow"/>
      <family val="2"/>
    </font>
    <font>
      <b/>
      <sz val="10"/>
      <color indexed="17"/>
      <name val="Arial Narrow"/>
      <family val="2"/>
    </font>
    <font>
      <i/>
      <vertAlign val="superscript"/>
      <sz val="10"/>
      <name val="Arial"/>
      <family val="2"/>
    </font>
    <font>
      <b/>
      <sz val="11"/>
      <color indexed="81"/>
      <name val="Tahoma"/>
      <family val="2"/>
    </font>
    <font>
      <b/>
      <sz val="14"/>
      <name val="Symbol"/>
      <family val="1"/>
      <charset val="2"/>
    </font>
    <font>
      <b/>
      <sz val="9"/>
      <name val="Tahoma"/>
      <family val="2"/>
    </font>
    <font>
      <b/>
      <sz val="10"/>
      <name val="Tahoma"/>
      <family val="2"/>
    </font>
    <font>
      <sz val="9"/>
      <name val="Tahoma"/>
      <family val="2"/>
    </font>
    <font>
      <sz val="12"/>
      <name val="Script"/>
      <family val="4"/>
      <charset val="255"/>
    </font>
    <font>
      <i/>
      <sz val="8.5"/>
      <name val="Arial"/>
      <family val="2"/>
    </font>
    <font>
      <i/>
      <vertAlign val="subscript"/>
      <sz val="8.5"/>
      <name val="Arial"/>
      <family val="2"/>
    </font>
    <font>
      <i/>
      <sz val="9"/>
      <name val="Arial"/>
      <family val="2"/>
    </font>
    <font>
      <sz val="10"/>
      <color indexed="8"/>
      <name val="Arial"/>
      <family val="2"/>
    </font>
    <font>
      <b/>
      <i/>
      <u/>
      <sz val="10"/>
      <name val="Arial"/>
      <family val="2"/>
    </font>
    <font>
      <b/>
      <i/>
      <sz val="9"/>
      <color indexed="10"/>
      <name val="Arial"/>
      <family val="2"/>
    </font>
    <font>
      <b/>
      <i/>
      <sz val="12"/>
      <name val="Arial"/>
      <family val="2"/>
    </font>
    <font>
      <b/>
      <i/>
      <sz val="14"/>
      <name val="Arial"/>
      <family val="2"/>
    </font>
    <font>
      <b/>
      <sz val="10"/>
      <name val="Symbol"/>
      <family val="1"/>
      <charset val="2"/>
    </font>
    <font>
      <b/>
      <sz val="9"/>
      <name val="Arial Narrow"/>
      <family val="2"/>
    </font>
    <font>
      <b/>
      <sz val="10"/>
      <color indexed="17"/>
      <name val="Arial"/>
      <family val="2"/>
    </font>
    <font>
      <i/>
      <u/>
      <sz val="10"/>
      <name val="Arial"/>
      <family val="2"/>
    </font>
    <font>
      <b/>
      <sz val="9"/>
      <name val="Arial"/>
      <family val="2"/>
    </font>
    <font>
      <sz val="10"/>
      <name val="Arial"/>
      <family val="2"/>
    </font>
    <font>
      <b/>
      <i/>
      <u/>
      <sz val="11"/>
      <name val="Arial"/>
      <family val="2"/>
    </font>
    <font>
      <sz val="10"/>
      <name val="Arial"/>
      <family val="2"/>
    </font>
    <font>
      <b/>
      <sz val="10"/>
      <color indexed="18"/>
      <name val="Arial"/>
      <family val="2"/>
    </font>
    <font>
      <b/>
      <sz val="10"/>
      <color indexed="18"/>
      <name val="Arial"/>
      <family val="2"/>
    </font>
    <font>
      <b/>
      <sz val="8"/>
      <color indexed="10"/>
      <name val="Arial"/>
      <family val="2"/>
    </font>
    <font>
      <b/>
      <i/>
      <u/>
      <sz val="10"/>
      <color indexed="18"/>
      <name val="Arial"/>
      <family val="2"/>
    </font>
    <font>
      <sz val="8"/>
      <color indexed="18"/>
      <name val="Arial"/>
      <family val="2"/>
    </font>
    <font>
      <b/>
      <sz val="8"/>
      <color indexed="57"/>
      <name val="Arial"/>
      <family val="2"/>
    </font>
    <font>
      <b/>
      <sz val="8"/>
      <color indexed="22"/>
      <name val="Arial"/>
      <family val="2"/>
    </font>
    <font>
      <vertAlign val="subscript"/>
      <sz val="8"/>
      <color indexed="18"/>
      <name val="Arial"/>
      <family val="2"/>
    </font>
    <font>
      <b/>
      <i/>
      <sz val="11"/>
      <color indexed="18"/>
      <name val="Arial"/>
      <family val="2"/>
    </font>
    <font>
      <b/>
      <sz val="8"/>
      <color indexed="55"/>
      <name val="Arial"/>
      <family val="2"/>
    </font>
    <font>
      <b/>
      <sz val="11"/>
      <color indexed="9"/>
      <name val="Wingdings 2"/>
      <family val="1"/>
      <charset val="2"/>
    </font>
    <font>
      <sz val="9"/>
      <color indexed="18"/>
      <name val="Arial"/>
      <family val="2"/>
    </font>
    <font>
      <vertAlign val="superscript"/>
      <sz val="9"/>
      <name val="Arial Narrow"/>
      <family val="2"/>
    </font>
    <font>
      <sz val="8"/>
      <color indexed="23"/>
      <name val="Arial"/>
      <family val="2"/>
    </font>
    <font>
      <sz val="8"/>
      <color indexed="55"/>
      <name val="Arial"/>
      <family val="2"/>
    </font>
    <font>
      <sz val="10"/>
      <color indexed="18"/>
      <name val="Arial"/>
      <family val="2"/>
    </font>
    <font>
      <sz val="10"/>
      <color indexed="18"/>
      <name val="Arial Narrow"/>
      <family val="2"/>
    </font>
    <font>
      <vertAlign val="subscript"/>
      <sz val="10"/>
      <name val="Arial Narrow"/>
      <family val="2"/>
    </font>
    <font>
      <b/>
      <sz val="10"/>
      <color indexed="10"/>
      <name val="Arial"/>
      <family val="2"/>
    </font>
    <font>
      <b/>
      <u/>
      <sz val="9"/>
      <name val="Arial"/>
      <family val="2"/>
    </font>
    <font>
      <sz val="10"/>
      <color indexed="22"/>
      <name val="Arial"/>
      <family val="2"/>
    </font>
    <font>
      <sz val="9"/>
      <color indexed="22"/>
      <name val="Arial"/>
      <family val="2"/>
    </font>
    <font>
      <sz val="8"/>
      <color indexed="22"/>
      <name val="Arial"/>
      <family val="2"/>
    </font>
    <font>
      <b/>
      <sz val="10"/>
      <color indexed="55"/>
      <name val="Arial"/>
      <family val="2"/>
    </font>
    <font>
      <sz val="10"/>
      <color indexed="48"/>
      <name val="Arial"/>
      <family val="2"/>
    </font>
    <font>
      <b/>
      <sz val="10"/>
      <color indexed="9"/>
      <name val="Arial Narrow"/>
      <family val="2"/>
    </font>
    <font>
      <b/>
      <sz val="10"/>
      <color indexed="16"/>
      <name val="Arial"/>
      <family val="2"/>
    </font>
    <font>
      <sz val="10"/>
      <color indexed="55"/>
      <name val="Arial"/>
      <family val="2"/>
    </font>
    <font>
      <sz val="8"/>
      <name val="Arial Narrow"/>
      <family val="2"/>
    </font>
    <font>
      <b/>
      <sz val="10"/>
      <color indexed="10"/>
      <name val="Arial Narrow"/>
      <family val="2"/>
    </font>
    <font>
      <b/>
      <sz val="10"/>
      <color indexed="23"/>
      <name val="Arial"/>
      <family val="2"/>
    </font>
    <font>
      <b/>
      <sz val="9"/>
      <name val="NumBeamsBk"/>
    </font>
    <font>
      <b/>
      <sz val="9"/>
      <name val="NumBeamsFd"/>
    </font>
    <font>
      <b/>
      <sz val="10"/>
      <color indexed="42"/>
      <name val="Arial"/>
      <family val="2"/>
    </font>
    <font>
      <sz val="7"/>
      <color indexed="12"/>
      <name val="Arial"/>
      <family val="2"/>
    </font>
    <font>
      <b/>
      <sz val="8"/>
      <color indexed="18"/>
      <name val="Arial"/>
      <family val="2"/>
    </font>
    <font>
      <i/>
      <sz val="8"/>
      <name val="Arial Narrow"/>
      <family val="2"/>
    </font>
    <font>
      <vertAlign val="subscript"/>
      <sz val="8"/>
      <name val="Arial"/>
      <family val="2"/>
    </font>
    <font>
      <i/>
      <sz val="9"/>
      <name val="Symbol"/>
      <family val="1"/>
      <charset val="2"/>
    </font>
    <font>
      <i/>
      <vertAlign val="superscript"/>
      <sz val="9"/>
      <name val="Arial"/>
      <family val="2"/>
    </font>
    <font>
      <b/>
      <sz val="10"/>
      <color indexed="53"/>
      <name val="Arial"/>
      <family val="2"/>
    </font>
    <font>
      <sz val="8"/>
      <color indexed="10"/>
      <name val="Arial"/>
      <family val="2"/>
    </font>
    <font>
      <sz val="10"/>
      <color indexed="10"/>
      <name val="Arial"/>
      <family val="2"/>
    </font>
    <font>
      <sz val="9"/>
      <color indexed="8"/>
      <name val="Arial"/>
      <family val="2"/>
    </font>
    <font>
      <u/>
      <sz val="10"/>
      <name val="Arial"/>
      <family val="2"/>
    </font>
    <font>
      <i/>
      <sz val="9"/>
      <color indexed="10"/>
      <name val="Arial"/>
      <family val="2"/>
    </font>
    <font>
      <i/>
      <sz val="10"/>
      <color indexed="10"/>
      <name val="Arial"/>
      <family val="2"/>
    </font>
    <font>
      <i/>
      <sz val="8"/>
      <color indexed="10"/>
      <name val="Arial"/>
      <family val="2"/>
    </font>
    <font>
      <b/>
      <i/>
      <sz val="8"/>
      <name val="Arial"/>
      <family val="2"/>
    </font>
    <font>
      <b/>
      <sz val="8"/>
      <color indexed="81"/>
      <name val="Tahoma"/>
      <family val="2"/>
    </font>
    <font>
      <sz val="8"/>
      <color indexed="81"/>
      <name val="Tahoma"/>
      <family val="2"/>
    </font>
    <font>
      <sz val="10"/>
      <color rgb="FFFF0000"/>
      <name val="Arial"/>
      <family val="2"/>
    </font>
    <font>
      <sz val="9"/>
      <color indexed="81"/>
      <name val="Tahoma"/>
      <family val="2"/>
    </font>
    <font>
      <b/>
      <sz val="9"/>
      <color indexed="81"/>
      <name val="Tahoma"/>
      <family val="2"/>
    </font>
    <font>
      <sz val="10"/>
      <color rgb="FF000000"/>
      <name val="Arial"/>
      <family val="2"/>
    </font>
    <font>
      <sz val="8"/>
      <color rgb="FF000000"/>
      <name val="Tahoma"/>
      <family val="2"/>
    </font>
    <font>
      <b/>
      <sz val="10"/>
      <color rgb="FF000080"/>
      <name val="Arial"/>
      <family val="2"/>
    </font>
    <font>
      <sz val="8.5"/>
      <name val="Arial"/>
      <family val="2"/>
    </font>
    <font>
      <b/>
      <sz val="9"/>
      <color rgb="FFFFFF00"/>
      <name val="Arial"/>
      <family val="2"/>
    </font>
    <font>
      <sz val="11"/>
      <color rgb="FF3F3F76"/>
      <name val="Calibri"/>
      <family val="2"/>
      <scheme val="minor"/>
    </font>
    <font>
      <vertAlign val="subscript"/>
      <sz val="9"/>
      <name val="Arial Narrow"/>
      <family val="2"/>
    </font>
    <font>
      <i/>
      <sz val="11"/>
      <color theme="1"/>
      <name val="Calibri"/>
      <family val="2"/>
      <scheme val="minor"/>
    </font>
    <font>
      <i/>
      <sz val="9"/>
      <color theme="1"/>
      <name val="Arial"/>
      <family val="2"/>
    </font>
    <font>
      <sz val="10"/>
      <color theme="1"/>
      <name val="Arial"/>
      <family val="2"/>
    </font>
    <font>
      <b/>
      <sz val="9"/>
      <color theme="0"/>
      <name val="Arial"/>
      <family val="2"/>
    </font>
    <font>
      <i/>
      <sz val="10"/>
      <color rgb="FFFF0000"/>
      <name val="Arial"/>
      <family val="2"/>
    </font>
    <font>
      <i/>
      <sz val="9"/>
      <color rgb="FFFF0000"/>
      <name val="Arial"/>
      <family val="2"/>
    </font>
    <font>
      <sz val="11"/>
      <name val="Arial Narrow"/>
      <family val="2"/>
    </font>
    <font>
      <i/>
      <sz val="8"/>
      <color rgb="FFFF0000"/>
      <name val="Arial"/>
      <family val="2"/>
    </font>
  </fonts>
  <fills count="13">
    <fill>
      <patternFill patternType="none"/>
    </fill>
    <fill>
      <patternFill patternType="gray125"/>
    </fill>
    <fill>
      <patternFill patternType="solid">
        <fgColor indexed="16"/>
        <bgColor indexed="64"/>
      </patternFill>
    </fill>
    <fill>
      <patternFill patternType="solid">
        <fgColor indexed="41"/>
        <bgColor indexed="64"/>
      </patternFill>
    </fill>
    <fill>
      <patternFill patternType="solid">
        <fgColor indexed="13"/>
        <bgColor indexed="64"/>
      </patternFill>
    </fill>
    <fill>
      <patternFill patternType="solid">
        <fgColor indexed="22"/>
        <bgColor indexed="64"/>
      </patternFill>
    </fill>
    <fill>
      <patternFill patternType="solid">
        <fgColor indexed="47"/>
        <bgColor indexed="64"/>
      </patternFill>
    </fill>
    <fill>
      <patternFill patternType="solid">
        <fgColor indexed="22"/>
        <bgColor indexed="8"/>
      </patternFill>
    </fill>
    <fill>
      <patternFill patternType="solid">
        <fgColor indexed="42"/>
        <bgColor indexed="64"/>
      </patternFill>
    </fill>
    <fill>
      <patternFill patternType="solid">
        <fgColor theme="6" tint="0.59999389629810485"/>
        <bgColor indexed="64"/>
      </patternFill>
    </fill>
    <fill>
      <patternFill patternType="solid">
        <fgColor rgb="FFFFCC99"/>
      </patternFill>
    </fill>
    <fill>
      <patternFill patternType="solid">
        <fgColor rgb="FF800000"/>
        <bgColor indexed="64"/>
      </patternFill>
    </fill>
    <fill>
      <patternFill patternType="solid">
        <fgColor theme="0"/>
        <bgColor indexed="64"/>
      </patternFill>
    </fill>
  </fills>
  <borders count="111">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top/>
      <bottom style="double">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top/>
      <bottom/>
      <diagonal/>
    </border>
    <border>
      <left/>
      <right style="double">
        <color indexed="64"/>
      </right>
      <top/>
      <bottom/>
      <diagonal/>
    </border>
    <border>
      <left/>
      <right style="double">
        <color indexed="64"/>
      </right>
      <top style="medium">
        <color indexed="64"/>
      </top>
      <bottom/>
      <diagonal/>
    </border>
    <border>
      <left/>
      <right style="double">
        <color indexed="64"/>
      </right>
      <top/>
      <bottom style="medium">
        <color indexed="64"/>
      </bottom>
      <diagonal/>
    </border>
    <border>
      <left style="double">
        <color indexed="64"/>
      </left>
      <right/>
      <top style="medium">
        <color indexed="64"/>
      </top>
      <bottom/>
      <diagonal/>
    </border>
    <border>
      <left style="double">
        <color indexed="64"/>
      </left>
      <right/>
      <top/>
      <bottom style="medium">
        <color indexed="64"/>
      </bottom>
      <diagonal/>
    </border>
    <border>
      <left style="double">
        <color indexed="64"/>
      </left>
      <right style="medium">
        <color indexed="64"/>
      </right>
      <top style="medium">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style="double">
        <color indexed="64"/>
      </left>
      <right/>
      <top/>
      <bottom style="double">
        <color indexed="64"/>
      </bottom>
      <diagonal/>
    </border>
    <border>
      <left/>
      <right style="double">
        <color indexed="64"/>
      </right>
      <top/>
      <bottom style="double">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14"/>
      </left>
      <right/>
      <top style="medium">
        <color indexed="14"/>
      </top>
      <bottom/>
      <diagonal/>
    </border>
    <border>
      <left/>
      <right/>
      <top style="medium">
        <color indexed="14"/>
      </top>
      <bottom/>
      <diagonal/>
    </border>
    <border>
      <left/>
      <right style="medium">
        <color indexed="14"/>
      </right>
      <top/>
      <bottom/>
      <diagonal/>
    </border>
    <border>
      <left style="medium">
        <color indexed="14"/>
      </left>
      <right/>
      <top/>
      <bottom/>
      <diagonal/>
    </border>
    <border>
      <left/>
      <right/>
      <top/>
      <bottom style="thin">
        <color indexed="14"/>
      </bottom>
      <diagonal/>
    </border>
    <border>
      <left/>
      <right style="medium">
        <color indexed="14"/>
      </right>
      <top/>
      <bottom style="thin">
        <color indexed="14"/>
      </bottom>
      <diagonal/>
    </border>
    <border>
      <left/>
      <right style="thin">
        <color indexed="14"/>
      </right>
      <top/>
      <bottom/>
      <diagonal/>
    </border>
    <border>
      <left style="medium">
        <color indexed="14"/>
      </left>
      <right/>
      <top/>
      <bottom style="medium">
        <color indexed="14"/>
      </bottom>
      <diagonal/>
    </border>
    <border>
      <left/>
      <right style="thin">
        <color indexed="14"/>
      </right>
      <top/>
      <bottom style="medium">
        <color indexed="14"/>
      </bottom>
      <diagonal/>
    </border>
    <border>
      <left/>
      <right/>
      <top/>
      <bottom style="medium">
        <color indexed="14"/>
      </bottom>
      <diagonal/>
    </border>
    <border>
      <left/>
      <right style="medium">
        <color indexed="14"/>
      </right>
      <top/>
      <bottom style="medium">
        <color indexed="14"/>
      </bottom>
      <diagonal/>
    </border>
    <border>
      <left/>
      <right style="thin">
        <color indexed="14"/>
      </right>
      <top style="medium">
        <color indexed="14"/>
      </top>
      <bottom/>
      <diagonal/>
    </border>
    <border>
      <left style="thin">
        <color indexed="14"/>
      </left>
      <right/>
      <top style="medium">
        <color indexed="14"/>
      </top>
      <bottom style="thin">
        <color indexed="14"/>
      </bottom>
      <diagonal/>
    </border>
    <border>
      <left/>
      <right/>
      <top style="medium">
        <color indexed="14"/>
      </top>
      <bottom style="thin">
        <color indexed="14"/>
      </bottom>
      <diagonal/>
    </border>
    <border>
      <left/>
      <right style="thin">
        <color indexed="14"/>
      </right>
      <top style="medium">
        <color indexed="14"/>
      </top>
      <bottom style="thin">
        <color indexed="14"/>
      </bottom>
      <diagonal/>
    </border>
    <border>
      <left/>
      <right style="medium">
        <color indexed="14"/>
      </right>
      <top style="medium">
        <color indexed="14"/>
      </top>
      <bottom/>
      <diagonal/>
    </border>
    <border>
      <left/>
      <right style="thin">
        <color indexed="14"/>
      </right>
      <top/>
      <bottom style="thin">
        <color indexed="14"/>
      </bottom>
      <diagonal/>
    </border>
    <border>
      <left/>
      <right style="medium">
        <color indexed="64"/>
      </right>
      <top style="medium">
        <color indexed="64"/>
      </top>
      <bottom/>
      <diagonal/>
    </border>
    <border>
      <left/>
      <right style="medium">
        <color indexed="64"/>
      </right>
      <top/>
      <bottom/>
      <diagonal/>
    </border>
    <border>
      <left/>
      <right style="double">
        <color indexed="64"/>
      </right>
      <top style="double">
        <color indexed="64"/>
      </top>
      <bottom/>
      <diagonal/>
    </border>
    <border>
      <left style="double">
        <color indexed="64"/>
      </left>
      <right style="thin">
        <color indexed="64"/>
      </right>
      <top/>
      <bottom/>
      <diagonal/>
    </border>
    <border>
      <left/>
      <right style="thin">
        <color indexed="9"/>
      </right>
      <top style="thin">
        <color indexed="9"/>
      </top>
      <bottom/>
      <diagonal/>
    </border>
    <border>
      <left/>
      <right style="thin">
        <color indexed="9"/>
      </right>
      <top/>
      <bottom/>
      <diagonal/>
    </border>
    <border>
      <left style="thin">
        <color indexed="9"/>
      </left>
      <right style="thin">
        <color indexed="9"/>
      </right>
      <top/>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double">
        <color indexed="64"/>
      </left>
      <right style="thin">
        <color indexed="64"/>
      </right>
      <top/>
      <bottom style="double">
        <color indexed="64"/>
      </bottom>
      <diagonal/>
    </border>
    <border>
      <left/>
      <right style="thin">
        <color indexed="64"/>
      </right>
      <top/>
      <bottom style="double">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hair">
        <color indexed="64"/>
      </left>
      <right style="hair">
        <color indexed="64"/>
      </right>
      <top/>
      <bottom/>
      <diagonal/>
    </border>
    <border>
      <left/>
      <right style="hair">
        <color indexed="64"/>
      </right>
      <top/>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bottom style="double">
        <color indexed="64"/>
      </bottom>
      <diagonal/>
    </border>
    <border>
      <left/>
      <right style="thin">
        <color indexed="64"/>
      </right>
      <top style="double">
        <color indexed="64"/>
      </top>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top style="double">
        <color indexed="64"/>
      </top>
      <bottom/>
      <diagonal/>
    </border>
    <border>
      <left style="thin">
        <color indexed="64"/>
      </left>
      <right style="hair">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medium">
        <color indexed="64"/>
      </left>
      <right/>
      <top style="thin">
        <color indexed="64"/>
      </top>
      <bottom/>
      <diagonal/>
    </border>
    <border>
      <left/>
      <right style="medium">
        <color indexed="64"/>
      </right>
      <top style="thin">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medium">
        <color indexed="64"/>
      </bottom>
      <diagonal/>
    </border>
    <border>
      <left style="thin">
        <color indexed="14"/>
      </left>
      <right/>
      <top style="thin">
        <color indexed="14"/>
      </top>
      <bottom/>
      <diagonal/>
    </border>
    <border>
      <left style="thin">
        <color indexed="14"/>
      </left>
      <right/>
      <top/>
      <bottom style="thin">
        <color indexed="14"/>
      </bottom>
      <diagonal/>
    </border>
    <border>
      <left style="thin">
        <color indexed="14"/>
      </left>
      <right/>
      <top style="medium">
        <color indexed="14"/>
      </top>
      <bottom/>
      <diagonal/>
    </border>
    <border>
      <left/>
      <right/>
      <top style="thin">
        <color indexed="14"/>
      </top>
      <bottom/>
      <diagonal/>
    </border>
    <border>
      <left style="thin">
        <color indexed="14"/>
      </left>
      <right/>
      <top style="thin">
        <color indexed="14"/>
      </top>
      <bottom style="thin">
        <color indexed="14"/>
      </bottom>
      <diagonal/>
    </border>
    <border>
      <left/>
      <right style="medium">
        <color indexed="14"/>
      </right>
      <top style="thin">
        <color indexed="14"/>
      </top>
      <bottom style="thin">
        <color indexed="14"/>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thin">
        <color indexed="64"/>
      </top>
      <bottom style="thin">
        <color indexed="64"/>
      </bottom>
      <diagonal/>
    </border>
    <border>
      <left style="thin">
        <color indexed="14"/>
      </left>
      <right style="thin">
        <color indexed="14"/>
      </right>
      <top/>
      <bottom style="medium">
        <color indexed="14"/>
      </bottom>
      <diagonal/>
    </border>
    <border>
      <left style="thin">
        <color indexed="14"/>
      </left>
      <right/>
      <top/>
      <bottom style="medium">
        <color indexed="14"/>
      </bottom>
      <diagonal/>
    </border>
    <border>
      <left style="thin">
        <color indexed="14"/>
      </left>
      <right style="thin">
        <color indexed="14"/>
      </right>
      <top style="medium">
        <color indexed="14"/>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s>
  <cellStyleXfs count="9">
    <xf numFmtId="0" fontId="0" fillId="0" borderId="0"/>
    <xf numFmtId="43" fontId="5" fillId="0" borderId="0" applyFont="0" applyFill="0" applyBorder="0" applyAlignment="0" applyProtection="0"/>
    <xf numFmtId="44" fontId="5" fillId="0" borderId="0" applyFont="0" applyFill="0" applyBorder="0" applyAlignment="0" applyProtection="0"/>
    <xf numFmtId="0" fontId="6" fillId="0" borderId="0" applyNumberFormat="0" applyFill="0" applyBorder="0" applyAlignment="0" applyProtection="0">
      <alignment vertical="top"/>
      <protection locked="0"/>
    </xf>
    <xf numFmtId="0" fontId="7" fillId="0" borderId="0"/>
    <xf numFmtId="0" fontId="42" fillId="0" borderId="0"/>
    <xf numFmtId="0" fontId="5" fillId="0" borderId="0"/>
    <xf numFmtId="9" fontId="5" fillId="0" borderId="0" applyFont="0" applyFill="0" applyBorder="0" applyAlignment="0" applyProtection="0"/>
    <xf numFmtId="0" fontId="138" fillId="10" borderId="103" applyNumberFormat="0" applyAlignment="0" applyProtection="0"/>
  </cellStyleXfs>
  <cellXfs count="1750">
    <xf numFmtId="0" fontId="0" fillId="0" borderId="0" xfId="0"/>
    <xf numFmtId="0" fontId="0" fillId="0" borderId="0" xfId="0" applyProtection="1"/>
    <xf numFmtId="0" fontId="13" fillId="0" borderId="0" xfId="0" applyFont="1" applyProtection="1"/>
    <xf numFmtId="0" fontId="0" fillId="0" borderId="1" xfId="0" applyBorder="1"/>
    <xf numFmtId="0" fontId="13" fillId="0" borderId="0" xfId="0" applyFont="1" applyFill="1" applyAlignment="1" applyProtection="1">
      <alignment horizontal="right"/>
    </xf>
    <xf numFmtId="0" fontId="13" fillId="0" borderId="0" xfId="0" applyFont="1" applyFill="1" applyProtection="1"/>
    <xf numFmtId="0" fontId="13" fillId="0" borderId="0" xfId="0" applyFont="1" applyFill="1" applyBorder="1" applyProtection="1"/>
    <xf numFmtId="0" fontId="13" fillId="0" borderId="0" xfId="0" applyFont="1" applyFill="1" applyBorder="1" applyAlignment="1" applyProtection="1">
      <alignment horizontal="right"/>
    </xf>
    <xf numFmtId="0" fontId="11" fillId="2" borderId="2" xfId="0" applyFont="1" applyFill="1" applyBorder="1" applyProtection="1">
      <protection locked="0"/>
    </xf>
    <xf numFmtId="2" fontId="11" fillId="2" borderId="2" xfId="0" applyNumberFormat="1" applyFont="1" applyFill="1" applyBorder="1" applyProtection="1">
      <protection locked="0"/>
    </xf>
    <xf numFmtId="0" fontId="11" fillId="2" borderId="2" xfId="0" applyFont="1" applyFill="1" applyBorder="1" applyAlignment="1" applyProtection="1">
      <alignment horizontal="right"/>
      <protection locked="0"/>
    </xf>
    <xf numFmtId="0" fontId="7" fillId="0" borderId="0" xfId="0" applyFont="1" applyFill="1" applyProtection="1"/>
    <xf numFmtId="165" fontId="13" fillId="0" borderId="0" xfId="0" applyNumberFormat="1" applyFont="1" applyFill="1" applyProtection="1"/>
    <xf numFmtId="0" fontId="18" fillId="0" borderId="0" xfId="0" applyFont="1" applyFill="1" applyProtection="1"/>
    <xf numFmtId="0" fontId="10" fillId="0" borderId="0" xfId="0" applyFont="1" applyProtection="1"/>
    <xf numFmtId="165" fontId="0" fillId="0" borderId="0" xfId="0" applyNumberFormat="1"/>
    <xf numFmtId="0" fontId="0" fillId="0" borderId="0" xfId="0" applyAlignment="1">
      <alignment horizontal="right"/>
    </xf>
    <xf numFmtId="0" fontId="0" fillId="0" borderId="0" xfId="0" applyAlignment="1">
      <alignment horizontal="center"/>
    </xf>
    <xf numFmtId="0" fontId="0" fillId="0" borderId="0" xfId="0" applyBorder="1"/>
    <xf numFmtId="0" fontId="0" fillId="0" borderId="3" xfId="0" applyBorder="1"/>
    <xf numFmtId="0" fontId="0" fillId="0" borderId="4" xfId="0" applyBorder="1"/>
    <xf numFmtId="0" fontId="5" fillId="0" borderId="0" xfId="0" applyFont="1" applyAlignment="1">
      <alignment horizontal="right"/>
    </xf>
    <xf numFmtId="0" fontId="0" fillId="0" borderId="0" xfId="0" applyAlignment="1">
      <alignment horizontal="left"/>
    </xf>
    <xf numFmtId="0" fontId="11" fillId="2" borderId="2" xfId="0" applyFont="1" applyFill="1" applyBorder="1" applyAlignment="1" applyProtection="1">
      <alignment horizontal="center"/>
      <protection locked="0"/>
    </xf>
    <xf numFmtId="0" fontId="11" fillId="2" borderId="2" xfId="0" applyNumberFormat="1" applyFont="1" applyFill="1" applyBorder="1" applyAlignment="1" applyProtection="1">
      <alignment horizontal="center"/>
      <protection locked="0"/>
    </xf>
    <xf numFmtId="0" fontId="7" fillId="0" borderId="0" xfId="0" applyFont="1"/>
    <xf numFmtId="0" fontId="7" fillId="0" borderId="0" xfId="0" applyFont="1" applyAlignment="1">
      <alignment horizontal="left"/>
    </xf>
    <xf numFmtId="0" fontId="7" fillId="0" borderId="0" xfId="0" applyFont="1" applyAlignment="1">
      <alignment horizontal="right"/>
    </xf>
    <xf numFmtId="0" fontId="11" fillId="0" borderId="0" xfId="0" applyFont="1" applyFill="1" applyBorder="1" applyAlignment="1" applyProtection="1">
      <alignment horizontal="right"/>
      <protection locked="0"/>
    </xf>
    <xf numFmtId="2" fontId="0" fillId="0" borderId="0" xfId="0" applyNumberFormat="1"/>
    <xf numFmtId="0" fontId="15" fillId="0" borderId="2" xfId="0" applyFont="1" applyFill="1" applyBorder="1" applyAlignment="1">
      <alignment horizontal="center"/>
    </xf>
    <xf numFmtId="165" fontId="20" fillId="2" borderId="2" xfId="0" applyNumberFormat="1" applyFont="1" applyFill="1" applyBorder="1"/>
    <xf numFmtId="0" fontId="0" fillId="0" borderId="5" xfId="0" applyBorder="1"/>
    <xf numFmtId="0" fontId="0" fillId="0" borderId="0" xfId="0" applyBorder="1" applyAlignment="1">
      <alignment horizontal="center"/>
    </xf>
    <xf numFmtId="0" fontId="18" fillId="0" borderId="0" xfId="0" applyFont="1"/>
    <xf numFmtId="0" fontId="7" fillId="0" borderId="5" xfId="0" applyFont="1" applyBorder="1" applyAlignment="1">
      <alignment horizontal="right"/>
    </xf>
    <xf numFmtId="0" fontId="15" fillId="0" borderId="0" xfId="0" applyFont="1" applyAlignment="1">
      <alignment horizontal="right"/>
    </xf>
    <xf numFmtId="0" fontId="5" fillId="0" borderId="0" xfId="0" applyFont="1" applyBorder="1"/>
    <xf numFmtId="1" fontId="13" fillId="0" borderId="0" xfId="0" applyNumberFormat="1" applyFont="1" applyFill="1" applyAlignment="1" applyProtection="1">
      <alignment horizontal="right"/>
    </xf>
    <xf numFmtId="0" fontId="7" fillId="0" borderId="0" xfId="0" applyFont="1" applyBorder="1" applyAlignment="1">
      <alignment horizontal="right"/>
    </xf>
    <xf numFmtId="0" fontId="0" fillId="0" borderId="0" xfId="0" applyBorder="1" applyAlignment="1">
      <alignment horizontal="right"/>
    </xf>
    <xf numFmtId="0" fontId="7" fillId="0" borderId="0" xfId="0" applyFont="1" applyFill="1" applyBorder="1"/>
    <xf numFmtId="0" fontId="0" fillId="0" borderId="0" xfId="0" applyFill="1" applyBorder="1"/>
    <xf numFmtId="0" fontId="15" fillId="0" borderId="0" xfId="0" applyFont="1" applyBorder="1" applyAlignment="1">
      <alignment horizontal="center"/>
    </xf>
    <xf numFmtId="0" fontId="15" fillId="0" borderId="0" xfId="0" applyFont="1"/>
    <xf numFmtId="164" fontId="0" fillId="0" borderId="0" xfId="0" applyNumberFormat="1"/>
    <xf numFmtId="0" fontId="32" fillId="0" borderId="0" xfId="0" applyFont="1"/>
    <xf numFmtId="0" fontId="29" fillId="0" borderId="0" xfId="0" applyFont="1" applyAlignment="1">
      <alignment horizontal="right"/>
    </xf>
    <xf numFmtId="0" fontId="34" fillId="0" borderId="0" xfId="0" applyFont="1" applyFill="1" applyBorder="1" applyProtection="1"/>
    <xf numFmtId="1" fontId="24" fillId="0" borderId="2" xfId="0" applyNumberFormat="1" applyFont="1" applyFill="1" applyBorder="1" applyAlignment="1">
      <alignment horizontal="center"/>
    </xf>
    <xf numFmtId="0" fontId="24" fillId="0" borderId="2" xfId="0" applyFont="1" applyFill="1" applyBorder="1" applyAlignment="1">
      <alignment horizontal="center"/>
    </xf>
    <xf numFmtId="0" fontId="24" fillId="0" borderId="6" xfId="0" applyFont="1" applyFill="1" applyBorder="1" applyAlignment="1">
      <alignment horizontal="center"/>
    </xf>
    <xf numFmtId="0" fontId="15" fillId="0" borderId="2" xfId="0" applyFont="1" applyFill="1" applyBorder="1" applyAlignment="1">
      <alignment horizontal="right"/>
    </xf>
    <xf numFmtId="0" fontId="24" fillId="0" borderId="6" xfId="0" applyNumberFormat="1" applyFont="1" applyFill="1" applyBorder="1" applyAlignment="1">
      <alignment horizontal="center"/>
    </xf>
    <xf numFmtId="0" fontId="24" fillId="0" borderId="2" xfId="0" applyNumberFormat="1" applyFont="1" applyFill="1" applyBorder="1" applyAlignment="1">
      <alignment horizontal="center"/>
    </xf>
    <xf numFmtId="0" fontId="24" fillId="0" borderId="0" xfId="0" applyFont="1" applyFill="1" applyBorder="1" applyAlignment="1">
      <alignment horizontal="left"/>
    </xf>
    <xf numFmtId="0" fontId="24" fillId="0" borderId="4" xfId="0" applyFont="1" applyFill="1" applyBorder="1"/>
    <xf numFmtId="0" fontId="15" fillId="0" borderId="0" xfId="0" applyFont="1" applyFill="1" applyBorder="1" applyAlignment="1">
      <alignment horizontal="center"/>
    </xf>
    <xf numFmtId="0" fontId="40" fillId="0" borderId="0" xfId="0" applyFont="1" applyFill="1" applyBorder="1" applyAlignment="1">
      <alignment horizontal="center"/>
    </xf>
    <xf numFmtId="0" fontId="15" fillId="0" borderId="0" xfId="0" applyFont="1" applyFill="1" applyAlignment="1">
      <alignment horizontal="center"/>
    </xf>
    <xf numFmtId="0" fontId="15" fillId="0" borderId="0" xfId="0" applyFont="1" applyFill="1"/>
    <xf numFmtId="0" fontId="7" fillId="0" borderId="0" xfId="0" applyFont="1" applyBorder="1"/>
    <xf numFmtId="0" fontId="38" fillId="0" borderId="0" xfId="0" applyFont="1" applyFill="1" applyBorder="1" applyAlignment="1">
      <alignment horizontal="right"/>
    </xf>
    <xf numFmtId="0" fontId="15" fillId="0" borderId="0" xfId="0" applyFont="1" applyFill="1" applyBorder="1" applyAlignment="1">
      <alignment horizontal="right"/>
    </xf>
    <xf numFmtId="0" fontId="7" fillId="0" borderId="0" xfId="0" applyFont="1" applyFill="1" applyBorder="1" applyAlignment="1">
      <alignment horizontal="right"/>
    </xf>
    <xf numFmtId="0" fontId="41" fillId="2" borderId="0" xfId="0" applyFont="1" applyFill="1" applyBorder="1" applyAlignment="1">
      <alignment horizontal="right"/>
    </xf>
    <xf numFmtId="0" fontId="15" fillId="0" borderId="5" xfId="0" applyFont="1" applyFill="1" applyBorder="1" applyAlignment="1">
      <alignment horizontal="center"/>
    </xf>
    <xf numFmtId="0" fontId="15" fillId="0" borderId="5" xfId="0" applyFont="1" applyFill="1" applyBorder="1" applyAlignment="1">
      <alignment horizontal="right"/>
    </xf>
    <xf numFmtId="0" fontId="15" fillId="0" borderId="0" xfId="0" applyFont="1" applyBorder="1" applyAlignment="1"/>
    <xf numFmtId="0" fontId="15" fillId="0" borderId="0" xfId="0" applyFont="1" applyBorder="1" applyAlignment="1">
      <alignment horizontal="left"/>
    </xf>
    <xf numFmtId="0" fontId="15" fillId="0" borderId="0" xfId="0" applyFont="1" applyBorder="1" applyAlignment="1">
      <alignment horizontal="right"/>
    </xf>
    <xf numFmtId="0" fontId="15" fillId="0" borderId="0" xfId="0" applyFont="1" applyBorder="1"/>
    <xf numFmtId="0" fontId="15" fillId="0" borderId="0" xfId="0" applyFont="1" applyFill="1" applyBorder="1" applyAlignment="1" applyProtection="1">
      <alignment horizontal="center"/>
      <protection locked="0"/>
    </xf>
    <xf numFmtId="1" fontId="15" fillId="0" borderId="0" xfId="0" applyNumberFormat="1" applyFont="1" applyBorder="1"/>
    <xf numFmtId="2" fontId="15" fillId="0" borderId="0" xfId="0" applyNumberFormat="1" applyFont="1" applyBorder="1" applyAlignment="1">
      <alignment horizontal="right"/>
    </xf>
    <xf numFmtId="0" fontId="5" fillId="0" borderId="0" xfId="0" applyFont="1" applyBorder="1" applyAlignment="1">
      <alignment horizontal="right"/>
    </xf>
    <xf numFmtId="0" fontId="40" fillId="0" borderId="0" xfId="0" applyFont="1" applyBorder="1" applyAlignment="1">
      <alignment horizontal="center"/>
    </xf>
    <xf numFmtId="0" fontId="18" fillId="0" borderId="0" xfId="0" applyFont="1" applyFill="1" applyBorder="1"/>
    <xf numFmtId="0" fontId="20" fillId="2" borderId="2" xfId="0" applyFont="1" applyFill="1" applyBorder="1" applyAlignment="1" applyProtection="1">
      <alignment horizontal="center"/>
      <protection locked="0"/>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164" fontId="15" fillId="0" borderId="0" xfId="0" applyNumberFormat="1" applyFont="1" applyBorder="1" applyAlignment="1">
      <alignment horizontal="right"/>
    </xf>
    <xf numFmtId="2" fontId="5" fillId="0" borderId="0" xfId="0" applyNumberFormat="1" applyFont="1" applyBorder="1"/>
    <xf numFmtId="2" fontId="52" fillId="0" borderId="0" xfId="0" applyNumberFormat="1" applyFont="1" applyBorder="1" applyAlignment="1">
      <alignment horizontal="right"/>
    </xf>
    <xf numFmtId="165" fontId="5" fillId="0" borderId="0" xfId="0" applyNumberFormat="1" applyFont="1" applyBorder="1"/>
    <xf numFmtId="1" fontId="7" fillId="0" borderId="0" xfId="0" applyNumberFormat="1" applyFont="1" applyFill="1" applyBorder="1"/>
    <xf numFmtId="0" fontId="21" fillId="0" borderId="0" xfId="0" applyFont="1" applyFill="1" applyBorder="1"/>
    <xf numFmtId="0" fontId="18" fillId="0" borderId="0" xfId="0" applyFont="1" applyFill="1" applyBorder="1" applyAlignment="1">
      <alignment horizontal="right"/>
    </xf>
    <xf numFmtId="2" fontId="52" fillId="0" borderId="0" xfId="0" applyNumberFormat="1" applyFont="1" applyFill="1" applyBorder="1" applyAlignment="1">
      <alignment horizontal="right"/>
    </xf>
    <xf numFmtId="2" fontId="52" fillId="0" borderId="0" xfId="0" applyNumberFormat="1" applyFont="1" applyFill="1" applyBorder="1" applyAlignment="1">
      <alignment horizontal="left"/>
    </xf>
    <xf numFmtId="0" fontId="5" fillId="0" borderId="0" xfId="0" applyFont="1" applyFill="1" applyBorder="1"/>
    <xf numFmtId="0" fontId="5" fillId="0" borderId="0" xfId="0" applyFont="1" applyFill="1" applyBorder="1" applyAlignment="1">
      <alignment horizontal="right"/>
    </xf>
    <xf numFmtId="0" fontId="7" fillId="0" borderId="0" xfId="0" applyFont="1" applyFill="1" applyBorder="1" applyAlignment="1">
      <alignment horizontal="center"/>
    </xf>
    <xf numFmtId="0" fontId="21" fillId="0" borderId="0" xfId="0" applyFont="1" applyFill="1" applyBorder="1" applyAlignment="1">
      <alignment horizontal="left"/>
    </xf>
    <xf numFmtId="0" fontId="40" fillId="0" borderId="0" xfId="0" applyFont="1" applyFill="1" applyBorder="1" applyAlignment="1"/>
    <xf numFmtId="0" fontId="0" fillId="0" borderId="0" xfId="0" applyFill="1" applyAlignment="1">
      <alignment horizontal="right"/>
    </xf>
    <xf numFmtId="165" fontId="0" fillId="0" borderId="0" xfId="0" applyNumberFormat="1" applyFill="1" applyAlignment="1">
      <alignment horizontal="right"/>
    </xf>
    <xf numFmtId="164" fontId="0" fillId="0" borderId="0" xfId="0" applyNumberFormat="1" applyFill="1" applyAlignment="1">
      <alignment horizontal="right"/>
    </xf>
    <xf numFmtId="0" fontId="40" fillId="0" borderId="0" xfId="0" applyFont="1" applyFill="1" applyAlignment="1">
      <alignment horizontal="right"/>
    </xf>
    <xf numFmtId="2" fontId="7" fillId="0" borderId="0" xfId="5" applyNumberFormat="1" applyFont="1" applyFill="1" applyBorder="1" applyAlignment="1"/>
    <xf numFmtId="165" fontId="0" fillId="0" borderId="0" xfId="0" applyNumberFormat="1" applyFill="1"/>
    <xf numFmtId="1" fontId="5" fillId="0" borderId="0" xfId="0" applyNumberFormat="1" applyFont="1" applyFill="1" applyBorder="1" applyAlignment="1">
      <alignment horizontal="right"/>
    </xf>
    <xf numFmtId="0" fontId="51" fillId="0" borderId="0" xfId="0" applyFont="1" applyFill="1" applyBorder="1" applyAlignment="1">
      <alignment horizontal="left"/>
    </xf>
    <xf numFmtId="0" fontId="5" fillId="0" borderId="0" xfId="0" applyFont="1" applyFill="1" applyBorder="1" applyAlignment="1">
      <alignment horizontal="center"/>
    </xf>
    <xf numFmtId="170" fontId="5" fillId="0" borderId="0" xfId="0" applyNumberFormat="1" applyFont="1" applyFill="1" applyBorder="1" applyAlignment="1">
      <alignment horizontal="right"/>
    </xf>
    <xf numFmtId="0" fontId="46" fillId="0" borderId="0" xfId="0" applyFont="1" applyFill="1" applyBorder="1" applyAlignment="1">
      <alignment horizontal="left"/>
    </xf>
    <xf numFmtId="170" fontId="5" fillId="0" borderId="0" xfId="0" applyNumberFormat="1" applyFont="1" applyFill="1" applyBorder="1" applyAlignment="1">
      <alignment horizontal="center"/>
    </xf>
    <xf numFmtId="0" fontId="40" fillId="0" borderId="0" xfId="0" applyFont="1" applyFill="1" applyBorder="1" applyAlignment="1">
      <alignment horizontal="right"/>
    </xf>
    <xf numFmtId="0" fontId="5" fillId="0" borderId="0" xfId="0" applyFont="1" applyFill="1" applyBorder="1" applyAlignment="1"/>
    <xf numFmtId="2" fontId="7" fillId="0" borderId="0" xfId="0" applyNumberFormat="1" applyFont="1" applyFill="1" applyBorder="1" applyAlignment="1">
      <alignment horizontal="right"/>
    </xf>
    <xf numFmtId="1" fontId="7" fillId="0" borderId="0" xfId="0" applyNumberFormat="1" applyFont="1" applyFill="1" applyBorder="1" applyAlignment="1">
      <alignment horizontal="right"/>
    </xf>
    <xf numFmtId="0" fontId="7" fillId="0" borderId="0" xfId="0" applyFont="1" applyFill="1" applyBorder="1" applyAlignment="1">
      <alignment horizontal="left"/>
    </xf>
    <xf numFmtId="0" fontId="24" fillId="0" borderId="0" xfId="0" applyFont="1" applyFill="1" applyBorder="1" applyAlignment="1">
      <alignment horizontal="center"/>
    </xf>
    <xf numFmtId="0" fontId="18" fillId="0" borderId="0" xfId="0" applyFont="1" applyFill="1" applyBorder="1" applyAlignment="1">
      <alignment horizontal="left"/>
    </xf>
    <xf numFmtId="165" fontId="7" fillId="0" borderId="0" xfId="0" applyNumberFormat="1" applyFont="1" applyFill="1" applyBorder="1" applyAlignment="1">
      <alignment horizontal="right"/>
    </xf>
    <xf numFmtId="1" fontId="15" fillId="0" borderId="0" xfId="0" applyNumberFormat="1" applyFont="1" applyFill="1" applyBorder="1"/>
    <xf numFmtId="2" fontId="7" fillId="0" borderId="0" xfId="0" applyNumberFormat="1" applyFont="1" applyFill="1" applyBorder="1" applyAlignment="1">
      <alignment horizontal="center"/>
    </xf>
    <xf numFmtId="1" fontId="7" fillId="0" borderId="0" xfId="0" quotePrefix="1" applyNumberFormat="1" applyFont="1" applyFill="1" applyBorder="1" applyAlignment="1">
      <alignment horizontal="right"/>
    </xf>
    <xf numFmtId="164" fontId="7" fillId="0" borderId="0" xfId="0" applyNumberFormat="1" applyFont="1" applyFill="1" applyBorder="1" applyAlignment="1">
      <alignment horizontal="right"/>
    </xf>
    <xf numFmtId="0" fontId="47" fillId="0" borderId="0" xfId="0" applyFont="1" applyFill="1" applyBorder="1" applyAlignment="1">
      <alignment horizontal="right"/>
    </xf>
    <xf numFmtId="168" fontId="5" fillId="0" borderId="0" xfId="0" applyNumberFormat="1" applyFont="1" applyFill="1" applyBorder="1" applyAlignment="1">
      <alignment horizontal="right"/>
    </xf>
    <xf numFmtId="0" fontId="48" fillId="0" borderId="0" xfId="0" applyFont="1" applyFill="1" applyBorder="1"/>
    <xf numFmtId="165" fontId="5" fillId="0" borderId="0" xfId="0" applyNumberFormat="1" applyFont="1" applyFill="1" applyBorder="1" applyAlignment="1">
      <alignment horizontal="right"/>
    </xf>
    <xf numFmtId="0" fontId="5" fillId="0" borderId="0" xfId="0" quotePrefix="1" applyFont="1" applyFill="1" applyBorder="1"/>
    <xf numFmtId="170" fontId="5" fillId="0" borderId="0" xfId="0" applyNumberFormat="1" applyFont="1" applyFill="1" applyBorder="1" applyAlignment="1"/>
    <xf numFmtId="0" fontId="52" fillId="0" borderId="0" xfId="0" applyFont="1" applyFill="1" applyBorder="1" applyAlignment="1">
      <alignment horizontal="right"/>
    </xf>
    <xf numFmtId="2" fontId="5" fillId="0" borderId="0" xfId="0" applyNumberFormat="1" applyFont="1" applyFill="1" applyBorder="1" applyAlignment="1">
      <alignment horizontal="center"/>
    </xf>
    <xf numFmtId="0" fontId="10" fillId="0" borderId="0" xfId="0" applyFont="1" applyFill="1" applyBorder="1"/>
    <xf numFmtId="2" fontId="5" fillId="0" borderId="0" xfId="0" applyNumberFormat="1" applyFont="1" applyFill="1" applyBorder="1"/>
    <xf numFmtId="0" fontId="5" fillId="0" borderId="0" xfId="0" applyFont="1" applyFill="1" applyBorder="1" applyAlignment="1">
      <alignment horizontal="left"/>
    </xf>
    <xf numFmtId="164" fontId="5" fillId="0" borderId="0" xfId="0" applyNumberFormat="1" applyFont="1" applyFill="1" applyBorder="1" applyAlignment="1">
      <alignment horizontal="right"/>
    </xf>
    <xf numFmtId="165" fontId="5" fillId="0" borderId="0" xfId="0" applyNumberFormat="1" applyFont="1" applyFill="1" applyBorder="1"/>
    <xf numFmtId="164" fontId="55" fillId="0" borderId="0" xfId="0" applyNumberFormat="1" applyFont="1" applyFill="1" applyBorder="1" applyAlignment="1">
      <alignment horizontal="right"/>
    </xf>
    <xf numFmtId="0" fontId="0" fillId="0" borderId="16" xfId="0" applyBorder="1"/>
    <xf numFmtId="0" fontId="0" fillId="0" borderId="10" xfId="0" applyBorder="1"/>
    <xf numFmtId="0" fontId="0" fillId="0" borderId="0" xfId="0" applyBorder="1" applyAlignment="1">
      <alignment horizontal="center" wrapText="1"/>
    </xf>
    <xf numFmtId="0" fontId="0" fillId="0" borderId="17" xfId="0" applyBorder="1"/>
    <xf numFmtId="0" fontId="0" fillId="0" borderId="13" xfId="0" applyBorder="1"/>
    <xf numFmtId="0" fontId="58" fillId="0" borderId="0" xfId="0" applyFont="1" applyBorder="1"/>
    <xf numFmtId="0" fontId="0" fillId="0" borderId="18" xfId="0" applyBorder="1"/>
    <xf numFmtId="0" fontId="60" fillId="0" borderId="16" xfId="0" applyFont="1" applyBorder="1"/>
    <xf numFmtId="0" fontId="0" fillId="3" borderId="13" xfId="0" applyFill="1" applyBorder="1" applyAlignment="1">
      <alignment horizontal="right"/>
    </xf>
    <xf numFmtId="0" fontId="0" fillId="3" borderId="1" xfId="0" applyFill="1" applyBorder="1"/>
    <xf numFmtId="0" fontId="0" fillId="3" borderId="1" xfId="0" applyFill="1" applyBorder="1" applyAlignment="1">
      <alignment horizontal="center"/>
    </xf>
    <xf numFmtId="11" fontId="0" fillId="3" borderId="19" xfId="0" applyNumberFormat="1" applyFill="1" applyBorder="1"/>
    <xf numFmtId="0" fontId="61" fillId="0" borderId="16" xfId="0" applyFont="1" applyBorder="1"/>
    <xf numFmtId="11" fontId="0" fillId="3" borderId="20" xfId="0" applyNumberFormat="1" applyFill="1" applyBorder="1"/>
    <xf numFmtId="0" fontId="61" fillId="0" borderId="0" xfId="0" applyFont="1" applyBorder="1"/>
    <xf numFmtId="0" fontId="0" fillId="3" borderId="20" xfId="0" applyFill="1" applyBorder="1"/>
    <xf numFmtId="0" fontId="61" fillId="0" borderId="1" xfId="0" applyFont="1" applyBorder="1"/>
    <xf numFmtId="11" fontId="0" fillId="3" borderId="21" xfId="0" applyNumberFormat="1" applyFill="1" applyBorder="1"/>
    <xf numFmtId="0" fontId="0" fillId="0" borderId="22" xfId="0" applyBorder="1"/>
    <xf numFmtId="0" fontId="0" fillId="0" borderId="23" xfId="0" applyBorder="1"/>
    <xf numFmtId="0" fontId="0" fillId="0" borderId="24" xfId="0" applyBorder="1"/>
    <xf numFmtId="0" fontId="0" fillId="3" borderId="25" xfId="0" applyFill="1" applyBorder="1"/>
    <xf numFmtId="0" fontId="0" fillId="0" borderId="26" xfId="0" applyBorder="1"/>
    <xf numFmtId="0" fontId="61" fillId="0" borderId="24" xfId="0" applyFont="1" applyBorder="1"/>
    <xf numFmtId="0" fontId="61" fillId="0" borderId="23" xfId="0" applyFont="1" applyBorder="1"/>
    <xf numFmtId="0" fontId="61" fillId="0" borderId="25" xfId="0" applyFont="1" applyBorder="1"/>
    <xf numFmtId="0" fontId="0" fillId="0" borderId="27" xfId="0" applyBorder="1"/>
    <xf numFmtId="0" fontId="0" fillId="0" borderId="28" xfId="0" applyBorder="1"/>
    <xf numFmtId="0" fontId="0" fillId="0" borderId="29" xfId="0" applyBorder="1"/>
    <xf numFmtId="0" fontId="0" fillId="0" borderId="25" xfId="0" applyBorder="1"/>
    <xf numFmtId="0" fontId="0" fillId="0" borderId="30" xfId="0" applyBorder="1"/>
    <xf numFmtId="0" fontId="0" fillId="0" borderId="31" xfId="0" applyBorder="1"/>
    <xf numFmtId="0" fontId="0" fillId="0" borderId="32" xfId="0" applyBorder="1"/>
    <xf numFmtId="0" fontId="5" fillId="0" borderId="0" xfId="0" applyFont="1" applyBorder="1" applyAlignment="1">
      <alignment horizontal="left"/>
    </xf>
    <xf numFmtId="0" fontId="62" fillId="0" borderId="0" xfId="0" applyFont="1" applyFill="1" applyBorder="1" applyAlignment="1">
      <alignment horizontal="right"/>
    </xf>
    <xf numFmtId="0" fontId="0" fillId="0" borderId="0" xfId="0" applyFont="1" applyFill="1" applyBorder="1"/>
    <xf numFmtId="0" fontId="7" fillId="0" borderId="0" xfId="0" applyFont="1" applyBorder="1" applyAlignment="1">
      <alignment horizontal="left"/>
    </xf>
    <xf numFmtId="0" fontId="34" fillId="0" borderId="0" xfId="0" applyFont="1" applyBorder="1"/>
    <xf numFmtId="0" fontId="21" fillId="0" borderId="0" xfId="0" applyFont="1" applyBorder="1"/>
    <xf numFmtId="0" fontId="63" fillId="0" borderId="0" xfId="0" applyFont="1" applyBorder="1"/>
    <xf numFmtId="165" fontId="5" fillId="0" borderId="0" xfId="0" applyNumberFormat="1" applyFont="1" applyBorder="1" applyAlignment="1">
      <alignment horizontal="right"/>
    </xf>
    <xf numFmtId="164" fontId="5" fillId="0" borderId="0" xfId="0" applyNumberFormat="1" applyFont="1" applyBorder="1"/>
    <xf numFmtId="2" fontId="5" fillId="4" borderId="0" xfId="0" applyNumberFormat="1" applyFont="1" applyFill="1" applyBorder="1"/>
    <xf numFmtId="2" fontId="15" fillId="0" borderId="0" xfId="0" applyNumberFormat="1" applyFont="1"/>
    <xf numFmtId="165" fontId="65" fillId="0" borderId="0" xfId="0" applyNumberFormat="1" applyFont="1" applyFill="1"/>
    <xf numFmtId="0" fontId="21" fillId="0" borderId="0" xfId="0" applyFont="1" applyBorder="1" applyAlignment="1">
      <alignment horizontal="right"/>
    </xf>
    <xf numFmtId="1" fontId="5" fillId="0" borderId="0" xfId="0" applyNumberFormat="1" applyFont="1" applyBorder="1"/>
    <xf numFmtId="1" fontId="5" fillId="0" borderId="0" xfId="0" applyNumberFormat="1" applyFont="1" applyBorder="1" applyAlignment="1">
      <alignment horizontal="right"/>
    </xf>
    <xf numFmtId="0" fontId="0" fillId="0" borderId="0" xfId="0" applyAlignment="1">
      <alignment horizontal="right" indent="2"/>
    </xf>
    <xf numFmtId="0" fontId="5" fillId="0" borderId="5" xfId="0" applyFont="1" applyBorder="1" applyAlignment="1">
      <alignment horizontal="center"/>
    </xf>
    <xf numFmtId="0" fontId="5" fillId="0" borderId="5" xfId="0" applyFont="1" applyBorder="1" applyAlignment="1">
      <alignment horizontal="right"/>
    </xf>
    <xf numFmtId="164" fontId="5" fillId="0" borderId="0" xfId="0" applyNumberFormat="1" applyFont="1" applyBorder="1" applyAlignment="1">
      <alignment horizontal="center"/>
    </xf>
    <xf numFmtId="0" fontId="67" fillId="0" borderId="0" xfId="0" applyFont="1" applyBorder="1"/>
    <xf numFmtId="11" fontId="0" fillId="0" borderId="0" xfId="0" applyNumberFormat="1" applyFill="1" applyBorder="1"/>
    <xf numFmtId="0" fontId="68" fillId="0" borderId="0" xfId="0" applyFont="1" applyBorder="1"/>
    <xf numFmtId="164" fontId="0" fillId="0" borderId="0" xfId="0" applyNumberFormat="1" applyAlignment="1"/>
    <xf numFmtId="0" fontId="5" fillId="0" borderId="5" xfId="0" applyFont="1" applyBorder="1"/>
    <xf numFmtId="0" fontId="31" fillId="0" borderId="5" xfId="0" applyFont="1" applyBorder="1" applyAlignment="1">
      <alignment horizontal="right"/>
    </xf>
    <xf numFmtId="0" fontId="7" fillId="0" borderId="5" xfId="0" applyFont="1" applyFill="1" applyBorder="1" applyAlignment="1">
      <alignment horizontal="center"/>
    </xf>
    <xf numFmtId="2" fontId="5" fillId="0" borderId="0" xfId="0" applyNumberFormat="1" applyFont="1" applyBorder="1" applyAlignment="1">
      <alignment horizontal="right"/>
    </xf>
    <xf numFmtId="1" fontId="5" fillId="0" borderId="0" xfId="0" applyNumberFormat="1" applyFont="1" applyBorder="1" applyAlignment="1">
      <alignment horizontal="left"/>
    </xf>
    <xf numFmtId="0" fontId="13" fillId="0" borderId="0" xfId="0" applyFont="1" applyFill="1" applyBorder="1" applyAlignment="1">
      <alignment horizontal="right"/>
    </xf>
    <xf numFmtId="1" fontId="0" fillId="0" borderId="0" xfId="0" applyNumberFormat="1"/>
    <xf numFmtId="0" fontId="5" fillId="0" borderId="0" xfId="6"/>
    <xf numFmtId="0" fontId="70" fillId="0" borderId="0" xfId="6" applyFont="1" applyAlignment="1">
      <alignment horizontal="center"/>
    </xf>
    <xf numFmtId="0" fontId="24" fillId="0" borderId="2" xfId="6" applyFont="1" applyBorder="1" applyAlignment="1">
      <alignment vertical="center"/>
    </xf>
    <xf numFmtId="0" fontId="15" fillId="0" borderId="2" xfId="6" applyFont="1" applyBorder="1" applyAlignment="1">
      <alignment horizontal="center" vertical="center"/>
    </xf>
    <xf numFmtId="0" fontId="71" fillId="0" borderId="2" xfId="6" applyFont="1" applyBorder="1" applyAlignment="1">
      <alignment horizontal="center"/>
    </xf>
    <xf numFmtId="14" fontId="5" fillId="0" borderId="2" xfId="6" applyNumberFormat="1" applyBorder="1" applyAlignment="1">
      <alignment horizontal="center"/>
    </xf>
    <xf numFmtId="164" fontId="24" fillId="0" borderId="2" xfId="6" applyNumberFormat="1" applyFont="1" applyBorder="1" applyAlignment="1">
      <alignment horizontal="center"/>
    </xf>
    <xf numFmtId="0" fontId="24" fillId="0" borderId="2" xfId="6" applyFont="1" applyBorder="1" applyAlignment="1">
      <alignment horizontal="center"/>
    </xf>
    <xf numFmtId="0" fontId="32" fillId="0" borderId="0" xfId="6" applyFont="1" applyAlignment="1">
      <alignment horizontal="left"/>
    </xf>
    <xf numFmtId="0" fontId="52" fillId="0" borderId="0" xfId="6" applyFont="1" applyAlignment="1">
      <alignment horizontal="left"/>
    </xf>
    <xf numFmtId="0" fontId="7" fillId="0" borderId="0" xfId="0" applyFont="1" applyFill="1"/>
    <xf numFmtId="0" fontId="7" fillId="0" borderId="0" xfId="0" applyFont="1" applyFill="1" applyAlignment="1">
      <alignment horizontal="center"/>
    </xf>
    <xf numFmtId="0" fontId="15" fillId="0" borderId="0" xfId="0" applyFont="1" applyFill="1" applyBorder="1" applyAlignment="1"/>
    <xf numFmtId="0" fontId="38" fillId="0" borderId="0" xfId="0" applyFont="1" applyFill="1" applyBorder="1" applyAlignment="1">
      <alignment horizontal="center"/>
    </xf>
    <xf numFmtId="0" fontId="67" fillId="0" borderId="0" xfId="0" applyFont="1" applyFill="1" applyBorder="1" applyAlignment="1">
      <alignment horizontal="left"/>
    </xf>
    <xf numFmtId="0" fontId="73" fillId="0" borderId="0" xfId="0" applyFont="1" applyBorder="1" applyAlignment="1">
      <alignment horizontal="right"/>
    </xf>
    <xf numFmtId="0" fontId="67" fillId="0" borderId="0" xfId="0" applyFont="1" applyBorder="1" applyAlignment="1">
      <alignment horizontal="left"/>
    </xf>
    <xf numFmtId="0" fontId="38" fillId="0" borderId="33" xfId="0" applyFont="1" applyFill="1" applyBorder="1" applyAlignment="1">
      <alignment horizontal="center"/>
    </xf>
    <xf numFmtId="0" fontId="15" fillId="0" borderId="11" xfId="0" applyFont="1" applyFill="1" applyBorder="1" applyAlignment="1">
      <alignment horizontal="center"/>
    </xf>
    <xf numFmtId="0" fontId="15" fillId="0" borderId="34" xfId="0" applyFont="1" applyFill="1" applyBorder="1" applyAlignment="1">
      <alignment horizontal="center"/>
    </xf>
    <xf numFmtId="0" fontId="7" fillId="0" borderId="11" xfId="0" applyFont="1" applyFill="1" applyBorder="1" applyAlignment="1">
      <alignment horizontal="center"/>
    </xf>
    <xf numFmtId="0" fontId="15" fillId="5" borderId="11" xfId="0" applyFont="1" applyFill="1" applyBorder="1" applyAlignment="1">
      <alignment horizontal="center"/>
    </xf>
    <xf numFmtId="9" fontId="15" fillId="0" borderId="34" xfId="7" applyFont="1" applyFill="1" applyBorder="1" applyAlignment="1">
      <alignment horizontal="center"/>
    </xf>
    <xf numFmtId="9" fontId="15" fillId="0" borderId="34" xfId="0" applyNumberFormat="1" applyFont="1" applyFill="1" applyBorder="1" applyAlignment="1">
      <alignment horizontal="center"/>
    </xf>
    <xf numFmtId="0" fontId="38" fillId="0" borderId="34" xfId="0" applyFont="1" applyFill="1" applyBorder="1" applyAlignment="1">
      <alignment horizontal="center"/>
    </xf>
    <xf numFmtId="0" fontId="34" fillId="0" borderId="0" xfId="0" applyFont="1" applyAlignment="1">
      <alignment horizontal="right"/>
    </xf>
    <xf numFmtId="0" fontId="67" fillId="0" borderId="0" xfId="0" applyFont="1"/>
    <xf numFmtId="0" fontId="0" fillId="0" borderId="0" xfId="0" applyAlignment="1" applyProtection="1">
      <alignment horizontal="right"/>
    </xf>
    <xf numFmtId="0" fontId="52" fillId="0" borderId="0" xfId="0" applyFont="1" applyProtection="1"/>
    <xf numFmtId="0" fontId="52" fillId="0" borderId="0" xfId="0" applyFont="1"/>
    <xf numFmtId="0" fontId="38" fillId="0" borderId="0" xfId="0" quotePrefix="1" applyFont="1" applyFill="1" applyBorder="1" applyAlignment="1">
      <alignment horizontal="center"/>
    </xf>
    <xf numFmtId="1" fontId="7" fillId="0" borderId="0" xfId="0" applyNumberFormat="1" applyFont="1" applyBorder="1" applyAlignment="1">
      <alignment horizontal="right"/>
    </xf>
    <xf numFmtId="0" fontId="13" fillId="0" borderId="0" xfId="0" applyFont="1" applyFill="1" applyAlignment="1" applyProtection="1">
      <alignment horizontal="left"/>
    </xf>
    <xf numFmtId="0" fontId="31" fillId="0" borderId="0" xfId="0" applyFont="1" applyBorder="1" applyAlignment="1">
      <alignment horizontal="right"/>
    </xf>
    <xf numFmtId="0" fontId="0" fillId="0" borderId="5" xfId="0" applyBorder="1" applyAlignment="1">
      <alignment horizontal="center"/>
    </xf>
    <xf numFmtId="0" fontId="31" fillId="0" borderId="5" xfId="0" applyFont="1" applyBorder="1" applyAlignment="1">
      <alignment horizontal="center" wrapText="1"/>
    </xf>
    <xf numFmtId="2" fontId="38" fillId="0" borderId="2" xfId="0" applyNumberFormat="1" applyFont="1" applyFill="1" applyBorder="1" applyAlignment="1">
      <alignment horizontal="center"/>
    </xf>
    <xf numFmtId="10" fontId="11" fillId="2" borderId="2" xfId="7" applyNumberFormat="1" applyFont="1" applyFill="1" applyBorder="1" applyAlignment="1" applyProtection="1">
      <alignment horizontal="right"/>
      <protection locked="0"/>
    </xf>
    <xf numFmtId="169" fontId="24" fillId="0" borderId="6" xfId="0" applyNumberFormat="1" applyFont="1" applyFill="1" applyBorder="1" applyAlignment="1">
      <alignment horizontal="center"/>
    </xf>
    <xf numFmtId="169" fontId="24" fillId="0" borderId="35" xfId="0" applyNumberFormat="1" applyFont="1" applyFill="1" applyBorder="1" applyAlignment="1">
      <alignment horizontal="center"/>
    </xf>
    <xf numFmtId="0" fontId="12" fillId="6" borderId="2" xfId="0" applyFont="1" applyFill="1" applyBorder="1" applyAlignment="1" applyProtection="1">
      <alignment horizontal="center"/>
      <protection locked="0"/>
    </xf>
    <xf numFmtId="0" fontId="0" fillId="0" borderId="2" xfId="0" applyBorder="1" applyAlignment="1">
      <alignment horizontal="center"/>
    </xf>
    <xf numFmtId="179" fontId="34" fillId="0" borderId="0" xfId="0" applyNumberFormat="1" applyFont="1" applyBorder="1" applyAlignment="1">
      <alignment horizontal="center"/>
    </xf>
    <xf numFmtId="2" fontId="7" fillId="0" borderId="0" xfId="0" applyNumberFormat="1" applyFont="1" applyBorder="1" applyAlignment="1">
      <alignment horizontal="right"/>
    </xf>
    <xf numFmtId="2" fontId="7" fillId="0" borderId="0" xfId="0" applyNumberFormat="1" applyFont="1" applyBorder="1"/>
    <xf numFmtId="2" fontId="5" fillId="0" borderId="0" xfId="0" applyNumberFormat="1" applyFont="1"/>
    <xf numFmtId="1" fontId="15" fillId="0" borderId="0" xfId="0" applyNumberFormat="1" applyFont="1" applyBorder="1" applyAlignment="1">
      <alignment horizontal="center"/>
    </xf>
    <xf numFmtId="0" fontId="15" fillId="0" borderId="0" xfId="0" applyFont="1" applyBorder="1" applyAlignment="1">
      <alignment wrapText="1"/>
    </xf>
    <xf numFmtId="0" fontId="15" fillId="0" borderId="5" xfId="0" applyFont="1" applyBorder="1" applyAlignment="1">
      <alignment horizontal="center"/>
    </xf>
    <xf numFmtId="0" fontId="34" fillId="0" borderId="0" xfId="0" applyFont="1"/>
    <xf numFmtId="178" fontId="34" fillId="0" borderId="0" xfId="0" applyNumberFormat="1" applyFont="1" applyBorder="1" applyAlignment="1">
      <alignment horizontal="right"/>
    </xf>
    <xf numFmtId="180" fontId="34" fillId="0" borderId="0" xfId="0" applyNumberFormat="1" applyFont="1" applyBorder="1" applyAlignment="1">
      <alignment horizontal="center"/>
    </xf>
    <xf numFmtId="180" fontId="34" fillId="0" borderId="0" xfId="0" applyNumberFormat="1" applyFont="1" applyFill="1" applyBorder="1" applyAlignment="1">
      <alignment horizontal="center"/>
    </xf>
    <xf numFmtId="177" fontId="34" fillId="0" borderId="0" xfId="0" applyNumberFormat="1" applyFont="1" applyFill="1" applyBorder="1" applyAlignment="1">
      <alignment horizontal="center"/>
    </xf>
    <xf numFmtId="171" fontId="34" fillId="0" borderId="0" xfId="0" applyNumberFormat="1" applyFont="1" applyBorder="1" applyAlignment="1">
      <alignment horizontal="center"/>
    </xf>
    <xf numFmtId="184" fontId="7" fillId="0" borderId="0" xfId="0" applyNumberFormat="1" applyFont="1" applyFill="1" applyBorder="1" applyAlignment="1">
      <alignment horizontal="center"/>
    </xf>
    <xf numFmtId="185" fontId="34" fillId="0" borderId="0" xfId="0" applyNumberFormat="1" applyFont="1" applyBorder="1" applyAlignment="1">
      <alignment horizontal="right"/>
    </xf>
    <xf numFmtId="179" fontId="34" fillId="0" borderId="0" xfId="0" applyNumberFormat="1" applyFont="1" applyBorder="1" applyAlignment="1">
      <alignment horizontal="right"/>
    </xf>
    <xf numFmtId="179" fontId="34" fillId="0" borderId="36" xfId="0" applyNumberFormat="1" applyFont="1" applyBorder="1" applyAlignment="1"/>
    <xf numFmtId="179" fontId="34" fillId="0" borderId="0" xfId="0" applyNumberFormat="1" applyFont="1" applyBorder="1" applyAlignment="1"/>
    <xf numFmtId="180" fontId="34" fillId="0" borderId="5" xfId="0" applyNumberFormat="1" applyFont="1" applyFill="1" applyBorder="1" applyAlignment="1">
      <alignment horizontal="center"/>
    </xf>
    <xf numFmtId="177" fontId="34" fillId="0" borderId="0" xfId="0" applyNumberFormat="1" applyFont="1" applyBorder="1" applyAlignment="1">
      <alignment horizontal="center"/>
    </xf>
    <xf numFmtId="0" fontId="29" fillId="0" borderId="5" xfId="0" applyFont="1" applyBorder="1" applyAlignment="1">
      <alignment horizontal="center"/>
    </xf>
    <xf numFmtId="0" fontId="7" fillId="0" borderId="0" xfId="0" applyFont="1" applyBorder="1" applyAlignment="1" applyProtection="1">
      <alignment horizontal="left"/>
      <protection locked="0"/>
    </xf>
    <xf numFmtId="0" fontId="7" fillId="0" borderId="0" xfId="0" applyFont="1" applyAlignment="1">
      <alignment horizontal="right" vertical="center"/>
    </xf>
    <xf numFmtId="165" fontId="0" fillId="0" borderId="0" xfId="0" applyNumberFormat="1" applyAlignment="1">
      <alignment horizontal="center"/>
    </xf>
    <xf numFmtId="0" fontId="31" fillId="0" borderId="5" xfId="0" applyFont="1" applyBorder="1" applyAlignment="1">
      <alignment horizontal="center"/>
    </xf>
    <xf numFmtId="0" fontId="0" fillId="0" borderId="0" xfId="0" applyAlignment="1"/>
    <xf numFmtId="2" fontId="0" fillId="0" borderId="0" xfId="0" applyNumberFormat="1" applyAlignment="1">
      <alignment horizontal="center"/>
    </xf>
    <xf numFmtId="180" fontId="34" fillId="0" borderId="36" xfId="0" applyNumberFormat="1" applyFont="1" applyBorder="1" applyAlignment="1">
      <alignment horizontal="center"/>
    </xf>
    <xf numFmtId="177" fontId="34" fillId="0" borderId="36" xfId="0" applyNumberFormat="1" applyFont="1" applyBorder="1" applyAlignment="1">
      <alignment horizontal="center"/>
    </xf>
    <xf numFmtId="182" fontId="0" fillId="0" borderId="0" xfId="0" applyNumberFormat="1" applyAlignment="1">
      <alignment horizontal="center"/>
    </xf>
    <xf numFmtId="186" fontId="34" fillId="0" borderId="0" xfId="0" applyNumberFormat="1" applyFont="1" applyAlignment="1">
      <alignment horizontal="center"/>
    </xf>
    <xf numFmtId="1" fontId="5" fillId="0" borderId="0" xfId="0" applyNumberFormat="1" applyFont="1" applyBorder="1" applyAlignment="1">
      <alignment horizontal="center"/>
    </xf>
    <xf numFmtId="171" fontId="0" fillId="0" borderId="0" xfId="0" applyNumberFormat="1" applyAlignment="1">
      <alignment horizontal="center"/>
    </xf>
    <xf numFmtId="0" fontId="0" fillId="0" borderId="5" xfId="0" applyBorder="1" applyAlignment="1"/>
    <xf numFmtId="181" fontId="0" fillId="0" borderId="0" xfId="0" applyNumberFormat="1" applyAlignment="1">
      <alignment horizontal="center"/>
    </xf>
    <xf numFmtId="182" fontId="0" fillId="0" borderId="0" xfId="0" applyNumberFormat="1" applyAlignment="1"/>
    <xf numFmtId="0" fontId="0" fillId="0" borderId="5" xfId="0" applyFill="1" applyBorder="1" applyAlignment="1">
      <alignment horizontal="center"/>
    </xf>
    <xf numFmtId="0" fontId="0" fillId="0" borderId="5" xfId="0" applyBorder="1" applyAlignment="1">
      <alignment horizontal="right"/>
    </xf>
    <xf numFmtId="1" fontId="15" fillId="0" borderId="0" xfId="0" applyNumberFormat="1" applyFont="1"/>
    <xf numFmtId="2" fontId="0" fillId="0" borderId="37" xfId="0" applyNumberFormat="1" applyBorder="1"/>
    <xf numFmtId="2" fontId="0" fillId="0" borderId="4" xfId="0" applyNumberFormat="1" applyBorder="1"/>
    <xf numFmtId="2" fontId="0" fillId="0" borderId="33" xfId="0" applyNumberFormat="1" applyBorder="1"/>
    <xf numFmtId="0" fontId="0" fillId="0" borderId="38" xfId="0" applyBorder="1" applyAlignment="1">
      <alignment horizontal="center"/>
    </xf>
    <xf numFmtId="0" fontId="0" fillId="0" borderId="3" xfId="0" applyBorder="1" applyAlignment="1">
      <alignment horizontal="center"/>
    </xf>
    <xf numFmtId="0" fontId="0" fillId="0" borderId="39" xfId="0" applyBorder="1" applyAlignment="1">
      <alignment horizontal="center"/>
    </xf>
    <xf numFmtId="1" fontId="7" fillId="0" borderId="0" xfId="0" applyNumberFormat="1" applyFont="1" applyBorder="1"/>
    <xf numFmtId="188" fontId="11" fillId="2" borderId="2" xfId="0" applyNumberFormat="1" applyFont="1" applyFill="1" applyBorder="1" applyAlignment="1" applyProtection="1">
      <alignment horizontal="center"/>
      <protection locked="0"/>
    </xf>
    <xf numFmtId="0" fontId="0" fillId="0" borderId="0" xfId="0" applyFill="1"/>
    <xf numFmtId="164" fontId="7" fillId="0" borderId="0" xfId="0" applyNumberFormat="1" applyFont="1" applyBorder="1"/>
    <xf numFmtId="1" fontId="12" fillId="6" borderId="2" xfId="0" applyNumberFormat="1" applyFont="1" applyFill="1" applyBorder="1" applyAlignment="1" applyProtection="1">
      <alignment horizontal="center"/>
      <protection locked="0"/>
    </xf>
    <xf numFmtId="165" fontId="11" fillId="2" borderId="2" xfId="0" applyNumberFormat="1" applyFont="1" applyFill="1" applyBorder="1" applyAlignment="1" applyProtection="1">
      <alignment horizontal="right"/>
      <protection locked="0"/>
    </xf>
    <xf numFmtId="0" fontId="5" fillId="0" borderId="0" xfId="0" applyFont="1" applyBorder="1" applyAlignment="1">
      <alignment horizontal="center"/>
    </xf>
    <xf numFmtId="0" fontId="31" fillId="0" borderId="5" xfId="0" applyFont="1" applyFill="1" applyBorder="1" applyAlignment="1">
      <alignment horizontal="center"/>
    </xf>
    <xf numFmtId="2" fontId="5" fillId="0" borderId="0" xfId="0" applyNumberFormat="1" applyFont="1" applyBorder="1" applyAlignment="1">
      <alignment horizontal="center"/>
    </xf>
    <xf numFmtId="191" fontId="34" fillId="0" borderId="0" xfId="0" applyNumberFormat="1" applyFont="1" applyFill="1" applyBorder="1" applyAlignment="1">
      <alignment horizontal="center"/>
    </xf>
    <xf numFmtId="0" fontId="15" fillId="0" borderId="2" xfId="0" applyFont="1" applyBorder="1" applyAlignment="1">
      <alignment horizontal="center"/>
    </xf>
    <xf numFmtId="0" fontId="7" fillId="0" borderId="0" xfId="0" applyFont="1" applyFill="1" applyBorder="1" applyProtection="1"/>
    <xf numFmtId="164" fontId="20" fillId="2" borderId="2" xfId="0" applyNumberFormat="1" applyFont="1" applyFill="1" applyBorder="1" applyProtection="1">
      <protection locked="0"/>
    </xf>
    <xf numFmtId="164" fontId="20" fillId="0" borderId="0" xfId="0" applyNumberFormat="1" applyFont="1" applyFill="1" applyBorder="1" applyProtection="1">
      <protection locked="0"/>
    </xf>
    <xf numFmtId="0" fontId="52" fillId="0" borderId="0" xfId="0" applyFont="1" applyBorder="1"/>
    <xf numFmtId="0" fontId="15" fillId="0" borderId="5" xfId="0" applyFont="1" applyBorder="1"/>
    <xf numFmtId="0" fontId="7" fillId="0" borderId="2" xfId="0" applyFont="1" applyBorder="1" applyAlignment="1">
      <alignment horizontal="center"/>
    </xf>
    <xf numFmtId="0" fontId="7" fillId="0" borderId="0" xfId="0" applyFont="1" applyBorder="1" applyAlignment="1">
      <alignment horizontal="center"/>
    </xf>
    <xf numFmtId="165" fontId="7" fillId="0" borderId="2" xfId="0" applyNumberFormat="1" applyFont="1" applyBorder="1" applyAlignment="1">
      <alignment horizontal="center"/>
    </xf>
    <xf numFmtId="165" fontId="7" fillId="0" borderId="0" xfId="0" applyNumberFormat="1" applyFont="1" applyBorder="1" applyAlignment="1">
      <alignment horizontal="center"/>
    </xf>
    <xf numFmtId="2" fontId="7" fillId="0" borderId="0" xfId="0" applyNumberFormat="1" applyFont="1"/>
    <xf numFmtId="164" fontId="15" fillId="0" borderId="2" xfId="0" applyNumberFormat="1" applyFont="1" applyBorder="1" applyAlignment="1">
      <alignment horizontal="center"/>
    </xf>
    <xf numFmtId="165" fontId="15" fillId="0" borderId="0" xfId="0" applyNumberFormat="1" applyFont="1" applyBorder="1" applyAlignment="1">
      <alignment horizontal="center"/>
    </xf>
    <xf numFmtId="165" fontId="7" fillId="0" borderId="0" xfId="0" applyNumberFormat="1" applyFont="1"/>
    <xf numFmtId="165" fontId="15" fillId="0" borderId="0" xfId="0" applyNumberFormat="1" applyFont="1"/>
    <xf numFmtId="2" fontId="18" fillId="0" borderId="0" xfId="0" applyNumberFormat="1" applyFont="1"/>
    <xf numFmtId="165" fontId="7" fillId="0" borderId="0" xfId="0" applyNumberFormat="1" applyFont="1" applyAlignment="1">
      <alignment horizontal="center"/>
    </xf>
    <xf numFmtId="164" fontId="7" fillId="0" borderId="0" xfId="0" applyNumberFormat="1" applyFont="1" applyAlignment="1">
      <alignment horizontal="right"/>
    </xf>
    <xf numFmtId="1" fontId="10" fillId="0" borderId="0" xfId="0" applyNumberFormat="1" applyFont="1"/>
    <xf numFmtId="1" fontId="7" fillId="0" borderId="0" xfId="0" applyNumberFormat="1" applyFont="1"/>
    <xf numFmtId="2" fontId="34" fillId="0" borderId="0" xfId="0" applyNumberFormat="1" applyFont="1" applyBorder="1"/>
    <xf numFmtId="0" fontId="15" fillId="0" borderId="0" xfId="0" applyFont="1" applyFill="1" applyBorder="1" applyAlignment="1" applyProtection="1">
      <alignment horizontal="center" vertical="center"/>
    </xf>
    <xf numFmtId="0" fontId="7" fillId="0" borderId="0" xfId="0" applyFont="1" applyFill="1" applyBorder="1" applyAlignment="1" applyProtection="1">
      <alignment horizontal="left"/>
    </xf>
    <xf numFmtId="0" fontId="44" fillId="0" borderId="0" xfId="0" applyFont="1" applyAlignment="1">
      <alignment horizontal="left" indent="2"/>
    </xf>
    <xf numFmtId="0" fontId="44" fillId="0" borderId="0" xfId="0" applyFont="1"/>
    <xf numFmtId="192" fontId="34" fillId="0" borderId="0" xfId="0" applyNumberFormat="1" applyFont="1"/>
    <xf numFmtId="192" fontId="18" fillId="0" borderId="0" xfId="0" applyNumberFormat="1" applyFont="1"/>
    <xf numFmtId="1" fontId="0" fillId="0" borderId="0" xfId="0" applyNumberFormat="1" applyBorder="1"/>
    <xf numFmtId="164" fontId="7" fillId="0" borderId="0" xfId="0" applyNumberFormat="1" applyFont="1" applyFill="1" applyBorder="1" applyProtection="1"/>
    <xf numFmtId="2" fontId="15" fillId="0" borderId="2" xfId="0" applyNumberFormat="1" applyFont="1" applyBorder="1" applyAlignment="1">
      <alignment horizontal="center"/>
    </xf>
    <xf numFmtId="1" fontId="18" fillId="0" borderId="0" xfId="0" applyNumberFormat="1" applyFont="1" applyBorder="1"/>
    <xf numFmtId="2" fontId="18" fillId="0" borderId="0" xfId="0" applyNumberFormat="1" applyFont="1" applyBorder="1" applyAlignment="1">
      <alignment horizontal="left"/>
    </xf>
    <xf numFmtId="0" fontId="32" fillId="0" borderId="0" xfId="0" applyFont="1" applyProtection="1"/>
    <xf numFmtId="165" fontId="0" fillId="0" borderId="0" xfId="0" applyNumberFormat="1" applyProtection="1"/>
    <xf numFmtId="1" fontId="0" fillId="0" borderId="0" xfId="0" applyNumberFormat="1" applyProtection="1"/>
    <xf numFmtId="164" fontId="0" fillId="0" borderId="0" xfId="0" applyNumberFormat="1" applyProtection="1"/>
    <xf numFmtId="0" fontId="67" fillId="0" borderId="0" xfId="0" applyFont="1" applyAlignment="1" applyProtection="1">
      <alignment horizontal="left" indent="2"/>
    </xf>
    <xf numFmtId="0" fontId="18" fillId="0" borderId="0" xfId="0" applyFont="1" applyProtection="1"/>
    <xf numFmtId="165" fontId="13" fillId="0" borderId="0" xfId="0" applyNumberFormat="1" applyFont="1" applyFill="1" applyBorder="1" applyProtection="1"/>
    <xf numFmtId="0" fontId="0" fillId="5" borderId="0" xfId="0" applyFill="1"/>
    <xf numFmtId="0" fontId="0" fillId="5" borderId="0" xfId="0" applyFill="1" applyBorder="1"/>
    <xf numFmtId="0" fontId="0" fillId="5" borderId="0" xfId="0" applyFill="1" applyAlignment="1">
      <alignment horizontal="center"/>
    </xf>
    <xf numFmtId="0" fontId="0" fillId="5" borderId="0" xfId="0" applyFill="1" applyBorder="1" applyAlignment="1">
      <alignment horizontal="center"/>
    </xf>
    <xf numFmtId="2" fontId="0" fillId="5" borderId="0" xfId="0" applyNumberFormat="1" applyFill="1"/>
    <xf numFmtId="0" fontId="13" fillId="5" borderId="0" xfId="0" applyFont="1" applyFill="1" applyAlignment="1" applyProtection="1">
      <alignment horizontal="right"/>
    </xf>
    <xf numFmtId="0" fontId="7" fillId="5" borderId="0" xfId="0" applyFont="1" applyFill="1"/>
    <xf numFmtId="0" fontId="0" fillId="5" borderId="0" xfId="0" applyFill="1" applyProtection="1"/>
    <xf numFmtId="0" fontId="13" fillId="5" borderId="0" xfId="0" applyFont="1" applyFill="1" applyBorder="1" applyAlignment="1" applyProtection="1">
      <alignment horizontal="right"/>
    </xf>
    <xf numFmtId="0" fontId="13" fillId="5" borderId="0" xfId="0" applyFont="1" applyFill="1" applyProtection="1"/>
    <xf numFmtId="0" fontId="0" fillId="5" borderId="0" xfId="0" applyFill="1" applyAlignment="1">
      <alignment horizontal="right"/>
    </xf>
    <xf numFmtId="0" fontId="0" fillId="5" borderId="0" xfId="0" quotePrefix="1" applyFill="1"/>
    <xf numFmtId="0" fontId="15" fillId="5" borderId="0" xfId="0" applyFont="1" applyFill="1" applyBorder="1" applyAlignment="1">
      <alignment horizontal="center"/>
    </xf>
    <xf numFmtId="0" fontId="15" fillId="5" borderId="0" xfId="0" applyFont="1" applyFill="1" applyBorder="1" applyAlignment="1" applyProtection="1">
      <alignment horizontal="center" vertical="center"/>
    </xf>
    <xf numFmtId="0" fontId="75" fillId="5" borderId="0" xfId="0" applyFont="1" applyFill="1" applyBorder="1" applyAlignment="1" applyProtection="1">
      <alignment horizontal="right" vertical="center"/>
    </xf>
    <xf numFmtId="0" fontId="75" fillId="5" borderId="0" xfId="0" applyFont="1" applyFill="1" applyBorder="1" applyAlignment="1" applyProtection="1">
      <alignment horizontal="center" vertical="center"/>
    </xf>
    <xf numFmtId="0" fontId="75" fillId="5" borderId="1" xfId="0" applyFont="1" applyFill="1" applyBorder="1" applyAlignment="1" applyProtection="1">
      <alignment horizontal="left" vertical="center"/>
    </xf>
    <xf numFmtId="0" fontId="15" fillId="5" borderId="1" xfId="0" applyFont="1" applyFill="1" applyBorder="1" applyAlignment="1" applyProtection="1">
      <alignment horizontal="center" vertical="center"/>
    </xf>
    <xf numFmtId="0" fontId="7" fillId="5" borderId="0" xfId="0" applyFont="1" applyFill="1" applyAlignment="1">
      <alignment horizontal="right"/>
    </xf>
    <xf numFmtId="0" fontId="12" fillId="5" borderId="1" xfId="0" applyFont="1" applyFill="1" applyBorder="1" applyAlignment="1" applyProtection="1">
      <alignment horizontal="left" vertical="center"/>
    </xf>
    <xf numFmtId="0" fontId="12" fillId="5" borderId="0" xfId="0" applyFont="1" applyFill="1" applyBorder="1" applyAlignment="1" applyProtection="1">
      <alignment horizontal="center" vertical="center"/>
    </xf>
    <xf numFmtId="0" fontId="99" fillId="5" borderId="0" xfId="0" applyFont="1" applyFill="1"/>
    <xf numFmtId="0" fontId="99" fillId="5" borderId="0" xfId="0" applyFont="1" applyFill="1" applyProtection="1"/>
    <xf numFmtId="0" fontId="9" fillId="5" borderId="0" xfId="0" applyFont="1" applyFill="1" applyBorder="1" applyAlignment="1" applyProtection="1">
      <alignment horizontal="center"/>
    </xf>
    <xf numFmtId="0" fontId="100" fillId="5" borderId="0" xfId="0" applyFont="1" applyFill="1" applyProtection="1"/>
    <xf numFmtId="0" fontId="34" fillId="5" borderId="0" xfId="0" applyFont="1" applyFill="1" applyProtection="1"/>
    <xf numFmtId="0" fontId="101" fillId="5" borderId="0" xfId="0" applyFont="1" applyFill="1" applyProtection="1"/>
    <xf numFmtId="0" fontId="49" fillId="5" borderId="0" xfId="0" applyFont="1" applyFill="1" applyProtection="1"/>
    <xf numFmtId="0" fontId="49" fillId="0" borderId="0" xfId="0" applyFont="1" applyFill="1" applyBorder="1" applyProtection="1"/>
    <xf numFmtId="0" fontId="5" fillId="0" borderId="0" xfId="0" applyFont="1" applyFill="1" applyBorder="1" applyAlignment="1" applyProtection="1">
      <alignment horizontal="right"/>
    </xf>
    <xf numFmtId="0" fontId="15" fillId="5" borderId="0" xfId="0" applyFont="1" applyFill="1" applyBorder="1" applyAlignment="1" applyProtection="1">
      <alignment horizontal="center"/>
    </xf>
    <xf numFmtId="0" fontId="34" fillId="5" borderId="0" xfId="0" applyFont="1" applyFill="1" applyAlignment="1" applyProtection="1">
      <alignment horizontal="right"/>
    </xf>
    <xf numFmtId="181" fontId="5" fillId="3" borderId="0" xfId="0" applyNumberFormat="1" applyFont="1" applyFill="1" applyProtection="1"/>
    <xf numFmtId="193" fontId="5" fillId="3" borderId="0" xfId="0" applyNumberFormat="1" applyFont="1" applyFill="1" applyProtection="1"/>
    <xf numFmtId="0" fontId="49" fillId="5" borderId="1" xfId="0" applyFont="1" applyFill="1" applyBorder="1" applyProtection="1"/>
    <xf numFmtId="0" fontId="34" fillId="5" borderId="1" xfId="0" applyFont="1" applyFill="1" applyBorder="1" applyProtection="1"/>
    <xf numFmtId="187" fontId="5" fillId="3" borderId="0" xfId="0" applyNumberFormat="1" applyFont="1" applyFill="1" applyProtection="1"/>
    <xf numFmtId="1" fontId="34" fillId="5" borderId="0" xfId="0" applyNumberFormat="1" applyFont="1" applyFill="1" applyProtection="1"/>
    <xf numFmtId="0" fontId="7" fillId="5" borderId="0" xfId="0" applyFont="1" applyFill="1" applyAlignment="1" applyProtection="1">
      <alignment horizontal="right"/>
    </xf>
    <xf numFmtId="0" fontId="34" fillId="5" borderId="1" xfId="0" applyFont="1" applyFill="1" applyBorder="1" applyAlignment="1" applyProtection="1">
      <alignment horizontal="right"/>
    </xf>
    <xf numFmtId="0" fontId="13" fillId="5" borderId="0" xfId="0" applyFont="1" applyFill="1" applyBorder="1" applyProtection="1"/>
    <xf numFmtId="0" fontId="49" fillId="5" borderId="2" xfId="0" applyFont="1" applyFill="1" applyBorder="1" applyProtection="1"/>
    <xf numFmtId="0" fontId="34" fillId="5" borderId="2" xfId="0" applyFont="1" applyFill="1" applyBorder="1" applyAlignment="1" applyProtection="1">
      <alignment horizontal="center"/>
    </xf>
    <xf numFmtId="187" fontId="5" fillId="3" borderId="0" xfId="0" applyNumberFormat="1" applyFont="1" applyFill="1" applyAlignment="1" applyProtection="1">
      <alignment horizontal="right"/>
    </xf>
    <xf numFmtId="2" fontId="34" fillId="5" borderId="6" xfId="0" applyNumberFormat="1" applyFont="1" applyFill="1" applyBorder="1" applyProtection="1"/>
    <xf numFmtId="0" fontId="34" fillId="5" borderId="35" xfId="0" applyFont="1" applyFill="1" applyBorder="1" applyProtection="1"/>
    <xf numFmtId="0" fontId="0" fillId="0" borderId="0" xfId="0" applyFill="1" applyProtection="1"/>
    <xf numFmtId="187" fontId="5" fillId="0" borderId="0" xfId="0" applyNumberFormat="1" applyFont="1" applyFill="1" applyProtection="1"/>
    <xf numFmtId="0" fontId="49" fillId="0" borderId="0" xfId="0" applyFont="1" applyFill="1" applyProtection="1"/>
    <xf numFmtId="0" fontId="0" fillId="5" borderId="0" xfId="0" applyFill="1" applyAlignment="1" applyProtection="1">
      <alignment horizontal="center"/>
    </xf>
    <xf numFmtId="0" fontId="0" fillId="5" borderId="0" xfId="0" applyFill="1" applyBorder="1" applyAlignment="1" applyProtection="1">
      <alignment horizontal="center"/>
    </xf>
    <xf numFmtId="0" fontId="0" fillId="5" borderId="0" xfId="0" applyFill="1" applyBorder="1" applyProtection="1"/>
    <xf numFmtId="0" fontId="0" fillId="5" borderId="0" xfId="0" applyFill="1" applyBorder="1" applyAlignment="1" applyProtection="1">
      <alignment horizontal="right"/>
    </xf>
    <xf numFmtId="0" fontId="0" fillId="5" borderId="0" xfId="0" applyFill="1" applyBorder="1" applyAlignment="1">
      <alignment horizontal="right"/>
    </xf>
    <xf numFmtId="0" fontId="99" fillId="5" borderId="0" xfId="0" applyFont="1" applyFill="1" applyAlignment="1">
      <alignment horizontal="right"/>
    </xf>
    <xf numFmtId="2" fontId="0" fillId="5" borderId="0" xfId="0" applyNumberFormat="1" applyFill="1" applyAlignment="1">
      <alignment horizontal="right"/>
    </xf>
    <xf numFmtId="0" fontId="18" fillId="5" borderId="0" xfId="0" applyFont="1" applyFill="1"/>
    <xf numFmtId="164" fontId="0" fillId="5" borderId="0" xfId="0" applyNumberFormat="1" applyFill="1"/>
    <xf numFmtId="0" fontId="33" fillId="5" borderId="0" xfId="0" applyFont="1" applyFill="1" applyAlignment="1">
      <alignment horizontal="left"/>
    </xf>
    <xf numFmtId="0" fontId="15" fillId="5" borderId="0" xfId="0" applyFont="1" applyFill="1"/>
    <xf numFmtId="0" fontId="18" fillId="5" borderId="0" xfId="0" applyFont="1" applyFill="1" applyAlignment="1">
      <alignment horizontal="left"/>
    </xf>
    <xf numFmtId="171" fontId="34" fillId="5" borderId="0" xfId="0" applyNumberFormat="1" applyFont="1" applyFill="1" applyBorder="1" applyAlignment="1">
      <alignment horizontal="center"/>
    </xf>
    <xf numFmtId="0" fontId="15" fillId="5" borderId="0" xfId="0" applyFont="1" applyFill="1" applyBorder="1" applyAlignment="1" applyProtection="1"/>
    <xf numFmtId="0" fontId="5" fillId="5" borderId="0" xfId="0" applyFont="1" applyFill="1" applyBorder="1"/>
    <xf numFmtId="2" fontId="0" fillId="5" borderId="2" xfId="0" applyNumberFormat="1" applyFill="1" applyBorder="1" applyAlignment="1">
      <alignment horizontal="center"/>
    </xf>
    <xf numFmtId="165" fontId="0" fillId="5" borderId="0" xfId="0" applyNumberFormat="1" applyFill="1"/>
    <xf numFmtId="0" fontId="0" fillId="5" borderId="2" xfId="0" applyFill="1" applyBorder="1" applyAlignment="1">
      <alignment horizontal="center"/>
    </xf>
    <xf numFmtId="2" fontId="0" fillId="5" borderId="0" xfId="0" applyNumberFormat="1" applyFill="1" applyBorder="1" applyAlignment="1">
      <alignment horizontal="right"/>
    </xf>
    <xf numFmtId="2" fontId="0" fillId="5" borderId="2" xfId="0" applyNumberFormat="1" applyFill="1" applyBorder="1"/>
    <xf numFmtId="2" fontId="0" fillId="5" borderId="2" xfId="0" applyNumberFormat="1" applyFill="1" applyBorder="1" applyAlignment="1">
      <alignment horizontal="right"/>
    </xf>
    <xf numFmtId="0" fontId="0" fillId="5" borderId="2" xfId="0" applyFill="1" applyBorder="1" applyAlignment="1">
      <alignment horizontal="right"/>
    </xf>
    <xf numFmtId="0" fontId="7" fillId="5" borderId="0" xfId="4" applyFill="1" applyProtection="1"/>
    <xf numFmtId="0" fontId="8" fillId="0" borderId="0" xfId="4" applyFont="1" applyProtection="1"/>
    <xf numFmtId="0" fontId="7" fillId="0" borderId="0" xfId="4" applyProtection="1"/>
    <xf numFmtId="0" fontId="9" fillId="0" borderId="0" xfId="4" applyFont="1" applyProtection="1"/>
    <xf numFmtId="0" fontId="7" fillId="0" borderId="0" xfId="4" applyFont="1" applyFill="1" applyProtection="1"/>
    <xf numFmtId="0" fontId="10" fillId="0" borderId="39" xfId="4" applyFont="1" applyBorder="1" applyProtection="1"/>
    <xf numFmtId="0" fontId="7" fillId="0" borderId="5" xfId="4" applyFont="1" applyFill="1" applyBorder="1" applyProtection="1"/>
    <xf numFmtId="0" fontId="10" fillId="0" borderId="39" xfId="4" applyFont="1" applyFill="1" applyBorder="1" applyProtection="1"/>
    <xf numFmtId="0" fontId="10" fillId="0" borderId="5" xfId="4" applyFont="1" applyFill="1" applyBorder="1" applyProtection="1"/>
    <xf numFmtId="0" fontId="10" fillId="0" borderId="6" xfId="4" applyFont="1" applyBorder="1" applyProtection="1"/>
    <xf numFmtId="0" fontId="7" fillId="0" borderId="40" xfId="4" applyFont="1" applyFill="1" applyBorder="1" applyProtection="1"/>
    <xf numFmtId="0" fontId="10" fillId="0" borderId="2" xfId="4" applyFont="1" applyBorder="1" applyAlignment="1" applyProtection="1">
      <alignment horizontal="center"/>
    </xf>
    <xf numFmtId="0" fontId="10" fillId="0" borderId="0" xfId="4" applyFont="1" applyFill="1" applyProtection="1"/>
    <xf numFmtId="0" fontId="10" fillId="0" borderId="2" xfId="4" applyFont="1" applyFill="1" applyBorder="1" applyAlignment="1" applyProtection="1">
      <alignment horizontal="center"/>
    </xf>
    <xf numFmtId="0" fontId="10" fillId="0" borderId="0" xfId="4" applyFont="1" applyProtection="1"/>
    <xf numFmtId="0" fontId="10" fillId="0" borderId="0" xfId="4" applyFont="1" applyFill="1" applyAlignment="1" applyProtection="1">
      <alignment horizontal="right"/>
    </xf>
    <xf numFmtId="0" fontId="14" fillId="0" borderId="0" xfId="4" applyFont="1" applyProtection="1"/>
    <xf numFmtId="0" fontId="14" fillId="0" borderId="0" xfId="4" applyFont="1" applyFill="1" applyProtection="1"/>
    <xf numFmtId="0" fontId="7" fillId="0" borderId="2" xfId="4" applyFont="1" applyFill="1" applyBorder="1" applyAlignment="1" applyProtection="1">
      <alignment horizontal="center"/>
    </xf>
    <xf numFmtId="0" fontId="13" fillId="0" borderId="5" xfId="4" applyFont="1" applyFill="1" applyBorder="1" applyProtection="1"/>
    <xf numFmtId="0" fontId="13" fillId="0" borderId="0" xfId="4" applyFont="1" applyFill="1" applyProtection="1"/>
    <xf numFmtId="0" fontId="7" fillId="0" borderId="0" xfId="4" applyFont="1" applyFill="1" applyBorder="1" applyProtection="1"/>
    <xf numFmtId="0" fontId="13" fillId="0" borderId="0" xfId="4" applyFont="1" applyFill="1" applyAlignment="1" applyProtection="1"/>
    <xf numFmtId="0" fontId="10" fillId="0" borderId="0" xfId="4" applyFont="1" applyFill="1" applyBorder="1" applyProtection="1"/>
    <xf numFmtId="0" fontId="7" fillId="0" borderId="2" xfId="4" applyBorder="1" applyAlignment="1" applyProtection="1">
      <alignment horizontal="center"/>
    </xf>
    <xf numFmtId="0" fontId="7" fillId="0" borderId="2" xfId="4" applyFont="1" applyBorder="1" applyAlignment="1" applyProtection="1">
      <alignment horizontal="center"/>
    </xf>
    <xf numFmtId="0" fontId="7" fillId="0" borderId="5" xfId="4" applyBorder="1" applyProtection="1"/>
    <xf numFmtId="0" fontId="7" fillId="0" borderId="2" xfId="4" applyBorder="1" applyAlignment="1" applyProtection="1"/>
    <xf numFmtId="0" fontId="10" fillId="0" borderId="0" xfId="4" applyFont="1" applyAlignment="1" applyProtection="1"/>
    <xf numFmtId="0" fontId="7" fillId="0" borderId="0" xfId="4" applyAlignment="1" applyProtection="1"/>
    <xf numFmtId="0" fontId="7" fillId="5" borderId="0" xfId="4" applyFill="1" applyBorder="1" applyProtection="1"/>
    <xf numFmtId="0" fontId="0" fillId="5" borderId="41" xfId="0" applyFill="1" applyBorder="1"/>
    <xf numFmtId="0" fontId="5" fillId="5" borderId="42" xfId="0" applyFont="1" applyFill="1" applyBorder="1"/>
    <xf numFmtId="0" fontId="5" fillId="5" borderId="43" xfId="0" applyFont="1" applyFill="1" applyBorder="1"/>
    <xf numFmtId="0" fontId="0" fillId="5" borderId="44" xfId="0" applyFill="1" applyBorder="1"/>
    <xf numFmtId="1" fontId="5" fillId="5" borderId="0" xfId="0" applyNumberFormat="1" applyFont="1" applyFill="1" applyBorder="1" applyAlignment="1">
      <alignment horizontal="center"/>
    </xf>
    <xf numFmtId="0" fontId="15" fillId="5" borderId="44" xfId="0" applyFont="1" applyFill="1" applyBorder="1" applyAlignment="1">
      <alignment horizontal="center"/>
    </xf>
    <xf numFmtId="0" fontId="24" fillId="5" borderId="45" xfId="0" applyFont="1" applyFill="1" applyBorder="1" applyAlignment="1">
      <alignment horizontal="center"/>
    </xf>
    <xf numFmtId="175" fontId="26" fillId="5" borderId="45" xfId="0" applyNumberFormat="1" applyFont="1" applyFill="1" applyBorder="1"/>
    <xf numFmtId="176" fontId="26" fillId="5" borderId="46" xfId="0" applyNumberFormat="1" applyFont="1" applyFill="1" applyBorder="1"/>
    <xf numFmtId="0" fontId="34" fillId="5" borderId="44" xfId="0" applyFont="1" applyFill="1" applyBorder="1"/>
    <xf numFmtId="181" fontId="34" fillId="5" borderId="47" xfId="0" applyNumberFormat="1" applyFont="1" applyFill="1" applyBorder="1" applyAlignment="1">
      <alignment horizontal="center"/>
    </xf>
    <xf numFmtId="164" fontId="34" fillId="5" borderId="0" xfId="0" applyNumberFormat="1" applyFont="1" applyFill="1" applyBorder="1" applyAlignment="1">
      <alignment horizontal="center"/>
    </xf>
    <xf numFmtId="164" fontId="34" fillId="5" borderId="0" xfId="0" applyNumberFormat="1" applyFont="1" applyFill="1" applyBorder="1" applyAlignment="1">
      <alignment horizontal="left"/>
    </xf>
    <xf numFmtId="164" fontId="34" fillId="5" borderId="47" xfId="0" applyNumberFormat="1" applyFont="1" applyFill="1" applyBorder="1" applyAlignment="1">
      <alignment horizontal="left"/>
    </xf>
    <xf numFmtId="182" fontId="34" fillId="5" borderId="0" xfId="0" applyNumberFormat="1" applyFont="1" applyFill="1" applyBorder="1" applyAlignment="1">
      <alignment horizontal="center"/>
    </xf>
    <xf numFmtId="182" fontId="34" fillId="5" borderId="43" xfId="0" applyNumberFormat="1" applyFont="1" applyFill="1" applyBorder="1" applyAlignment="1">
      <alignment horizontal="center"/>
    </xf>
    <xf numFmtId="0" fontId="5" fillId="5" borderId="44" xfId="0" applyFont="1" applyFill="1" applyBorder="1"/>
    <xf numFmtId="1" fontId="75" fillId="5" borderId="48" xfId="0" applyNumberFormat="1" applyFont="1" applyFill="1" applyBorder="1" applyAlignment="1">
      <alignment horizontal="right"/>
    </xf>
    <xf numFmtId="181" fontId="75" fillId="5" borderId="49" xfId="0" applyNumberFormat="1" applyFont="1" applyFill="1" applyBorder="1" applyAlignment="1">
      <alignment horizontal="center"/>
    </xf>
    <xf numFmtId="0" fontId="76" fillId="5" borderId="50" xfId="0" applyFont="1" applyFill="1" applyBorder="1"/>
    <xf numFmtId="0" fontId="76" fillId="5" borderId="49" xfId="0" applyFont="1" applyFill="1" applyBorder="1"/>
    <xf numFmtId="0" fontId="76" fillId="5" borderId="50" xfId="0" applyFont="1" applyFill="1" applyBorder="1" applyAlignment="1">
      <alignment horizontal="right"/>
    </xf>
    <xf numFmtId="182" fontId="75" fillId="5" borderId="51" xfId="0" applyNumberFormat="1" applyFont="1" applyFill="1" applyBorder="1" applyAlignment="1">
      <alignment horizontal="center"/>
    </xf>
    <xf numFmtId="181" fontId="75" fillId="5" borderId="47" xfId="0" applyNumberFormat="1" applyFont="1" applyFill="1" applyBorder="1" applyAlignment="1">
      <alignment horizontal="center"/>
    </xf>
    <xf numFmtId="0" fontId="76" fillId="5" borderId="0" xfId="0" applyFont="1" applyFill="1" applyBorder="1"/>
    <xf numFmtId="0" fontId="76" fillId="5" borderId="47" xfId="0" applyFont="1" applyFill="1" applyBorder="1"/>
    <xf numFmtId="0" fontId="5" fillId="5" borderId="52" xfId="0" applyFont="1" applyFill="1" applyBorder="1"/>
    <xf numFmtId="0" fontId="5" fillId="5" borderId="53" xfId="0" applyFont="1" applyFill="1" applyBorder="1"/>
    <xf numFmtId="0" fontId="5" fillId="5" borderId="54" xfId="0" applyFont="1" applyFill="1" applyBorder="1"/>
    <xf numFmtId="0" fontId="5" fillId="5" borderId="55" xfId="0" applyFont="1" applyFill="1" applyBorder="1"/>
    <xf numFmtId="0" fontId="5" fillId="5" borderId="56" xfId="0" applyFont="1" applyFill="1" applyBorder="1"/>
    <xf numFmtId="1" fontId="5" fillId="5" borderId="47" xfId="0" applyNumberFormat="1" applyFont="1" applyFill="1" applyBorder="1" applyAlignment="1">
      <alignment horizontal="center"/>
    </xf>
    <xf numFmtId="0" fontId="24" fillId="5" borderId="57" xfId="0" applyFont="1" applyFill="1" applyBorder="1" applyAlignment="1">
      <alignment horizontal="center"/>
    </xf>
    <xf numFmtId="164" fontId="34" fillId="5" borderId="47" xfId="0" applyNumberFormat="1" applyFont="1" applyFill="1" applyBorder="1" applyAlignment="1">
      <alignment horizontal="center"/>
    </xf>
    <xf numFmtId="182" fontId="0" fillId="5" borderId="0" xfId="0" applyNumberFormat="1" applyFill="1"/>
    <xf numFmtId="2" fontId="15" fillId="5" borderId="0" xfId="0" applyNumberFormat="1" applyFont="1" applyFill="1"/>
    <xf numFmtId="0" fontId="5" fillId="5" borderId="3" xfId="0" applyFont="1" applyFill="1" applyBorder="1" applyAlignment="1">
      <alignment horizontal="center"/>
    </xf>
    <xf numFmtId="0" fontId="5" fillId="5" borderId="5" xfId="0" applyFont="1" applyFill="1" applyBorder="1" applyAlignment="1">
      <alignment horizontal="center"/>
    </xf>
    <xf numFmtId="0" fontId="7" fillId="5" borderId="5" xfId="0" applyFont="1" applyFill="1" applyBorder="1" applyAlignment="1">
      <alignment horizontal="center"/>
    </xf>
    <xf numFmtId="0" fontId="5" fillId="5" borderId="5" xfId="0" applyFont="1" applyFill="1" applyBorder="1"/>
    <xf numFmtId="0" fontId="5" fillId="5" borderId="39" xfId="0" applyFont="1" applyFill="1" applyBorder="1" applyAlignment="1">
      <alignment horizontal="center"/>
    </xf>
    <xf numFmtId="0" fontId="5" fillId="5" borderId="33" xfId="0" applyFont="1" applyFill="1" applyBorder="1"/>
    <xf numFmtId="0" fontId="7" fillId="5" borderId="3" xfId="0" applyFont="1" applyFill="1" applyBorder="1"/>
    <xf numFmtId="0" fontId="7" fillId="5" borderId="0" xfId="0" applyFont="1" applyFill="1" applyBorder="1"/>
    <xf numFmtId="11" fontId="5" fillId="5" borderId="0" xfId="0" applyNumberFormat="1" applyFont="1" applyFill="1" applyBorder="1"/>
    <xf numFmtId="0" fontId="15" fillId="5" borderId="0" xfId="0" applyFont="1" applyFill="1" applyBorder="1"/>
    <xf numFmtId="0" fontId="5" fillId="5" borderId="0" xfId="0" applyNumberFormat="1" applyFont="1" applyFill="1" applyBorder="1"/>
    <xf numFmtId="0" fontId="5" fillId="5" borderId="4" xfId="0" applyNumberFormat="1" applyFont="1" applyFill="1" applyBorder="1"/>
    <xf numFmtId="0" fontId="5" fillId="5" borderId="0" xfId="0" applyFont="1" applyFill="1" applyBorder="1" applyAlignment="1">
      <alignment horizontal="right"/>
    </xf>
    <xf numFmtId="2" fontId="5" fillId="5" borderId="0" xfId="0" applyNumberFormat="1" applyFont="1" applyFill="1" applyBorder="1" applyAlignment="1">
      <alignment horizontal="right"/>
    </xf>
    <xf numFmtId="2" fontId="5" fillId="5" borderId="0" xfId="0" applyNumberFormat="1" applyFont="1" applyFill="1" applyBorder="1"/>
    <xf numFmtId="1" fontId="5" fillId="5" borderId="0" xfId="0" applyNumberFormat="1" applyFont="1" applyFill="1" applyBorder="1" applyAlignment="1">
      <alignment horizontal="right"/>
    </xf>
    <xf numFmtId="1" fontId="5" fillId="5" borderId="0" xfId="0" applyNumberFormat="1" applyFont="1" applyFill="1" applyBorder="1"/>
    <xf numFmtId="164" fontId="5" fillId="5" borderId="0" xfId="0" applyNumberFormat="1" applyFont="1" applyFill="1" applyBorder="1" applyAlignment="1">
      <alignment horizontal="center"/>
    </xf>
    <xf numFmtId="0" fontId="0" fillId="5" borderId="0" xfId="0" applyFill="1" applyAlignment="1" applyProtection="1"/>
    <xf numFmtId="0" fontId="31" fillId="0" borderId="0" xfId="0" applyFont="1" applyBorder="1"/>
    <xf numFmtId="2" fontId="0" fillId="0" borderId="0" xfId="0" applyNumberFormat="1" applyAlignment="1"/>
    <xf numFmtId="0" fontId="94" fillId="5" borderId="0" xfId="1" applyNumberFormat="1" applyFont="1" applyFill="1" applyBorder="1" applyAlignment="1" applyProtection="1">
      <alignment horizontal="left"/>
    </xf>
    <xf numFmtId="0" fontId="94" fillId="5" borderId="0" xfId="0" applyFont="1" applyFill="1" applyBorder="1" applyAlignment="1" applyProtection="1">
      <alignment horizontal="center"/>
    </xf>
    <xf numFmtId="2" fontId="0" fillId="5" borderId="0" xfId="0" applyNumberFormat="1" applyFill="1" applyProtection="1"/>
    <xf numFmtId="0" fontId="94" fillId="5" borderId="11" xfId="0" applyFont="1" applyFill="1" applyBorder="1" applyAlignment="1" applyProtection="1"/>
    <xf numFmtId="0" fontId="94" fillId="5" borderId="4" xfId="0" applyFont="1" applyFill="1" applyBorder="1" applyAlignment="1" applyProtection="1"/>
    <xf numFmtId="0" fontId="0" fillId="0" borderId="0" xfId="0" applyAlignment="1" applyProtection="1">
      <alignment horizontal="left"/>
    </xf>
    <xf numFmtId="0" fontId="15" fillId="0" borderId="2" xfId="0" applyFont="1" applyFill="1" applyBorder="1" applyAlignment="1" applyProtection="1">
      <alignment horizontal="center"/>
    </xf>
    <xf numFmtId="0" fontId="49" fillId="5" borderId="16" xfId="0" applyFont="1" applyFill="1" applyBorder="1" applyProtection="1"/>
    <xf numFmtId="0" fontId="49" fillId="5" borderId="58" xfId="0" applyFont="1" applyFill="1" applyBorder="1" applyProtection="1"/>
    <xf numFmtId="0" fontId="49" fillId="5" borderId="0" xfId="0" applyFont="1" applyFill="1" applyBorder="1" applyProtection="1"/>
    <xf numFmtId="0" fontId="0" fillId="5" borderId="59" xfId="0" applyFill="1" applyBorder="1" applyProtection="1"/>
    <xf numFmtId="165" fontId="49" fillId="5" borderId="0" xfId="0" applyNumberFormat="1" applyFont="1" applyFill="1" applyBorder="1" applyProtection="1"/>
    <xf numFmtId="0" fontId="22" fillId="0" borderId="0" xfId="0" applyFont="1" applyFill="1" applyProtection="1"/>
    <xf numFmtId="0" fontId="5" fillId="0" borderId="0" xfId="0" applyFont="1" applyFill="1" applyAlignment="1" applyProtection="1">
      <alignment horizontal="right"/>
    </xf>
    <xf numFmtId="0" fontId="97" fillId="0" borderId="0" xfId="0" applyFont="1" applyFill="1" applyBorder="1" applyProtection="1"/>
    <xf numFmtId="0" fontId="25" fillId="0" borderId="0" xfId="0" applyFont="1" applyFill="1" applyProtection="1"/>
    <xf numFmtId="0" fontId="80" fillId="5" borderId="60" xfId="0" applyFont="1" applyFill="1" applyBorder="1" applyAlignment="1" applyProtection="1">
      <alignment horizontal="center"/>
    </xf>
    <xf numFmtId="0" fontId="83" fillId="5" borderId="22" xfId="0" applyFont="1" applyFill="1" applyBorder="1" applyAlignment="1" applyProtection="1">
      <alignment horizontal="right"/>
    </xf>
    <xf numFmtId="1" fontId="83" fillId="5" borderId="0" xfId="0" applyNumberFormat="1" applyFont="1" applyFill="1" applyBorder="1" applyProtection="1"/>
    <xf numFmtId="0" fontId="83" fillId="5" borderId="0" xfId="0" applyFont="1" applyFill="1" applyBorder="1" applyProtection="1"/>
    <xf numFmtId="0" fontId="0" fillId="5" borderId="23" xfId="0" applyFill="1" applyBorder="1" applyProtection="1"/>
    <xf numFmtId="0" fontId="92" fillId="5" borderId="0" xfId="0" applyFont="1" applyFill="1" applyBorder="1" applyProtection="1"/>
    <xf numFmtId="0" fontId="92" fillId="5" borderId="23" xfId="0" applyFont="1" applyFill="1" applyBorder="1" applyProtection="1"/>
    <xf numFmtId="10" fontId="73" fillId="5" borderId="0" xfId="7" applyNumberFormat="1" applyFont="1" applyFill="1" applyBorder="1" applyAlignment="1" applyProtection="1">
      <alignment horizontal="center"/>
    </xf>
    <xf numFmtId="0" fontId="93" fillId="5" borderId="11" xfId="0" applyFont="1" applyFill="1" applyBorder="1" applyAlignment="1" applyProtection="1">
      <alignment horizontal="center"/>
    </xf>
    <xf numFmtId="0" fontId="88" fillId="5" borderId="32" xfId="0" applyFont="1" applyFill="1" applyBorder="1" applyProtection="1"/>
    <xf numFmtId="0" fontId="79" fillId="5" borderId="61" xfId="0" applyFont="1" applyFill="1" applyBorder="1" applyProtection="1"/>
    <xf numFmtId="0" fontId="90" fillId="5" borderId="0" xfId="0" applyFont="1" applyFill="1" applyAlignment="1" applyProtection="1">
      <alignment horizontal="center"/>
    </xf>
    <xf numFmtId="0" fontId="83" fillId="5" borderId="61" xfId="0" applyFont="1" applyFill="1" applyBorder="1" applyAlignment="1" applyProtection="1">
      <alignment horizontal="right"/>
    </xf>
    <xf numFmtId="0" fontId="89" fillId="5" borderId="62" xfId="0" applyFont="1" applyFill="1" applyBorder="1" applyAlignment="1" applyProtection="1">
      <alignment horizontal="center"/>
    </xf>
    <xf numFmtId="9" fontId="83" fillId="5" borderId="4" xfId="7" applyFont="1" applyFill="1" applyBorder="1" applyAlignment="1" applyProtection="1">
      <alignment horizontal="center"/>
    </xf>
    <xf numFmtId="9" fontId="83" fillId="5" borderId="23" xfId="7" applyFont="1" applyFill="1" applyBorder="1" applyAlignment="1" applyProtection="1">
      <alignment horizontal="center"/>
    </xf>
    <xf numFmtId="0" fontId="89" fillId="5" borderId="63" xfId="0" applyFont="1" applyFill="1" applyBorder="1" applyAlignment="1" applyProtection="1">
      <alignment horizontal="center"/>
    </xf>
    <xf numFmtId="0" fontId="89" fillId="5" borderId="64" xfId="0" applyFont="1" applyFill="1" applyBorder="1" applyAlignment="1" applyProtection="1">
      <alignment horizontal="center"/>
    </xf>
    <xf numFmtId="0" fontId="5" fillId="5" borderId="0" xfId="0" applyFont="1" applyFill="1" applyProtection="1"/>
    <xf numFmtId="189" fontId="83" fillId="5" borderId="4" xfId="7" applyNumberFormat="1" applyFont="1" applyFill="1" applyBorder="1" applyAlignment="1" applyProtection="1">
      <alignment horizontal="center"/>
    </xf>
    <xf numFmtId="189" fontId="83" fillId="5" borderId="23" xfId="7" applyNumberFormat="1" applyFont="1" applyFill="1" applyBorder="1" applyAlignment="1" applyProtection="1">
      <alignment horizontal="center"/>
    </xf>
    <xf numFmtId="0" fontId="79" fillId="5" borderId="0" xfId="0" applyFont="1" applyFill="1" applyBorder="1" applyAlignment="1" applyProtection="1"/>
    <xf numFmtId="0" fontId="26" fillId="5" borderId="0" xfId="0" applyFont="1" applyFill="1" applyProtection="1"/>
    <xf numFmtId="0" fontId="7" fillId="5" borderId="0" xfId="0" applyFont="1" applyFill="1" applyAlignment="1" applyProtection="1">
      <alignment horizontal="center"/>
    </xf>
    <xf numFmtId="0" fontId="7" fillId="5" borderId="0" xfId="0" applyFont="1" applyFill="1" applyProtection="1"/>
    <xf numFmtId="0" fontId="49" fillId="5" borderId="0" xfId="0" applyFont="1" applyFill="1" applyAlignment="1" applyProtection="1">
      <alignment horizontal="center"/>
    </xf>
    <xf numFmtId="0" fontId="78" fillId="5" borderId="0" xfId="0" applyFont="1" applyFill="1" applyProtection="1"/>
    <xf numFmtId="0" fontId="89" fillId="5" borderId="65" xfId="0" applyFont="1" applyFill="1" applyBorder="1" applyAlignment="1" applyProtection="1">
      <alignment horizontal="center"/>
    </xf>
    <xf numFmtId="0" fontId="89" fillId="5" borderId="66" xfId="0" applyFont="1" applyFill="1" applyBorder="1" applyAlignment="1" applyProtection="1">
      <alignment horizontal="center"/>
    </xf>
    <xf numFmtId="0" fontId="85" fillId="5" borderId="23" xfId="0" quotePrefix="1" applyFont="1" applyFill="1" applyBorder="1" applyAlignment="1" applyProtection="1">
      <alignment horizontal="center"/>
    </xf>
    <xf numFmtId="0" fontId="83" fillId="5" borderId="67" xfId="0" applyFont="1" applyFill="1" applyBorder="1" applyAlignment="1" applyProtection="1">
      <alignment horizontal="right"/>
    </xf>
    <xf numFmtId="0" fontId="83" fillId="5" borderId="17" xfId="0" applyFont="1" applyFill="1" applyBorder="1" applyAlignment="1" applyProtection="1">
      <alignment horizontal="center"/>
    </xf>
    <xf numFmtId="0" fontId="84" fillId="5" borderId="68" xfId="0" applyFont="1" applyFill="1" applyBorder="1" applyAlignment="1" applyProtection="1">
      <alignment horizontal="center"/>
    </xf>
    <xf numFmtId="0" fontId="10" fillId="5" borderId="32" xfId="0" applyFont="1" applyFill="1" applyBorder="1" applyProtection="1"/>
    <xf numFmtId="0" fontId="83" fillId="5" borderId="0" xfId="0" applyFont="1" applyFill="1" applyBorder="1" applyAlignment="1" applyProtection="1">
      <alignment horizontal="right" indent="1"/>
    </xf>
    <xf numFmtId="0" fontId="81" fillId="5" borderId="0" xfId="0" applyFont="1" applyFill="1" applyBorder="1" applyAlignment="1" applyProtection="1">
      <alignment horizontal="center"/>
    </xf>
    <xf numFmtId="0" fontId="81" fillId="5" borderId="23" xfId="0" applyFont="1" applyFill="1" applyBorder="1" applyAlignment="1" applyProtection="1">
      <alignment horizontal="center"/>
    </xf>
    <xf numFmtId="0" fontId="83" fillId="5" borderId="31" xfId="0" applyFont="1" applyFill="1" applyBorder="1" applyProtection="1"/>
    <xf numFmtId="0" fontId="83" fillId="5" borderId="17" xfId="0" applyFont="1" applyFill="1" applyBorder="1" applyAlignment="1" applyProtection="1">
      <alignment horizontal="right" indent="1"/>
    </xf>
    <xf numFmtId="0" fontId="83" fillId="5" borderId="17" xfId="0" applyFont="1" applyFill="1" applyBorder="1" applyAlignment="1" applyProtection="1">
      <alignment horizontal="right"/>
    </xf>
    <xf numFmtId="0" fontId="81" fillId="5" borderId="17" xfId="0" applyFont="1" applyFill="1" applyBorder="1" applyAlignment="1" applyProtection="1">
      <alignment horizontal="center"/>
    </xf>
    <xf numFmtId="0" fontId="81" fillId="5" borderId="32" xfId="0" applyFont="1" applyFill="1" applyBorder="1" applyAlignment="1" applyProtection="1">
      <alignment horizontal="center"/>
    </xf>
    <xf numFmtId="0" fontId="94" fillId="5" borderId="4" xfId="0" applyFont="1" applyFill="1" applyBorder="1" applyAlignment="1" applyProtection="1">
      <alignment horizontal="right"/>
    </xf>
    <xf numFmtId="0" fontId="10" fillId="5" borderId="0" xfId="0" applyFont="1" applyFill="1" applyAlignment="1" applyProtection="1">
      <alignment horizontal="center"/>
    </xf>
    <xf numFmtId="0" fontId="15" fillId="0" borderId="0" xfId="0" applyFont="1" applyFill="1" applyAlignment="1" applyProtection="1">
      <alignment horizontal="right"/>
    </xf>
    <xf numFmtId="0" fontId="40" fillId="0" borderId="0" xfId="0" applyFont="1" applyFill="1" applyProtection="1"/>
    <xf numFmtId="0" fontId="5" fillId="5" borderId="0" xfId="0" applyFont="1" applyFill="1" applyBorder="1" applyProtection="1"/>
    <xf numFmtId="167" fontId="49" fillId="5" borderId="0" xfId="0" applyNumberFormat="1" applyFont="1" applyFill="1" applyProtection="1"/>
    <xf numFmtId="0" fontId="26" fillId="5" borderId="0" xfId="0" applyFont="1" applyFill="1" applyBorder="1" applyProtection="1"/>
    <xf numFmtId="165" fontId="26" fillId="5" borderId="0" xfId="0" applyNumberFormat="1" applyFont="1" applyFill="1" applyBorder="1" applyProtection="1"/>
    <xf numFmtId="0" fontId="94" fillId="5" borderId="0" xfId="0" applyFont="1" applyFill="1" applyBorder="1" applyAlignment="1" applyProtection="1"/>
    <xf numFmtId="0" fontId="31" fillId="0" borderId="0" xfId="0" applyFont="1" applyFill="1" applyAlignment="1" applyProtection="1">
      <alignment horizontal="right"/>
    </xf>
    <xf numFmtId="9" fontId="15" fillId="0" borderId="0" xfId="7" applyFont="1" applyFill="1" applyBorder="1" applyAlignment="1" applyProtection="1">
      <alignment horizontal="center"/>
    </xf>
    <xf numFmtId="0" fontId="94" fillId="5" borderId="11" xfId="1" applyNumberFormat="1" applyFont="1" applyFill="1" applyBorder="1" applyAlignment="1" applyProtection="1">
      <alignment horizontal="left"/>
    </xf>
    <xf numFmtId="0" fontId="94" fillId="5" borderId="4" xfId="0" applyFont="1" applyFill="1" applyBorder="1" applyAlignment="1" applyProtection="1">
      <alignment horizontal="center"/>
    </xf>
    <xf numFmtId="0" fontId="31" fillId="0" borderId="0" xfId="0" applyFont="1" applyFill="1" applyAlignment="1" applyProtection="1">
      <alignment horizontal="center"/>
    </xf>
    <xf numFmtId="167" fontId="0" fillId="0" borderId="0" xfId="2" applyNumberFormat="1" applyFont="1" applyFill="1" applyBorder="1" applyAlignment="1" applyProtection="1"/>
    <xf numFmtId="0" fontId="0" fillId="5" borderId="11" xfId="0" applyFill="1" applyBorder="1" applyAlignment="1" applyProtection="1"/>
    <xf numFmtId="0" fontId="49" fillId="5" borderId="0" xfId="0" applyFont="1" applyFill="1" applyProtection="1">
      <protection locked="0"/>
    </xf>
    <xf numFmtId="0" fontId="0" fillId="5" borderId="0" xfId="0" applyFill="1" applyProtection="1">
      <protection locked="0"/>
    </xf>
    <xf numFmtId="0" fontId="94" fillId="5" borderId="11" xfId="0" applyFont="1" applyFill="1" applyBorder="1" applyAlignment="1" applyProtection="1">
      <alignment horizontal="center"/>
    </xf>
    <xf numFmtId="0" fontId="5" fillId="0" borderId="2" xfId="0" applyFont="1" applyFill="1" applyBorder="1" applyAlignment="1">
      <alignment horizontal="center"/>
    </xf>
    <xf numFmtId="0" fontId="24" fillId="6" borderId="2" xfId="0" applyFont="1" applyFill="1" applyBorder="1" applyAlignment="1" applyProtection="1">
      <alignment horizontal="center"/>
      <protection locked="0"/>
    </xf>
    <xf numFmtId="0" fontId="15" fillId="6" borderId="2" xfId="0" applyFont="1" applyFill="1" applyBorder="1" applyAlignment="1" applyProtection="1">
      <alignment horizontal="center"/>
      <protection locked="0"/>
    </xf>
    <xf numFmtId="0" fontId="88" fillId="5" borderId="0" xfId="0" applyFont="1" applyFill="1" applyAlignment="1" applyProtection="1">
      <alignment horizontal="left"/>
    </xf>
    <xf numFmtId="0" fontId="102" fillId="5" borderId="0" xfId="0" applyFont="1" applyFill="1" applyAlignment="1" applyProtection="1">
      <alignment horizontal="left"/>
    </xf>
    <xf numFmtId="0" fontId="5" fillId="5" borderId="0" xfId="0" applyFont="1" applyFill="1" applyBorder="1" applyAlignment="1">
      <alignment horizontal="center"/>
    </xf>
    <xf numFmtId="0" fontId="22" fillId="5" borderId="0" xfId="0" applyFont="1" applyFill="1"/>
    <xf numFmtId="0" fontId="0" fillId="5" borderId="0" xfId="0" applyFill="1" applyAlignment="1">
      <alignment horizontal="left"/>
    </xf>
    <xf numFmtId="0" fontId="0" fillId="5" borderId="0" xfId="0" applyFill="1" applyAlignment="1"/>
    <xf numFmtId="0" fontId="15" fillId="5" borderId="5" xfId="0" applyFont="1" applyFill="1" applyBorder="1" applyAlignment="1">
      <alignment horizontal="right"/>
    </xf>
    <xf numFmtId="0" fontId="15" fillId="5" borderId="0" xfId="0" applyFont="1" applyFill="1" applyAlignment="1"/>
    <xf numFmtId="0" fontId="15" fillId="5" borderId="0" xfId="0" applyFont="1" applyFill="1" applyAlignment="1">
      <alignment horizontal="center"/>
    </xf>
    <xf numFmtId="0" fontId="38" fillId="5" borderId="16" xfId="0" applyFont="1" applyFill="1" applyBorder="1" applyAlignment="1">
      <alignment horizontal="center"/>
    </xf>
    <xf numFmtId="0" fontId="38" fillId="5" borderId="16" xfId="0" quotePrefix="1" applyFont="1" applyFill="1" applyBorder="1" applyAlignment="1">
      <alignment horizontal="center"/>
    </xf>
    <xf numFmtId="0" fontId="38" fillId="5" borderId="58" xfId="0" quotePrefix="1" applyFont="1" applyFill="1" applyBorder="1" applyAlignment="1">
      <alignment horizontal="center"/>
    </xf>
    <xf numFmtId="0" fontId="15" fillId="5" borderId="10" xfId="0" applyFont="1" applyFill="1" applyBorder="1"/>
    <xf numFmtId="0" fontId="40" fillId="5" borderId="0" xfId="0" applyFont="1" applyFill="1" applyBorder="1" applyAlignment="1">
      <alignment horizontal="center"/>
    </xf>
    <xf numFmtId="0" fontId="40" fillId="5" borderId="59" xfId="0" applyFont="1" applyFill="1" applyBorder="1" applyAlignment="1">
      <alignment horizontal="center"/>
    </xf>
    <xf numFmtId="0" fontId="15" fillId="7" borderId="0" xfId="0" applyFont="1" applyFill="1"/>
    <xf numFmtId="0" fontId="15" fillId="5" borderId="59" xfId="0" applyFont="1" applyFill="1" applyBorder="1"/>
    <xf numFmtId="0" fontId="15" fillId="5" borderId="13" xfId="0" applyFont="1" applyFill="1" applyBorder="1"/>
    <xf numFmtId="0" fontId="15" fillId="5" borderId="1" xfId="0" applyFont="1" applyFill="1" applyBorder="1"/>
    <xf numFmtId="0" fontId="15" fillId="5" borderId="69" xfId="0" applyFont="1" applyFill="1" applyBorder="1"/>
    <xf numFmtId="0" fontId="38" fillId="5" borderId="5" xfId="0" applyFont="1" applyFill="1" applyBorder="1" applyAlignment="1">
      <alignment horizontal="center"/>
    </xf>
    <xf numFmtId="0" fontId="38" fillId="5" borderId="5" xfId="0" applyFont="1" applyFill="1" applyBorder="1" applyAlignment="1">
      <alignment horizontal="right"/>
    </xf>
    <xf numFmtId="0" fontId="38" fillId="5" borderId="5" xfId="0" quotePrefix="1" applyFont="1" applyFill="1" applyBorder="1" applyAlignment="1">
      <alignment horizontal="center"/>
    </xf>
    <xf numFmtId="0" fontId="15" fillId="5" borderId="5" xfId="0" applyFont="1" applyFill="1" applyBorder="1"/>
    <xf numFmtId="0" fontId="7" fillId="5" borderId="0" xfId="0" applyFont="1" applyFill="1" applyBorder="1" applyAlignment="1">
      <alignment horizontal="right"/>
    </xf>
    <xf numFmtId="0" fontId="29" fillId="5" borderId="18" xfId="0" applyFont="1" applyFill="1" applyBorder="1" applyAlignment="1"/>
    <xf numFmtId="0" fontId="15" fillId="5" borderId="16" xfId="0" applyFont="1" applyFill="1" applyBorder="1" applyAlignment="1"/>
    <xf numFmtId="0" fontId="29" fillId="5" borderId="18" xfId="0" applyFont="1" applyFill="1" applyBorder="1" applyAlignment="1">
      <alignment horizontal="right"/>
    </xf>
    <xf numFmtId="0" fontId="15" fillId="5" borderId="58" xfId="0" applyFont="1" applyFill="1" applyBorder="1"/>
    <xf numFmtId="0" fontId="38" fillId="5" borderId="70" xfId="0" applyFont="1" applyFill="1" applyBorder="1" applyAlignment="1">
      <alignment horizontal="center"/>
    </xf>
    <xf numFmtId="0" fontId="15" fillId="5" borderId="59" xfId="0" applyFont="1" applyFill="1" applyBorder="1" applyAlignment="1">
      <alignment horizontal="center"/>
    </xf>
    <xf numFmtId="0" fontId="15" fillId="5" borderId="1" xfId="0" applyFont="1" applyFill="1" applyBorder="1" applyAlignment="1">
      <alignment horizontal="center"/>
    </xf>
    <xf numFmtId="0" fontId="7" fillId="5" borderId="0" xfId="0" applyFont="1" applyFill="1" applyAlignment="1">
      <alignment horizontal="center"/>
    </xf>
    <xf numFmtId="0" fontId="7" fillId="5" borderId="4" xfId="0" applyFont="1" applyFill="1" applyBorder="1"/>
    <xf numFmtId="0" fontId="15" fillId="5" borderId="4" xfId="0" applyFont="1" applyFill="1" applyBorder="1" applyAlignment="1">
      <alignment horizontal="center"/>
    </xf>
    <xf numFmtId="0" fontId="38" fillId="5" borderId="0" xfId="0" applyFont="1" applyFill="1" applyBorder="1" applyAlignment="1">
      <alignment horizontal="center"/>
    </xf>
    <xf numFmtId="0" fontId="38" fillId="5" borderId="4" xfId="0" applyFont="1" applyFill="1" applyBorder="1" applyAlignment="1">
      <alignment horizontal="center"/>
    </xf>
    <xf numFmtId="0" fontId="7" fillId="5" borderId="4" xfId="0" applyFont="1" applyFill="1" applyBorder="1" applyAlignment="1">
      <alignment horizontal="center"/>
    </xf>
    <xf numFmtId="0" fontId="7" fillId="5" borderId="0" xfId="0" applyFont="1" applyFill="1" applyBorder="1" applyAlignment="1">
      <alignment horizontal="center"/>
    </xf>
    <xf numFmtId="0" fontId="15" fillId="5" borderId="0" xfId="0" applyFont="1" applyFill="1" applyBorder="1" applyAlignment="1"/>
    <xf numFmtId="0" fontId="5" fillId="5" borderId="0" xfId="0" applyFont="1" applyFill="1" applyBorder="1" applyAlignment="1"/>
    <xf numFmtId="0" fontId="52" fillId="5" borderId="0" xfId="0" applyFont="1" applyFill="1" applyBorder="1"/>
    <xf numFmtId="0" fontId="40" fillId="5" borderId="0" xfId="0" applyFont="1" applyFill="1" applyBorder="1" applyAlignment="1">
      <alignment horizontal="right"/>
    </xf>
    <xf numFmtId="0" fontId="6" fillId="5" borderId="0" xfId="3" applyFill="1" applyBorder="1" applyAlignment="1" applyProtection="1">
      <alignment horizontal="center"/>
    </xf>
    <xf numFmtId="0" fontId="0" fillId="5" borderId="5" xfId="0" applyFill="1" applyBorder="1"/>
    <xf numFmtId="0" fontId="5" fillId="5" borderId="3" xfId="0" applyFont="1" applyFill="1" applyBorder="1"/>
    <xf numFmtId="0" fontId="5" fillId="5" borderId="4" xfId="0" applyFont="1" applyFill="1" applyBorder="1"/>
    <xf numFmtId="0" fontId="5" fillId="5" borderId="39" xfId="0" applyFont="1" applyFill="1" applyBorder="1"/>
    <xf numFmtId="0" fontId="66" fillId="5" borderId="5" xfId="0" quotePrefix="1" applyFont="1" applyFill="1" applyBorder="1" applyAlignment="1">
      <alignment horizontal="center"/>
    </xf>
    <xf numFmtId="0" fontId="62" fillId="5" borderId="5" xfId="0" applyFont="1" applyFill="1" applyBorder="1" applyAlignment="1">
      <alignment horizontal="center"/>
    </xf>
    <xf numFmtId="164" fontId="5" fillId="5" borderId="0" xfId="0" applyNumberFormat="1" applyFont="1" applyFill="1" applyBorder="1"/>
    <xf numFmtId="168" fontId="5" fillId="5" borderId="0" xfId="0" applyNumberFormat="1" applyFont="1" applyFill="1" applyBorder="1" applyAlignment="1">
      <alignment horizontal="right"/>
    </xf>
    <xf numFmtId="168" fontId="5" fillId="5" borderId="0" xfId="0" applyNumberFormat="1" applyFont="1" applyFill="1" applyBorder="1"/>
    <xf numFmtId="165" fontId="5" fillId="5" borderId="0" xfId="0" applyNumberFormat="1" applyFont="1" applyFill="1" applyBorder="1"/>
    <xf numFmtId="165" fontId="5" fillId="5" borderId="4" xfId="0" applyNumberFormat="1" applyFont="1" applyFill="1" applyBorder="1"/>
    <xf numFmtId="1" fontId="5" fillId="5" borderId="3" xfId="0" applyNumberFormat="1" applyFont="1" applyFill="1" applyBorder="1"/>
    <xf numFmtId="2" fontId="5" fillId="5" borderId="0" xfId="0" applyNumberFormat="1" applyFont="1" applyFill="1" applyBorder="1" applyAlignment="1">
      <alignment horizontal="center"/>
    </xf>
    <xf numFmtId="0" fontId="94" fillId="5" borderId="38" xfId="0" applyFont="1" applyFill="1" applyBorder="1"/>
    <xf numFmtId="0" fontId="94" fillId="5" borderId="3" xfId="0" applyFont="1" applyFill="1" applyBorder="1" applyAlignment="1">
      <alignment horizontal="center"/>
    </xf>
    <xf numFmtId="0" fontId="94" fillId="5" borderId="0" xfId="0" applyFont="1" applyFill="1" applyBorder="1"/>
    <xf numFmtId="0" fontId="94" fillId="5" borderId="4" xfId="0" applyFont="1" applyFill="1" applyBorder="1"/>
    <xf numFmtId="0" fontId="94" fillId="5" borderId="3" xfId="0" applyFont="1" applyFill="1" applyBorder="1"/>
    <xf numFmtId="0" fontId="94" fillId="5" borderId="5" xfId="0" applyFont="1" applyFill="1" applyBorder="1"/>
    <xf numFmtId="0" fontId="94" fillId="5" borderId="33" xfId="0" applyFont="1" applyFill="1" applyBorder="1"/>
    <xf numFmtId="0" fontId="103" fillId="5" borderId="0" xfId="0" applyFont="1" applyFill="1" applyBorder="1"/>
    <xf numFmtId="0" fontId="103" fillId="5" borderId="4" xfId="0" applyFont="1" applyFill="1" applyBorder="1"/>
    <xf numFmtId="1" fontId="103" fillId="5" borderId="5" xfId="0" applyNumberFormat="1" applyFont="1" applyFill="1" applyBorder="1"/>
    <xf numFmtId="1" fontId="94" fillId="5" borderId="36" xfId="0" applyNumberFormat="1" applyFont="1" applyFill="1" applyBorder="1"/>
    <xf numFmtId="0" fontId="94" fillId="5" borderId="36" xfId="0" applyFont="1" applyFill="1" applyBorder="1"/>
    <xf numFmtId="0" fontId="94" fillId="5" borderId="37" xfId="0" applyFont="1" applyFill="1" applyBorder="1"/>
    <xf numFmtId="1" fontId="94" fillId="5" borderId="39" xfId="0" applyNumberFormat="1" applyFont="1" applyFill="1" applyBorder="1"/>
    <xf numFmtId="1" fontId="94" fillId="5" borderId="38" xfId="0" applyNumberFormat="1" applyFont="1" applyFill="1" applyBorder="1" applyAlignment="1">
      <alignment horizontal="right"/>
    </xf>
    <xf numFmtId="10" fontId="94" fillId="5" borderId="0" xfId="7" applyNumberFormat="1" applyFont="1" applyFill="1" applyBorder="1"/>
    <xf numFmtId="10" fontId="94" fillId="5" borderId="4" xfId="7" applyNumberFormat="1" applyFont="1" applyFill="1" applyBorder="1"/>
    <xf numFmtId="0" fontId="94" fillId="5" borderId="0" xfId="0" applyFont="1" applyFill="1" applyBorder="1" applyAlignment="1">
      <alignment horizontal="right"/>
    </xf>
    <xf numFmtId="0" fontId="94" fillId="5" borderId="5" xfId="0" applyFont="1" applyFill="1" applyBorder="1" applyAlignment="1">
      <alignment horizontal="right"/>
    </xf>
    <xf numFmtId="0" fontId="5" fillId="0" borderId="0" xfId="0" quotePrefix="1" applyFont="1" applyBorder="1" applyAlignment="1">
      <alignment horizontal="right"/>
    </xf>
    <xf numFmtId="0" fontId="5" fillId="0" borderId="0" xfId="0" quotePrefix="1" applyFont="1" applyBorder="1"/>
    <xf numFmtId="9" fontId="94" fillId="5" borderId="0" xfId="7" applyFont="1" applyFill="1" applyBorder="1"/>
    <xf numFmtId="0" fontId="12" fillId="0" borderId="2" xfId="0" applyFont="1" applyFill="1" applyBorder="1" applyAlignment="1" applyProtection="1">
      <alignment horizontal="right"/>
    </xf>
    <xf numFmtId="2" fontId="5" fillId="4" borderId="0" xfId="0" applyNumberFormat="1" applyFont="1" applyFill="1" applyBorder="1" applyProtection="1"/>
    <xf numFmtId="0" fontId="15" fillId="0" borderId="0" xfId="0" applyFont="1" applyProtection="1"/>
    <xf numFmtId="0" fontId="0" fillId="3" borderId="2" xfId="0" applyFill="1" applyBorder="1" applyAlignment="1" applyProtection="1">
      <alignment horizontal="center"/>
      <protection locked="0"/>
    </xf>
    <xf numFmtId="165" fontId="0" fillId="3" borderId="2" xfId="0" applyNumberFormat="1" applyFill="1" applyBorder="1" applyAlignment="1" applyProtection="1">
      <alignment horizontal="center"/>
      <protection locked="0"/>
    </xf>
    <xf numFmtId="1" fontId="7" fillId="0" borderId="0" xfId="0" applyNumberFormat="1" applyFont="1" applyFill="1" applyAlignment="1">
      <alignment horizontal="right"/>
    </xf>
    <xf numFmtId="0" fontId="7" fillId="0" borderId="0" xfId="0" applyFont="1" applyFill="1" applyAlignment="1">
      <alignment horizontal="right"/>
    </xf>
    <xf numFmtId="0" fontId="0" fillId="0" borderId="0" xfId="0" applyFill="1" applyBorder="1" applyProtection="1"/>
    <xf numFmtId="171" fontId="5" fillId="3" borderId="0" xfId="0" applyNumberFormat="1" applyFont="1" applyFill="1" applyProtection="1"/>
    <xf numFmtId="0" fontId="104" fillId="2" borderId="2" xfId="0" applyFont="1" applyFill="1" applyBorder="1" applyAlignment="1" applyProtection="1">
      <alignment horizontal="right"/>
      <protection locked="0"/>
    </xf>
    <xf numFmtId="2" fontId="11" fillId="2" borderId="2" xfId="0" applyNumberFormat="1" applyFont="1" applyFill="1" applyBorder="1" applyAlignment="1" applyProtection="1">
      <alignment horizontal="center"/>
      <protection locked="0"/>
    </xf>
    <xf numFmtId="0" fontId="101" fillId="5" borderId="0" xfId="0" applyFont="1" applyFill="1" applyProtection="1">
      <protection locked="0"/>
    </xf>
    <xf numFmtId="0" fontId="21" fillId="0" borderId="0" xfId="0" applyFont="1" applyFill="1" applyAlignment="1" applyProtection="1">
      <alignment horizontal="left"/>
    </xf>
    <xf numFmtId="0" fontId="5" fillId="5" borderId="0" xfId="0" applyFont="1" applyFill="1" applyBorder="1" applyAlignment="1">
      <alignment horizontal="left"/>
    </xf>
    <xf numFmtId="0" fontId="5" fillId="5" borderId="0" xfId="0" applyFont="1" applyFill="1" applyBorder="1" applyProtection="1">
      <protection locked="0"/>
    </xf>
    <xf numFmtId="2" fontId="7" fillId="0" borderId="0" xfId="0" applyNumberFormat="1" applyFont="1" applyFill="1"/>
    <xf numFmtId="0" fontId="31" fillId="0" borderId="11" xfId="0" applyFont="1" applyBorder="1" applyAlignment="1">
      <alignment horizontal="center"/>
    </xf>
    <xf numFmtId="0" fontId="24" fillId="0" borderId="0" xfId="0" applyFont="1" applyFill="1" applyAlignment="1" applyProtection="1">
      <alignment horizontal="right"/>
    </xf>
    <xf numFmtId="0" fontId="40" fillId="4" borderId="0" xfId="0" applyFont="1" applyFill="1" applyAlignment="1" applyProtection="1">
      <alignment horizontal="right"/>
    </xf>
    <xf numFmtId="0" fontId="5" fillId="0" borderId="0" xfId="0" applyFont="1" applyBorder="1" applyAlignment="1">
      <alignment horizontal="left" vertical="top"/>
    </xf>
    <xf numFmtId="0" fontId="15" fillId="0" borderId="3" xfId="0" applyFont="1" applyFill="1" applyBorder="1" applyAlignment="1">
      <alignment horizontal="center"/>
    </xf>
    <xf numFmtId="0" fontId="15" fillId="0" borderId="4" xfId="0" applyFont="1" applyFill="1" applyBorder="1" applyAlignment="1">
      <alignment horizontal="center"/>
    </xf>
    <xf numFmtId="0" fontId="67" fillId="0" borderId="0" xfId="0" applyFont="1" applyFill="1"/>
    <xf numFmtId="0" fontId="32" fillId="0" borderId="0" xfId="0" applyFont="1" applyFill="1"/>
    <xf numFmtId="0" fontId="18" fillId="0" borderId="0" xfId="0" applyFont="1" applyFill="1"/>
    <xf numFmtId="0" fontId="15" fillId="0" borderId="0" xfId="0" applyFont="1" applyFill="1" applyAlignment="1">
      <alignment horizontal="left"/>
    </xf>
    <xf numFmtId="2" fontId="0" fillId="0" borderId="0" xfId="0" applyNumberFormat="1" applyFill="1"/>
    <xf numFmtId="0" fontId="31" fillId="0" borderId="0" xfId="0" applyFont="1" applyFill="1" applyAlignment="1">
      <alignment horizontal="right"/>
    </xf>
    <xf numFmtId="0" fontId="0" fillId="0" borderId="0" xfId="0" applyFill="1" applyAlignment="1">
      <alignment horizontal="center"/>
    </xf>
    <xf numFmtId="0" fontId="13" fillId="0" borderId="0" xfId="0" applyFont="1" applyFill="1"/>
    <xf numFmtId="0" fontId="23" fillId="0" borderId="0" xfId="0" applyFont="1" applyFill="1"/>
    <xf numFmtId="0" fontId="15" fillId="0" borderId="0" xfId="0" applyFont="1" applyFill="1" applyBorder="1" applyAlignment="1" applyProtection="1"/>
    <xf numFmtId="0" fontId="7" fillId="0" borderId="0" xfId="0" applyFont="1" applyFill="1" applyBorder="1" applyAlignment="1" applyProtection="1"/>
    <xf numFmtId="0" fontId="67" fillId="0" borderId="0" xfId="0" applyFont="1" applyFill="1" applyBorder="1"/>
    <xf numFmtId="0" fontId="74" fillId="0" borderId="0" xfId="0" applyFont="1" applyFill="1" applyBorder="1"/>
    <xf numFmtId="165" fontId="7" fillId="0" borderId="0" xfId="0" applyNumberFormat="1" applyFont="1" applyFill="1" applyBorder="1"/>
    <xf numFmtId="0" fontId="7" fillId="0" borderId="5" xfId="0" applyFont="1" applyFill="1" applyBorder="1" applyAlignment="1">
      <alignment horizontal="right"/>
    </xf>
    <xf numFmtId="165" fontId="7" fillId="0" borderId="5" xfId="0" applyNumberFormat="1" applyFont="1" applyFill="1" applyBorder="1"/>
    <xf numFmtId="0" fontId="7" fillId="0" borderId="5" xfId="0" applyFont="1" applyFill="1" applyBorder="1"/>
    <xf numFmtId="0" fontId="31" fillId="0" borderId="0" xfId="0" applyFont="1" applyFill="1" applyBorder="1" applyAlignment="1">
      <alignment horizontal="right"/>
    </xf>
    <xf numFmtId="0" fontId="0" fillId="0" borderId="5" xfId="0" applyFill="1" applyBorder="1" applyAlignment="1">
      <alignment horizontal="center" wrapText="1"/>
    </xf>
    <xf numFmtId="0" fontId="7" fillId="0" borderId="5" xfId="0" applyFont="1" applyFill="1" applyBorder="1" applyAlignment="1">
      <alignment horizontal="center" wrapText="1"/>
    </xf>
    <xf numFmtId="0" fontId="31" fillId="0" borderId="5" xfId="0" applyFont="1" applyFill="1" applyBorder="1" applyAlignment="1">
      <alignment horizontal="center" wrapText="1"/>
    </xf>
    <xf numFmtId="0" fontId="0" fillId="0" borderId="5" xfId="0" applyFill="1" applyBorder="1"/>
    <xf numFmtId="0" fontId="0" fillId="0" borderId="71" xfId="0" applyFill="1" applyBorder="1" applyAlignment="1">
      <alignment horizontal="center"/>
    </xf>
    <xf numFmtId="171" fontId="0" fillId="0" borderId="0" xfId="0" applyNumberFormat="1" applyFill="1"/>
    <xf numFmtId="172" fontId="0" fillId="0" borderId="0" xfId="0" applyNumberFormat="1" applyFill="1"/>
    <xf numFmtId="164" fontId="7" fillId="0" borderId="0" xfId="0" applyNumberFormat="1" applyFont="1" applyFill="1"/>
    <xf numFmtId="174" fontId="18" fillId="0" borderId="0" xfId="0" applyNumberFormat="1" applyFont="1" applyFill="1"/>
    <xf numFmtId="0" fontId="5" fillId="0" borderId="0" xfId="0" applyFont="1" applyFill="1" applyAlignment="1"/>
    <xf numFmtId="0" fontId="5" fillId="0" borderId="0" xfId="0" applyFont="1" applyFill="1" applyAlignment="1">
      <alignment horizontal="right"/>
    </xf>
    <xf numFmtId="164" fontId="5" fillId="0" borderId="0" xfId="0" applyNumberFormat="1" applyFont="1" applyFill="1" applyAlignment="1">
      <alignment horizontal="right"/>
    </xf>
    <xf numFmtId="0" fontId="18" fillId="0" borderId="0" xfId="0" applyFont="1" applyFill="1" applyAlignment="1"/>
    <xf numFmtId="164" fontId="5" fillId="0" borderId="0" xfId="0" applyNumberFormat="1" applyFont="1" applyFill="1" applyAlignment="1"/>
    <xf numFmtId="0" fontId="15" fillId="0" borderId="0" xfId="0" applyFont="1" applyFill="1" applyAlignment="1">
      <alignment horizontal="right"/>
    </xf>
    <xf numFmtId="165" fontId="5" fillId="0" borderId="0" xfId="0" applyNumberFormat="1" applyFont="1" applyFill="1" applyAlignment="1"/>
    <xf numFmtId="0" fontId="7" fillId="0" borderId="0" xfId="0" applyFont="1" applyFill="1" applyAlignment="1"/>
    <xf numFmtId="164" fontId="0" fillId="0" borderId="0" xfId="0" applyNumberFormat="1" applyFill="1"/>
    <xf numFmtId="0" fontId="67" fillId="0" borderId="0" xfId="0" applyFont="1" applyFill="1" applyBorder="1" applyAlignment="1" applyProtection="1"/>
    <xf numFmtId="0" fontId="18" fillId="0" borderId="0" xfId="0" applyFont="1" applyFill="1" applyAlignment="1" applyProtection="1">
      <alignment horizontal="left"/>
    </xf>
    <xf numFmtId="0" fontId="0" fillId="0" borderId="0" xfId="0" applyFill="1" applyAlignment="1" applyProtection="1">
      <alignment horizontal="right"/>
    </xf>
    <xf numFmtId="0" fontId="18" fillId="0" borderId="0" xfId="0" applyFont="1" applyFill="1" applyAlignment="1" applyProtection="1">
      <alignment horizontal="right"/>
    </xf>
    <xf numFmtId="0" fontId="74" fillId="0" borderId="0" xfId="0" applyFont="1" applyFill="1" applyBorder="1" applyProtection="1"/>
    <xf numFmtId="0" fontId="74" fillId="0" borderId="0" xfId="0" applyFont="1" applyFill="1" applyBorder="1" applyAlignment="1" applyProtection="1">
      <alignment horizontal="right"/>
    </xf>
    <xf numFmtId="0" fontId="34" fillId="0" borderId="0" xfId="0" applyFont="1" applyFill="1" applyAlignment="1" applyProtection="1">
      <alignment horizontal="right"/>
    </xf>
    <xf numFmtId="0" fontId="16" fillId="0" borderId="0" xfId="0" applyFont="1" applyFill="1" applyProtection="1"/>
    <xf numFmtId="0" fontId="49" fillId="0" borderId="0" xfId="0" applyFont="1" applyFill="1" applyAlignment="1" applyProtection="1">
      <alignment horizontal="center"/>
    </xf>
    <xf numFmtId="0" fontId="91" fillId="0" borderId="0" xfId="0" applyFont="1" applyFill="1" applyProtection="1"/>
    <xf numFmtId="0" fontId="34" fillId="0" borderId="0" xfId="0" applyFont="1" applyFill="1" applyProtection="1"/>
    <xf numFmtId="0" fontId="15" fillId="0" borderId="0" xfId="0" applyFont="1" applyFill="1" applyAlignment="1" applyProtection="1">
      <alignment horizontal="left"/>
    </xf>
    <xf numFmtId="0" fontId="0" fillId="0" borderId="0" xfId="0" applyFill="1" applyAlignment="1" applyProtection="1">
      <alignment vertical="center"/>
    </xf>
    <xf numFmtId="0" fontId="7" fillId="0" borderId="0" xfId="0" applyFont="1" applyFill="1" applyAlignment="1" applyProtection="1">
      <alignment horizontal="right"/>
    </xf>
    <xf numFmtId="0" fontId="0" fillId="0" borderId="0" xfId="0" applyFill="1" applyProtection="1">
      <protection locked="0"/>
    </xf>
    <xf numFmtId="0" fontId="0" fillId="0" borderId="0" xfId="0" applyFill="1" applyAlignment="1" applyProtection="1">
      <alignment horizontal="center"/>
    </xf>
    <xf numFmtId="0" fontId="72" fillId="0" borderId="2" xfId="0" applyFont="1" applyFill="1" applyBorder="1" applyAlignment="1" applyProtection="1">
      <alignment horizontal="center"/>
    </xf>
    <xf numFmtId="0" fontId="0" fillId="0" borderId="72" xfId="0" applyFill="1" applyBorder="1" applyProtection="1"/>
    <xf numFmtId="0" fontId="33" fillId="0" borderId="0" xfId="0" applyFont="1" applyFill="1" applyAlignment="1" applyProtection="1">
      <alignment horizontal="left"/>
    </xf>
    <xf numFmtId="0" fontId="0" fillId="0" borderId="0" xfId="0" applyFill="1" applyAlignment="1"/>
    <xf numFmtId="0" fontId="0" fillId="0" borderId="0" xfId="0" applyFill="1" applyBorder="1" applyAlignment="1">
      <alignment horizontal="center"/>
    </xf>
    <xf numFmtId="0" fontId="0" fillId="0" borderId="0" xfId="0" applyFill="1" applyBorder="1" applyAlignment="1">
      <alignment horizontal="right"/>
    </xf>
    <xf numFmtId="0" fontId="24" fillId="0" borderId="0" xfId="0" applyFont="1" applyFill="1" applyAlignment="1">
      <alignment horizontal="center"/>
    </xf>
    <xf numFmtId="0" fontId="26" fillId="0" borderId="0" xfId="0" applyFont="1" applyFill="1"/>
    <xf numFmtId="0" fontId="0" fillId="0" borderId="33" xfId="0" applyFill="1" applyBorder="1"/>
    <xf numFmtId="0" fontId="26" fillId="0" borderId="34" xfId="0" applyFont="1" applyFill="1" applyBorder="1"/>
    <xf numFmtId="0" fontId="26" fillId="0" borderId="39" xfId="0" applyFont="1" applyFill="1" applyBorder="1"/>
    <xf numFmtId="0" fontId="26" fillId="0" borderId="5" xfId="0" applyFont="1" applyFill="1" applyBorder="1"/>
    <xf numFmtId="0" fontId="24" fillId="0" borderId="0" xfId="0" applyFont="1" applyFill="1"/>
    <xf numFmtId="0" fontId="30" fillId="0" borderId="0" xfId="0" applyFont="1" applyFill="1" applyBorder="1" applyAlignment="1">
      <alignment horizontal="right"/>
    </xf>
    <xf numFmtId="0" fontId="26" fillId="0" borderId="0" xfId="0" applyFont="1" applyFill="1" applyBorder="1"/>
    <xf numFmtId="0" fontId="24" fillId="0" borderId="0" xfId="0" applyFont="1" applyFill="1" applyBorder="1"/>
    <xf numFmtId="0" fontId="24" fillId="0" borderId="0" xfId="0" applyFont="1" applyFill="1" applyBorder="1" applyAlignment="1"/>
    <xf numFmtId="0" fontId="24" fillId="0" borderId="4" xfId="0" applyFont="1" applyFill="1" applyBorder="1" applyAlignment="1"/>
    <xf numFmtId="0" fontId="30" fillId="0" borderId="0" xfId="0" applyFont="1" applyFill="1" applyBorder="1" applyAlignment="1">
      <alignment horizontal="center"/>
    </xf>
    <xf numFmtId="0" fontId="24" fillId="0" borderId="39" xfId="0" applyFont="1" applyFill="1" applyBorder="1" applyAlignment="1">
      <alignment horizontal="center" wrapText="1"/>
    </xf>
    <xf numFmtId="0" fontId="24" fillId="0" borderId="5" xfId="0" applyFont="1" applyFill="1" applyBorder="1" applyAlignment="1">
      <alignment horizontal="center" wrapText="1"/>
    </xf>
    <xf numFmtId="0" fontId="24" fillId="0" borderId="33" xfId="0" applyFont="1" applyFill="1" applyBorder="1" applyAlignment="1">
      <alignment horizontal="center" wrapText="1"/>
    </xf>
    <xf numFmtId="0" fontId="24" fillId="0" borderId="11" xfId="0" applyFont="1" applyFill="1" applyBorder="1" applyAlignment="1">
      <alignment horizontal="center" wrapText="1"/>
    </xf>
    <xf numFmtId="0" fontId="24" fillId="0" borderId="34" xfId="0" applyFont="1" applyFill="1" applyBorder="1" applyAlignment="1">
      <alignment horizontal="center" wrapText="1"/>
    </xf>
    <xf numFmtId="0" fontId="0" fillId="0" borderId="34" xfId="0" applyFill="1" applyBorder="1"/>
    <xf numFmtId="0" fontId="22" fillId="0" borderId="0" xfId="0" applyFont="1" applyFill="1"/>
    <xf numFmtId="0" fontId="22" fillId="0" borderId="0" xfId="0" applyFont="1" applyFill="1" applyAlignment="1">
      <alignment horizontal="center"/>
    </xf>
    <xf numFmtId="0" fontId="0" fillId="0" borderId="4" xfId="0" applyFill="1" applyBorder="1"/>
    <xf numFmtId="0" fontId="0" fillId="0" borderId="3" xfId="0" applyFill="1" applyBorder="1"/>
    <xf numFmtId="0" fontId="0" fillId="0" borderId="39" xfId="0" applyFill="1" applyBorder="1"/>
    <xf numFmtId="49" fontId="15" fillId="0" borderId="0" xfId="0" applyNumberFormat="1" applyFont="1" applyFill="1" applyAlignment="1">
      <alignment horizontal="center"/>
    </xf>
    <xf numFmtId="0" fontId="72" fillId="0" borderId="0" xfId="0" applyFont="1" applyFill="1" applyBorder="1" applyAlignment="1">
      <alignment horizontal="left"/>
    </xf>
    <xf numFmtId="0" fontId="14" fillId="0" borderId="0" xfId="0" applyFont="1" applyFill="1" applyBorder="1" applyAlignment="1">
      <alignment horizontal="left"/>
    </xf>
    <xf numFmtId="2" fontId="34" fillId="0" borderId="0" xfId="0" applyNumberFormat="1" applyFont="1"/>
    <xf numFmtId="2" fontId="34" fillId="0" borderId="0" xfId="0" quotePrefix="1" applyNumberFormat="1" applyFont="1"/>
    <xf numFmtId="0" fontId="18" fillId="0" borderId="0" xfId="0" applyFont="1" applyAlignment="1">
      <alignment horizontal="left"/>
    </xf>
    <xf numFmtId="193" fontId="34" fillId="0" borderId="0" xfId="0" applyNumberFormat="1" applyFont="1"/>
    <xf numFmtId="0" fontId="34" fillId="0" borderId="0" xfId="0" applyFont="1" applyFill="1" applyBorder="1"/>
    <xf numFmtId="164" fontId="34" fillId="0" borderId="0" xfId="0" applyNumberFormat="1" applyFont="1"/>
    <xf numFmtId="0" fontId="12" fillId="0" borderId="0" xfId="0" applyFont="1" applyFill="1" applyBorder="1" applyProtection="1"/>
    <xf numFmtId="0" fontId="75" fillId="0" borderId="0" xfId="0" applyFont="1" applyFill="1" applyBorder="1" applyProtection="1"/>
    <xf numFmtId="0" fontId="34" fillId="0" borderId="0" xfId="0" applyFont="1" applyFill="1" applyBorder="1" applyAlignment="1" applyProtection="1">
      <alignment horizontal="right"/>
    </xf>
    <xf numFmtId="2" fontId="34" fillId="0" borderId="0" xfId="0" applyNumberFormat="1" applyFont="1" applyFill="1" applyBorder="1" applyProtection="1"/>
    <xf numFmtId="0" fontId="49" fillId="0" borderId="0" xfId="0" applyFont="1" applyFill="1" applyBorder="1" applyAlignment="1" applyProtection="1">
      <alignment horizontal="right"/>
    </xf>
    <xf numFmtId="2" fontId="49" fillId="0" borderId="0" xfId="0" applyNumberFormat="1" applyFont="1" applyFill="1" applyBorder="1" applyProtection="1"/>
    <xf numFmtId="9" fontId="7" fillId="0" borderId="0" xfId="7" applyFont="1" applyFill="1" applyProtection="1"/>
    <xf numFmtId="9" fontId="7" fillId="0" borderId="0" xfId="7" applyFont="1" applyFill="1" applyBorder="1" applyProtection="1"/>
    <xf numFmtId="0" fontId="49" fillId="0" borderId="0" xfId="0" applyFont="1" applyFill="1" applyAlignment="1" applyProtection="1">
      <alignment horizontal="right"/>
    </xf>
    <xf numFmtId="0" fontId="5" fillId="0" borderId="0" xfId="0" applyFont="1" applyFill="1" applyProtection="1"/>
    <xf numFmtId="0" fontId="24" fillId="0" borderId="5" xfId="0" applyFont="1" applyFill="1" applyBorder="1" applyAlignment="1" applyProtection="1">
      <alignment horizontal="center"/>
    </xf>
    <xf numFmtId="192" fontId="0" fillId="0" borderId="0" xfId="0" applyNumberFormat="1" applyFill="1" applyBorder="1" applyProtection="1"/>
    <xf numFmtId="0" fontId="15" fillId="0" borderId="0" xfId="0" applyFont="1" applyFill="1" applyBorder="1" applyAlignment="1" applyProtection="1">
      <alignment horizontal="center"/>
    </xf>
    <xf numFmtId="0" fontId="0" fillId="0" borderId="5" xfId="0" applyFill="1" applyBorder="1" applyAlignment="1">
      <alignment horizontal="right"/>
    </xf>
    <xf numFmtId="164" fontId="0" fillId="0" borderId="5" xfId="0" applyNumberFormat="1" applyFill="1" applyBorder="1"/>
    <xf numFmtId="164" fontId="0" fillId="0" borderId="0" xfId="0" applyNumberFormat="1" applyFill="1" applyBorder="1"/>
    <xf numFmtId="1" fontId="0" fillId="0" borderId="0" xfId="0" applyNumberFormat="1" applyFill="1"/>
    <xf numFmtId="0" fontId="106" fillId="5" borderId="0" xfId="0" applyFont="1" applyFill="1"/>
    <xf numFmtId="0" fontId="107" fillId="5" borderId="0" xfId="0" applyFont="1" applyFill="1" applyBorder="1" applyProtection="1"/>
    <xf numFmtId="0" fontId="107" fillId="5" borderId="5" xfId="0" applyFont="1" applyFill="1" applyBorder="1" applyProtection="1"/>
    <xf numFmtId="0" fontId="49" fillId="5" borderId="10" xfId="0" applyFont="1" applyFill="1" applyBorder="1" applyAlignment="1" applyProtection="1">
      <alignment horizontal="right"/>
    </xf>
    <xf numFmtId="0" fontId="49" fillId="5" borderId="73" xfId="0" applyFont="1" applyFill="1" applyBorder="1" applyAlignment="1" applyProtection="1">
      <alignment horizontal="right"/>
    </xf>
    <xf numFmtId="173" fontId="0" fillId="5" borderId="0" xfId="0" applyNumberFormat="1" applyFill="1" applyProtection="1"/>
    <xf numFmtId="2" fontId="7" fillId="0" borderId="0" xfId="0" applyNumberFormat="1" applyFont="1" applyFill="1" applyBorder="1"/>
    <xf numFmtId="2" fontId="5" fillId="0" borderId="0" xfId="0" applyNumberFormat="1" applyFont="1" applyFill="1"/>
    <xf numFmtId="1" fontId="15" fillId="0" borderId="0" xfId="0" applyNumberFormat="1" applyFont="1" applyFill="1" applyBorder="1" applyAlignment="1">
      <alignment horizontal="center"/>
    </xf>
    <xf numFmtId="0" fontId="15" fillId="0" borderId="0" xfId="0" applyFont="1" applyFill="1" applyBorder="1"/>
    <xf numFmtId="0" fontId="15" fillId="0" borderId="0" xfId="0" applyFont="1" applyFill="1" applyBorder="1" applyAlignment="1">
      <alignment wrapText="1"/>
    </xf>
    <xf numFmtId="1" fontId="15" fillId="0" borderId="0" xfId="0" applyNumberFormat="1" applyFont="1" applyFill="1" applyBorder="1" applyAlignment="1">
      <alignment horizontal="center" wrapText="1"/>
    </xf>
    <xf numFmtId="0" fontId="15" fillId="0" borderId="5" xfId="0" applyFont="1" applyFill="1" applyBorder="1" applyAlignment="1">
      <alignment wrapText="1"/>
    </xf>
    <xf numFmtId="0" fontId="34" fillId="0" borderId="0" xfId="0" applyFont="1" applyFill="1"/>
    <xf numFmtId="178" fontId="34" fillId="0" borderId="0" xfId="0" applyNumberFormat="1" applyFont="1" applyFill="1" applyBorder="1" applyAlignment="1">
      <alignment horizontal="right"/>
    </xf>
    <xf numFmtId="179" fontId="34" fillId="0" borderId="0" xfId="0" applyNumberFormat="1" applyFont="1" applyFill="1" applyBorder="1" applyAlignment="1">
      <alignment horizontal="center"/>
    </xf>
    <xf numFmtId="179" fontId="34" fillId="0" borderId="36" xfId="0" applyNumberFormat="1" applyFont="1" applyFill="1" applyBorder="1" applyAlignment="1"/>
    <xf numFmtId="179" fontId="34" fillId="0" borderId="0" xfId="0" applyNumberFormat="1" applyFont="1" applyFill="1" applyBorder="1" applyAlignment="1"/>
    <xf numFmtId="178" fontId="34" fillId="0" borderId="5" xfId="0" applyNumberFormat="1" applyFont="1" applyFill="1" applyBorder="1" applyAlignment="1">
      <alignment horizontal="right"/>
    </xf>
    <xf numFmtId="179" fontId="34" fillId="0" borderId="5" xfId="0" applyNumberFormat="1" applyFont="1" applyFill="1" applyBorder="1" applyAlignment="1">
      <alignment horizontal="center"/>
    </xf>
    <xf numFmtId="179" fontId="34" fillId="0" borderId="5" xfId="0" applyNumberFormat="1" applyFont="1" applyFill="1" applyBorder="1" applyAlignment="1"/>
    <xf numFmtId="179" fontId="34" fillId="0" borderId="0" xfId="0" applyNumberFormat="1" applyFont="1" applyFill="1" applyBorder="1" applyAlignment="1">
      <alignment horizontal="right"/>
    </xf>
    <xf numFmtId="180" fontId="34" fillId="0" borderId="36" xfId="0" applyNumberFormat="1" applyFont="1" applyFill="1" applyBorder="1" applyAlignment="1">
      <alignment horizontal="center"/>
    </xf>
    <xf numFmtId="191" fontId="34" fillId="0" borderId="36" xfId="0" applyNumberFormat="1" applyFont="1" applyFill="1" applyBorder="1" applyAlignment="1">
      <alignment horizontal="center"/>
    </xf>
    <xf numFmtId="2" fontId="7" fillId="0" borderId="0" xfId="0" applyNumberFormat="1" applyFont="1" applyFill="1" applyBorder="1" applyAlignment="1"/>
    <xf numFmtId="183" fontId="0" fillId="0" borderId="0" xfId="0" applyNumberFormat="1" applyFill="1" applyBorder="1" applyAlignment="1"/>
    <xf numFmtId="185" fontId="34" fillId="0" borderId="0" xfId="0" applyNumberFormat="1" applyFont="1" applyFill="1" applyBorder="1" applyAlignment="1">
      <alignment horizontal="right"/>
    </xf>
    <xf numFmtId="185" fontId="34" fillId="0" borderId="5" xfId="0" applyNumberFormat="1" applyFont="1" applyFill="1" applyBorder="1" applyAlignment="1">
      <alignment horizontal="right"/>
    </xf>
    <xf numFmtId="2" fontId="94" fillId="5" borderId="4" xfId="0" applyNumberFormat="1" applyFont="1" applyFill="1" applyBorder="1" applyAlignment="1" applyProtection="1"/>
    <xf numFmtId="165" fontId="49" fillId="5" borderId="5" xfId="0" applyNumberFormat="1" applyFont="1" applyFill="1" applyBorder="1" applyProtection="1"/>
    <xf numFmtId="2" fontId="94" fillId="5" borderId="11" xfId="0" applyNumberFormat="1" applyFont="1" applyFill="1" applyBorder="1" applyAlignment="1" applyProtection="1"/>
    <xf numFmtId="2" fontId="94" fillId="5" borderId="11" xfId="1" applyNumberFormat="1" applyFont="1" applyFill="1" applyBorder="1" applyAlignment="1" applyProtection="1">
      <alignment horizontal="right"/>
    </xf>
    <xf numFmtId="0" fontId="28" fillId="0" borderId="0" xfId="0" applyFont="1" applyAlignment="1">
      <alignment horizontal="right"/>
    </xf>
    <xf numFmtId="185" fontId="34" fillId="0" borderId="36" xfId="0" applyNumberFormat="1" applyFont="1" applyFill="1" applyBorder="1" applyAlignment="1">
      <alignment horizontal="right"/>
    </xf>
    <xf numFmtId="179" fontId="34" fillId="0" borderId="36" xfId="0" applyNumberFormat="1" applyFont="1" applyFill="1" applyBorder="1" applyAlignment="1">
      <alignment horizontal="center"/>
    </xf>
    <xf numFmtId="179" fontId="34" fillId="0" borderId="36" xfId="0" applyNumberFormat="1" applyFont="1" applyFill="1" applyBorder="1" applyAlignment="1">
      <alignment horizontal="right"/>
    </xf>
    <xf numFmtId="178" fontId="34" fillId="0" borderId="36" xfId="0" applyNumberFormat="1" applyFont="1" applyFill="1" applyBorder="1" applyAlignment="1">
      <alignment horizontal="right"/>
    </xf>
    <xf numFmtId="2" fontId="34" fillId="0" borderId="0" xfId="0" applyNumberFormat="1" applyFont="1" applyFill="1" applyProtection="1"/>
    <xf numFmtId="0" fontId="21" fillId="0" borderId="0" xfId="0" applyFont="1" applyFill="1" applyProtection="1"/>
    <xf numFmtId="195" fontId="0" fillId="0" borderId="2" xfId="0" applyNumberFormat="1" applyFill="1" applyBorder="1" applyAlignment="1" applyProtection="1">
      <alignment horizontal="center"/>
    </xf>
    <xf numFmtId="195" fontId="0" fillId="0" borderId="2" xfId="2" applyNumberFormat="1" applyFont="1" applyFill="1" applyBorder="1" applyAlignment="1" applyProtection="1">
      <alignment horizontal="center"/>
    </xf>
    <xf numFmtId="0" fontId="31" fillId="0" borderId="2" xfId="0" applyFont="1" applyFill="1" applyBorder="1" applyAlignment="1" applyProtection="1">
      <alignment horizontal="center"/>
    </xf>
    <xf numFmtId="0" fontId="31" fillId="0" borderId="35" xfId="0" applyFont="1" applyFill="1" applyBorder="1" applyAlignment="1" applyProtection="1">
      <alignment horizontal="center"/>
    </xf>
    <xf numFmtId="0" fontId="31" fillId="0" borderId="74" xfId="0" applyFont="1" applyFill="1" applyBorder="1" applyAlignment="1" applyProtection="1">
      <alignment horizontal="center"/>
    </xf>
    <xf numFmtId="0" fontId="31" fillId="0" borderId="34" xfId="0" applyFont="1" applyFill="1" applyBorder="1" applyAlignment="1" applyProtection="1">
      <alignment horizontal="center"/>
    </xf>
    <xf numFmtId="0" fontId="40" fillId="0" borderId="0" xfId="0" applyFont="1" applyFill="1" applyBorder="1" applyProtection="1"/>
    <xf numFmtId="165" fontId="20" fillId="2" borderId="2" xfId="0" applyNumberFormat="1" applyFont="1" applyFill="1" applyBorder="1" applyAlignment="1" applyProtection="1">
      <alignment horizontal="center"/>
      <protection locked="0"/>
    </xf>
    <xf numFmtId="195" fontId="66" fillId="0" borderId="6" xfId="0" applyNumberFormat="1" applyFont="1" applyFill="1" applyBorder="1" applyAlignment="1" applyProtection="1">
      <alignment horizontal="center"/>
    </xf>
    <xf numFmtId="195" fontId="0" fillId="0" borderId="6" xfId="0" applyNumberFormat="1" applyFill="1" applyBorder="1" applyAlignment="1" applyProtection="1">
      <alignment horizontal="center"/>
    </xf>
    <xf numFmtId="195" fontId="5" fillId="0" borderId="2" xfId="2" applyNumberFormat="1" applyFont="1" applyFill="1" applyBorder="1" applyAlignment="1" applyProtection="1">
      <alignment horizontal="center"/>
    </xf>
    <xf numFmtId="195" fontId="20" fillId="2" borderId="2" xfId="0" applyNumberFormat="1" applyFont="1" applyFill="1" applyBorder="1" applyAlignment="1" applyProtection="1">
      <alignment horizontal="center"/>
      <protection locked="0"/>
    </xf>
    <xf numFmtId="165" fontId="0" fillId="0" borderId="0" xfId="0" applyNumberFormat="1" applyFill="1" applyBorder="1" applyAlignment="1" applyProtection="1"/>
    <xf numFmtId="195" fontId="0" fillId="0" borderId="2" xfId="0" applyNumberFormat="1" applyFill="1" applyBorder="1" applyProtection="1"/>
    <xf numFmtId="0" fontId="108" fillId="0" borderId="0" xfId="0" applyFont="1" applyFill="1" applyProtection="1"/>
    <xf numFmtId="165" fontId="12" fillId="0" borderId="2" xfId="0" applyNumberFormat="1" applyFont="1" applyFill="1" applyBorder="1" applyProtection="1"/>
    <xf numFmtId="197" fontId="0" fillId="0" borderId="0" xfId="0" applyNumberFormat="1" applyAlignment="1">
      <alignment horizontal="right"/>
    </xf>
    <xf numFmtId="0" fontId="109" fillId="0" borderId="2" xfId="0" applyFont="1" applyFill="1" applyBorder="1" applyAlignment="1" applyProtection="1">
      <alignment horizontal="center"/>
      <protection locked="0"/>
    </xf>
    <xf numFmtId="198" fontId="0" fillId="0" borderId="0" xfId="0" applyNumberFormat="1" applyFill="1"/>
    <xf numFmtId="198" fontId="0" fillId="0" borderId="0" xfId="0" applyNumberFormat="1" applyAlignment="1">
      <alignment horizontal="center"/>
    </xf>
    <xf numFmtId="0" fontId="20" fillId="2" borderId="2" xfId="0" applyFont="1" applyFill="1" applyBorder="1" applyProtection="1">
      <protection locked="0"/>
    </xf>
    <xf numFmtId="181" fontId="15" fillId="5" borderId="11" xfId="0" applyNumberFormat="1" applyFont="1" applyFill="1" applyBorder="1" applyAlignment="1">
      <alignment horizontal="center"/>
    </xf>
    <xf numFmtId="181" fontId="7" fillId="0" borderId="0" xfId="0" applyNumberFormat="1" applyFont="1" applyFill="1" applyBorder="1" applyAlignment="1">
      <alignment horizontal="center"/>
    </xf>
    <xf numFmtId="181" fontId="7" fillId="0" borderId="0" xfId="0" applyNumberFormat="1" applyFont="1" applyFill="1" applyBorder="1" applyAlignment="1">
      <alignment horizontal="right"/>
    </xf>
    <xf numFmtId="181" fontId="15" fillId="0" borderId="0" xfId="0" applyNumberFormat="1" applyFont="1" applyFill="1" applyBorder="1" applyAlignment="1">
      <alignment horizontal="center"/>
    </xf>
    <xf numFmtId="181" fontId="7" fillId="0" borderId="0" xfId="0" applyNumberFormat="1" applyFont="1" applyFill="1"/>
    <xf numFmtId="181" fontId="15" fillId="0" borderId="11" xfId="0" applyNumberFormat="1" applyFont="1" applyFill="1" applyBorder="1" applyAlignment="1">
      <alignment horizontal="center"/>
    </xf>
    <xf numFmtId="181" fontId="15" fillId="0" borderId="34" xfId="0" applyNumberFormat="1" applyFont="1" applyFill="1" applyBorder="1" applyAlignment="1">
      <alignment horizontal="center"/>
    </xf>
    <xf numFmtId="181" fontId="38" fillId="0" borderId="34" xfId="0" applyNumberFormat="1" applyFont="1" applyFill="1" applyBorder="1" applyAlignment="1">
      <alignment horizontal="center"/>
    </xf>
    <xf numFmtId="181" fontId="38" fillId="0" borderId="33" xfId="0" applyNumberFormat="1" applyFont="1" applyFill="1" applyBorder="1" applyAlignment="1">
      <alignment horizontal="center"/>
    </xf>
    <xf numFmtId="0" fontId="0" fillId="0" borderId="36" xfId="0" applyBorder="1"/>
    <xf numFmtId="179" fontId="0" fillId="0" borderId="74" xfId="0" applyNumberFormat="1" applyBorder="1" applyAlignment="1">
      <alignment horizontal="center"/>
    </xf>
    <xf numFmtId="179" fontId="0" fillId="0" borderId="11" xfId="0" applyNumberFormat="1" applyBorder="1" applyAlignment="1">
      <alignment horizontal="center"/>
    </xf>
    <xf numFmtId="199" fontId="0" fillId="0" borderId="3" xfId="0" applyNumberFormat="1" applyBorder="1" applyAlignment="1">
      <alignment horizontal="center"/>
    </xf>
    <xf numFmtId="199" fontId="0" fillId="0" borderId="0" xfId="0" applyNumberFormat="1" applyBorder="1" applyAlignment="1">
      <alignment horizontal="center"/>
    </xf>
    <xf numFmtId="0" fontId="47" fillId="0" borderId="36" xfId="0" applyFont="1" applyBorder="1" applyAlignment="1">
      <alignment horizontal="right"/>
    </xf>
    <xf numFmtId="0" fontId="47" fillId="0" borderId="0" xfId="0" applyFont="1" applyBorder="1" applyAlignment="1">
      <alignment horizontal="right"/>
    </xf>
    <xf numFmtId="0" fontId="0" fillId="0" borderId="4" xfId="0" applyBorder="1" applyAlignment="1">
      <alignment horizontal="right"/>
    </xf>
    <xf numFmtId="179" fontId="0" fillId="0" borderId="0" xfId="0" applyNumberFormat="1" applyBorder="1" applyAlignment="1">
      <alignment horizontal="center"/>
    </xf>
    <xf numFmtId="0" fontId="32" fillId="0" borderId="0" xfId="0" applyFont="1" applyBorder="1"/>
    <xf numFmtId="199" fontId="0" fillId="0" borderId="0" xfId="0" applyNumberFormat="1" applyBorder="1" applyAlignment="1">
      <alignment horizontal="right"/>
    </xf>
    <xf numFmtId="199" fontId="0" fillId="0" borderId="11" xfId="0" applyNumberFormat="1" applyBorder="1" applyAlignment="1">
      <alignment horizontal="right"/>
    </xf>
    <xf numFmtId="0" fontId="47" fillId="0" borderId="0" xfId="0" applyFont="1" applyBorder="1" applyAlignment="1">
      <alignment horizontal="left"/>
    </xf>
    <xf numFmtId="2" fontId="0" fillId="0" borderId="0" xfId="0" applyNumberFormat="1" applyBorder="1" applyAlignment="1">
      <alignment horizontal="right"/>
    </xf>
    <xf numFmtId="199" fontId="0" fillId="0" borderId="75" xfId="0" applyNumberFormat="1" applyBorder="1" applyAlignment="1">
      <alignment horizontal="center"/>
    </xf>
    <xf numFmtId="0" fontId="0" fillId="0" borderId="76" xfId="0" applyBorder="1" applyAlignment="1">
      <alignment horizontal="center" wrapText="1"/>
    </xf>
    <xf numFmtId="199" fontId="7" fillId="0" borderId="0" xfId="0" applyNumberFormat="1" applyFont="1" applyBorder="1" applyAlignment="1">
      <alignment horizontal="center"/>
    </xf>
    <xf numFmtId="0" fontId="15" fillId="0" borderId="0" xfId="0" applyFont="1" applyAlignment="1">
      <alignment horizontal="left"/>
    </xf>
    <xf numFmtId="0" fontId="52" fillId="0" borderId="0" xfId="0" applyFont="1" applyBorder="1" applyAlignment="1">
      <alignment horizontal="left"/>
    </xf>
    <xf numFmtId="200" fontId="34" fillId="0" borderId="75" xfId="0" applyNumberFormat="1" applyFont="1" applyBorder="1" applyAlignment="1">
      <alignment horizontal="center"/>
    </xf>
    <xf numFmtId="200" fontId="34" fillId="0" borderId="77" xfId="0" applyNumberFormat="1" applyFont="1" applyBorder="1" applyAlignment="1">
      <alignment horizontal="center"/>
    </xf>
    <xf numFmtId="200" fontId="34" fillId="0" borderId="36" xfId="0" applyNumberFormat="1" applyFont="1" applyBorder="1" applyAlignment="1">
      <alignment horizontal="center"/>
    </xf>
    <xf numFmtId="0" fontId="15" fillId="0" borderId="5" xfId="0" applyFont="1" applyFill="1" applyBorder="1"/>
    <xf numFmtId="0" fontId="0" fillId="0" borderId="4" xfId="0" applyFill="1" applyBorder="1" applyAlignment="1">
      <alignment horizontal="right"/>
    </xf>
    <xf numFmtId="199" fontId="0" fillId="0" borderId="0" xfId="0" applyNumberFormat="1" applyFill="1" applyBorder="1" applyAlignment="1">
      <alignment horizontal="center"/>
    </xf>
    <xf numFmtId="0" fontId="47" fillId="0" borderId="36" xfId="0" applyFont="1" applyFill="1" applyBorder="1" applyAlignment="1">
      <alignment horizontal="right"/>
    </xf>
    <xf numFmtId="0" fontId="32" fillId="0" borderId="0" xfId="0" applyFont="1" applyBorder="1" applyAlignment="1">
      <alignment horizontal="left"/>
    </xf>
    <xf numFmtId="0" fontId="92" fillId="0" borderId="0" xfId="0" applyFont="1" applyAlignment="1">
      <alignment vertical="top"/>
    </xf>
    <xf numFmtId="0" fontId="15" fillId="0" borderId="4" xfId="0" applyFont="1" applyBorder="1" applyAlignment="1">
      <alignment horizontal="right"/>
    </xf>
    <xf numFmtId="200" fontId="7" fillId="0" borderId="0" xfId="0" applyNumberFormat="1" applyFont="1" applyBorder="1" applyAlignment="1">
      <alignment horizontal="center"/>
    </xf>
    <xf numFmtId="200" fontId="34" fillId="0" borderId="0" xfId="0" applyNumberFormat="1" applyFont="1" applyBorder="1" applyAlignment="1">
      <alignment horizontal="right"/>
    </xf>
    <xf numFmtId="200" fontId="34" fillId="0" borderId="0" xfId="0" applyNumberFormat="1" applyFont="1" applyBorder="1" applyAlignment="1">
      <alignment horizontal="center"/>
    </xf>
    <xf numFmtId="0" fontId="10" fillId="0" borderId="0" xfId="0" applyFont="1" applyBorder="1" applyAlignment="1">
      <alignment horizontal="left"/>
    </xf>
    <xf numFmtId="199" fontId="7" fillId="0" borderId="5" xfId="0" applyNumberFormat="1" applyFont="1" applyBorder="1" applyAlignment="1">
      <alignment horizontal="center"/>
    </xf>
    <xf numFmtId="0" fontId="10" fillId="0" borderId="0" xfId="0" applyFont="1"/>
    <xf numFmtId="0" fontId="49" fillId="0" borderId="0" xfId="0" applyFont="1"/>
    <xf numFmtId="179" fontId="49" fillId="0" borderId="0" xfId="0" applyNumberFormat="1" applyFont="1" applyBorder="1" applyAlignment="1">
      <alignment horizontal="right"/>
    </xf>
    <xf numFmtId="0" fontId="15" fillId="0" borderId="37" xfId="0" applyFont="1" applyBorder="1" applyAlignment="1">
      <alignment horizontal="right"/>
    </xf>
    <xf numFmtId="199" fontId="0" fillId="0" borderId="36" xfId="0" applyNumberFormat="1" applyBorder="1" applyAlignment="1">
      <alignment horizontal="center"/>
    </xf>
    <xf numFmtId="0" fontId="15" fillId="0" borderId="33" xfId="0" applyFont="1" applyBorder="1" applyAlignment="1">
      <alignment horizontal="right"/>
    </xf>
    <xf numFmtId="0" fontId="22" fillId="0" borderId="0" xfId="0" applyFont="1" applyAlignment="1">
      <alignment horizontal="right"/>
    </xf>
    <xf numFmtId="0" fontId="110" fillId="0" borderId="2" xfId="0" applyFont="1" applyFill="1" applyBorder="1" applyAlignment="1" applyProtection="1">
      <alignment horizontal="center"/>
    </xf>
    <xf numFmtId="0" fontId="111" fillId="0" borderId="2" xfId="0" applyFont="1" applyFill="1" applyBorder="1" applyAlignment="1" applyProtection="1">
      <alignment horizontal="center"/>
    </xf>
    <xf numFmtId="171" fontId="0" fillId="0" borderId="0" xfId="0" applyNumberFormat="1"/>
    <xf numFmtId="0" fontId="22" fillId="0" borderId="0" xfId="0" applyFont="1" applyFill="1" applyAlignment="1">
      <alignment horizontal="right"/>
    </xf>
    <xf numFmtId="0" fontId="0" fillId="0" borderId="0" xfId="0" applyAlignment="1">
      <alignment horizontal="right" wrapText="1"/>
    </xf>
    <xf numFmtId="0" fontId="113" fillId="0" borderId="0" xfId="0" applyFont="1" applyBorder="1" applyAlignment="1">
      <alignment wrapText="1"/>
    </xf>
    <xf numFmtId="0" fontId="25" fillId="5" borderId="0" xfId="0" applyFont="1" applyFill="1"/>
    <xf numFmtId="0" fontId="0" fillId="0" borderId="2" xfId="0" applyFill="1" applyBorder="1" applyAlignment="1">
      <alignment horizontal="center"/>
    </xf>
    <xf numFmtId="0" fontId="0" fillId="0" borderId="2" xfId="0" applyBorder="1" applyAlignment="1">
      <alignment horizontal="center" wrapText="1"/>
    </xf>
    <xf numFmtId="9" fontId="114" fillId="5" borderId="0" xfId="7" applyNumberFormat="1" applyFont="1" applyFill="1" applyBorder="1" applyAlignment="1" applyProtection="1">
      <alignment horizontal="center"/>
    </xf>
    <xf numFmtId="199" fontId="0" fillId="0" borderId="0" xfId="0" applyNumberFormat="1" applyFill="1" applyBorder="1" applyAlignment="1">
      <alignment horizontal="right"/>
    </xf>
    <xf numFmtId="199" fontId="15" fillId="0" borderId="0" xfId="0" applyNumberFormat="1" applyFont="1" applyBorder="1" applyAlignment="1">
      <alignment horizontal="right"/>
    </xf>
    <xf numFmtId="200" fontId="12" fillId="0" borderId="0" xfId="0" applyNumberFormat="1" applyFont="1" applyBorder="1" applyAlignment="1">
      <alignment horizontal="right"/>
    </xf>
    <xf numFmtId="199" fontId="15" fillId="0" borderId="0" xfId="0" applyNumberFormat="1" applyFont="1" applyBorder="1" applyAlignment="1">
      <alignment horizontal="center"/>
    </xf>
    <xf numFmtId="199" fontId="13" fillId="0" borderId="0" xfId="0" applyNumberFormat="1" applyFont="1" applyBorder="1" applyAlignment="1">
      <alignment horizontal="center"/>
    </xf>
    <xf numFmtId="200" fontId="13" fillId="0" borderId="0" xfId="0" applyNumberFormat="1" applyFont="1" applyBorder="1" applyAlignment="1">
      <alignment horizontal="center"/>
    </xf>
    <xf numFmtId="0" fontId="7" fillId="0" borderId="0" xfId="0" applyFont="1" applyAlignment="1">
      <alignment wrapText="1"/>
    </xf>
    <xf numFmtId="199" fontId="7" fillId="0" borderId="0" xfId="0" applyNumberFormat="1" applyFont="1"/>
    <xf numFmtId="0" fontId="0" fillId="0" borderId="35" xfId="0" applyBorder="1" applyAlignment="1">
      <alignment horizontal="center"/>
    </xf>
    <xf numFmtId="0" fontId="0" fillId="0" borderId="40" xfId="0" applyBorder="1" applyAlignment="1">
      <alignment horizontal="center"/>
    </xf>
    <xf numFmtId="179" fontId="0" fillId="0" borderId="2" xfId="0" applyNumberFormat="1" applyBorder="1" applyAlignment="1">
      <alignment horizontal="center"/>
    </xf>
    <xf numFmtId="0" fontId="0" fillId="0" borderId="6" xfId="0" applyBorder="1" applyAlignment="1">
      <alignment horizontal="center" wrapText="1"/>
    </xf>
    <xf numFmtId="0" fontId="0" fillId="0" borderId="68" xfId="0" applyBorder="1" applyAlignment="1">
      <alignment horizontal="right"/>
    </xf>
    <xf numFmtId="199" fontId="0" fillId="0" borderId="78" xfId="0" applyNumberFormat="1" applyBorder="1" applyAlignment="1">
      <alignment horizontal="center"/>
    </xf>
    <xf numFmtId="0" fontId="15" fillId="0" borderId="79" xfId="0" applyFont="1" applyBorder="1" applyAlignment="1">
      <alignment horizontal="right"/>
    </xf>
    <xf numFmtId="199" fontId="0" fillId="0" borderId="34" xfId="0" applyNumberFormat="1" applyBorder="1" applyAlignment="1">
      <alignment horizontal="right"/>
    </xf>
    <xf numFmtId="199" fontId="0" fillId="0" borderId="11" xfId="0" applyNumberFormat="1" applyBorder="1" applyAlignment="1">
      <alignment horizontal="center"/>
    </xf>
    <xf numFmtId="199" fontId="0" fillId="0" borderId="80" xfId="0" applyNumberFormat="1" applyBorder="1" applyAlignment="1">
      <alignment horizontal="center"/>
    </xf>
    <xf numFmtId="0" fontId="0" fillId="0" borderId="38" xfId="0" applyBorder="1"/>
    <xf numFmtId="0" fontId="0" fillId="0" borderId="81" xfId="0" applyBorder="1"/>
    <xf numFmtId="0" fontId="0" fillId="0" borderId="82" xfId="0" applyBorder="1"/>
    <xf numFmtId="0" fontId="0" fillId="0" borderId="39" xfId="0" applyBorder="1"/>
    <xf numFmtId="0" fontId="0" fillId="0" borderId="33" xfId="0" applyBorder="1" applyAlignment="1">
      <alignment horizontal="right"/>
    </xf>
    <xf numFmtId="0" fontId="0" fillId="0" borderId="6" xfId="0" applyFill="1" applyBorder="1"/>
    <xf numFmtId="0" fontId="0" fillId="0" borderId="40" xfId="0" applyFill="1" applyBorder="1"/>
    <xf numFmtId="0" fontId="0" fillId="0" borderId="35" xfId="0" applyFill="1" applyBorder="1"/>
    <xf numFmtId="0" fontId="0" fillId="0" borderId="36" xfId="0" applyBorder="1" applyAlignment="1">
      <alignment horizontal="right"/>
    </xf>
    <xf numFmtId="0" fontId="0" fillId="0" borderId="2" xfId="0" applyFill="1" applyBorder="1" applyAlignment="1">
      <alignment horizontal="center" wrapText="1"/>
    </xf>
    <xf numFmtId="200" fontId="34" fillId="0" borderId="74" xfId="0" applyNumberFormat="1" applyFont="1" applyBorder="1" applyAlignment="1">
      <alignment horizontal="center"/>
    </xf>
    <xf numFmtId="200" fontId="34" fillId="0" borderId="11" xfId="0" applyNumberFormat="1" applyFont="1" applyBorder="1" applyAlignment="1">
      <alignment horizontal="center"/>
    </xf>
    <xf numFmtId="200" fontId="34" fillId="0" borderId="34" xfId="0" applyNumberFormat="1" applyFont="1" applyBorder="1" applyAlignment="1">
      <alignment horizontal="center"/>
    </xf>
    <xf numFmtId="0" fontId="0" fillId="0" borderId="74" xfId="0" applyBorder="1" applyAlignment="1">
      <alignment horizontal="right"/>
    </xf>
    <xf numFmtId="0" fontId="0" fillId="0" borderId="11" xfId="0" applyBorder="1" applyAlignment="1">
      <alignment horizontal="right"/>
    </xf>
    <xf numFmtId="199" fontId="0" fillId="0" borderId="36" xfId="0" applyNumberFormat="1" applyFill="1" applyBorder="1" applyAlignment="1">
      <alignment horizontal="center"/>
    </xf>
    <xf numFmtId="0" fontId="0" fillId="0" borderId="36" xfId="0" applyFill="1" applyBorder="1" applyAlignment="1">
      <alignment horizontal="right"/>
    </xf>
    <xf numFmtId="0" fontId="0" fillId="0" borderId="6" xfId="0" applyBorder="1"/>
    <xf numFmtId="179" fontId="0" fillId="0" borderId="34" xfId="0" applyNumberFormat="1" applyBorder="1" applyAlignment="1">
      <alignment horizontal="center"/>
    </xf>
    <xf numFmtId="199" fontId="0" fillId="0" borderId="74" xfId="0" applyNumberFormat="1" applyFill="1" applyBorder="1" applyAlignment="1">
      <alignment horizontal="center"/>
    </xf>
    <xf numFmtId="199" fontId="0" fillId="0" borderId="11" xfId="0" applyNumberFormat="1" applyFill="1" applyBorder="1" applyAlignment="1">
      <alignment horizontal="center"/>
    </xf>
    <xf numFmtId="199" fontId="0" fillId="0" borderId="34" xfId="0" applyNumberFormat="1" applyFill="1" applyBorder="1" applyAlignment="1">
      <alignment horizontal="center"/>
    </xf>
    <xf numFmtId="0" fontId="0" fillId="0" borderId="83" xfId="0" applyBorder="1" applyAlignment="1">
      <alignment horizontal="center" wrapText="1"/>
    </xf>
    <xf numFmtId="0" fontId="0" fillId="0" borderId="84" xfId="0" applyBorder="1" applyAlignment="1">
      <alignment horizontal="center" wrapText="1"/>
    </xf>
    <xf numFmtId="2" fontId="0" fillId="0" borderId="0" xfId="0" applyNumberFormat="1" applyBorder="1" applyAlignment="1">
      <alignment horizontal="left"/>
    </xf>
    <xf numFmtId="0" fontId="15" fillId="0" borderId="11" xfId="0" applyFont="1" applyBorder="1" applyAlignment="1">
      <alignment horizontal="center"/>
    </xf>
    <xf numFmtId="0" fontId="15" fillId="0" borderId="74" xfId="0" applyFont="1" applyBorder="1" applyAlignment="1">
      <alignment horizontal="center"/>
    </xf>
    <xf numFmtId="199" fontId="13" fillId="0" borderId="74" xfId="0" applyNumberFormat="1" applyFont="1" applyBorder="1" applyAlignment="1">
      <alignment horizontal="center"/>
    </xf>
    <xf numFmtId="200" fontId="13" fillId="0" borderId="74" xfId="0" applyNumberFormat="1" applyFont="1" applyBorder="1" applyAlignment="1">
      <alignment horizontal="center"/>
    </xf>
    <xf numFmtId="199" fontId="13" fillId="0" borderId="11" xfId="0" applyNumberFormat="1" applyFont="1" applyBorder="1" applyAlignment="1">
      <alignment horizontal="center"/>
    </xf>
    <xf numFmtId="200" fontId="13" fillId="0" borderId="11" xfId="0" applyNumberFormat="1" applyFont="1" applyBorder="1" applyAlignment="1">
      <alignment horizontal="center"/>
    </xf>
    <xf numFmtId="199" fontId="13" fillId="0" borderId="34" xfId="0" applyNumberFormat="1" applyFont="1" applyBorder="1" applyAlignment="1">
      <alignment horizontal="center"/>
    </xf>
    <xf numFmtId="200" fontId="13" fillId="0" borderId="34" xfId="0" applyNumberFormat="1" applyFont="1" applyBorder="1" applyAlignment="1">
      <alignment horizontal="center"/>
    </xf>
    <xf numFmtId="199" fontId="7" fillId="0" borderId="40" xfId="0" applyNumberFormat="1" applyFont="1" applyBorder="1" applyAlignment="1">
      <alignment horizontal="center"/>
    </xf>
    <xf numFmtId="0" fontId="15" fillId="0" borderId="35" xfId="0" applyFont="1" applyBorder="1" applyAlignment="1">
      <alignment horizontal="right"/>
    </xf>
    <xf numFmtId="0" fontId="7" fillId="0" borderId="4" xfId="0" applyFont="1" applyBorder="1" applyAlignment="1">
      <alignment horizontal="right"/>
    </xf>
    <xf numFmtId="0" fontId="15" fillId="0" borderId="39" xfId="0" applyFont="1" applyBorder="1" applyAlignment="1">
      <alignment horizontal="left"/>
    </xf>
    <xf numFmtId="0" fontId="7" fillId="0" borderId="33" xfId="0" applyFont="1" applyBorder="1" applyAlignment="1">
      <alignment horizontal="right"/>
    </xf>
    <xf numFmtId="199" fontId="0" fillId="0" borderId="0" xfId="0" applyNumberFormat="1" applyAlignment="1">
      <alignment horizontal="center"/>
    </xf>
    <xf numFmtId="199" fontId="0" fillId="0" borderId="39" xfId="0" applyNumberFormat="1" applyBorder="1" applyAlignment="1">
      <alignment horizontal="center"/>
    </xf>
    <xf numFmtId="0" fontId="0" fillId="0" borderId="3" xfId="0" applyBorder="1" applyAlignment="1">
      <alignment horizontal="right"/>
    </xf>
    <xf numFmtId="0" fontId="0" fillId="0" borderId="39" xfId="0" applyBorder="1" applyAlignment="1">
      <alignment horizontal="right"/>
    </xf>
    <xf numFmtId="179" fontId="0" fillId="0" borderId="3" xfId="0" applyNumberFormat="1" applyBorder="1" applyAlignment="1">
      <alignment horizontal="right"/>
    </xf>
    <xf numFmtId="179" fontId="0" fillId="0" borderId="39" xfId="0" applyNumberFormat="1" applyBorder="1" applyAlignment="1">
      <alignment horizontal="right"/>
    </xf>
    <xf numFmtId="179" fontId="0" fillId="0" borderId="36" xfId="0" applyNumberFormat="1" applyBorder="1" applyAlignment="1">
      <alignment horizontal="center"/>
    </xf>
    <xf numFmtId="0" fontId="0" fillId="0" borderId="36" xfId="0" applyFill="1" applyBorder="1"/>
    <xf numFmtId="0" fontId="54" fillId="0" borderId="0" xfId="0" applyFont="1" applyFill="1" applyAlignment="1" applyProtection="1">
      <alignment horizontal="left"/>
    </xf>
    <xf numFmtId="2" fontId="0" fillId="0" borderId="5" xfId="0" applyNumberFormat="1" applyFill="1" applyBorder="1"/>
    <xf numFmtId="0" fontId="31" fillId="0" borderId="0" xfId="0" applyFont="1" applyAlignment="1">
      <alignment horizontal="right"/>
    </xf>
    <xf numFmtId="0" fontId="108" fillId="0" borderId="0" xfId="0" applyFont="1" applyFill="1" applyAlignment="1" applyProtection="1"/>
    <xf numFmtId="0" fontId="15" fillId="0" borderId="0" xfId="0" applyFont="1" applyFill="1" applyBorder="1" applyAlignment="1">
      <alignment horizontal="left"/>
    </xf>
    <xf numFmtId="165" fontId="0" fillId="0" borderId="11" xfId="0" applyNumberFormat="1" applyBorder="1" applyAlignment="1">
      <alignment horizontal="center"/>
    </xf>
    <xf numFmtId="201" fontId="0" fillId="0" borderId="0" xfId="0" applyNumberFormat="1" applyFill="1"/>
    <xf numFmtId="0" fontId="29" fillId="0" borderId="0" xfId="0" applyFont="1" applyFill="1" applyAlignment="1" applyProtection="1">
      <alignment horizontal="right"/>
    </xf>
    <xf numFmtId="0" fontId="28" fillId="0" borderId="0" xfId="0" applyFont="1" applyFill="1" applyBorder="1" applyAlignment="1">
      <alignment horizontal="right"/>
    </xf>
    <xf numFmtId="0" fontId="115" fillId="0" borderId="0" xfId="0" applyFont="1" applyFill="1" applyProtection="1"/>
    <xf numFmtId="202" fontId="0" fillId="0" borderId="0" xfId="0" applyNumberFormat="1" applyBorder="1" applyAlignment="1">
      <alignment horizontal="right"/>
    </xf>
    <xf numFmtId="0" fontId="15" fillId="0" borderId="38" xfId="0" applyFont="1" applyBorder="1"/>
    <xf numFmtId="202" fontId="0" fillId="0" borderId="36" xfId="0" applyNumberFormat="1" applyBorder="1" applyAlignment="1">
      <alignment horizontal="right"/>
    </xf>
    <xf numFmtId="202" fontId="0" fillId="0" borderId="5" xfId="0" applyNumberFormat="1" applyBorder="1" applyAlignment="1">
      <alignment horizontal="right"/>
    </xf>
    <xf numFmtId="0" fontId="22" fillId="0" borderId="0" xfId="0" applyFont="1" applyBorder="1" applyAlignment="1">
      <alignment horizontal="right"/>
    </xf>
    <xf numFmtId="0" fontId="31" fillId="0" borderId="74" xfId="0" applyFont="1" applyBorder="1" applyAlignment="1">
      <alignment horizontal="center"/>
    </xf>
    <xf numFmtId="0" fontId="31" fillId="0" borderId="34" xfId="0" applyFont="1" applyBorder="1" applyAlignment="1">
      <alignment horizontal="center" wrapText="1"/>
    </xf>
    <xf numFmtId="0" fontId="31" fillId="0" borderId="34" xfId="0" applyFont="1" applyBorder="1" applyAlignment="1">
      <alignment horizontal="center"/>
    </xf>
    <xf numFmtId="199" fontId="0" fillId="0" borderId="4" xfId="0" applyNumberFormat="1" applyBorder="1" applyAlignment="1">
      <alignment horizontal="center"/>
    </xf>
    <xf numFmtId="182" fontId="12" fillId="0" borderId="0" xfId="0" applyNumberFormat="1" applyFont="1" applyBorder="1" applyAlignment="1">
      <alignment horizontal="center"/>
    </xf>
    <xf numFmtId="2" fontId="0" fillId="0" borderId="0" xfId="0" applyNumberFormat="1" applyFill="1" applyAlignment="1">
      <alignment horizontal="center"/>
    </xf>
    <xf numFmtId="0" fontId="0" fillId="0" borderId="0" xfId="0" applyAlignment="1">
      <alignment wrapText="1"/>
    </xf>
    <xf numFmtId="199" fontId="7" fillId="0" borderId="3" xfId="0" applyNumberFormat="1" applyFont="1" applyFill="1" applyBorder="1" applyAlignment="1">
      <alignment horizontal="right"/>
    </xf>
    <xf numFmtId="199" fontId="15"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5" borderId="4" xfId="0" applyFill="1" applyBorder="1"/>
    <xf numFmtId="0" fontId="0" fillId="0" borderId="37" xfId="0" applyBorder="1"/>
    <xf numFmtId="199" fontId="0" fillId="0" borderId="37" xfId="0" applyNumberFormat="1" applyBorder="1" applyAlignment="1">
      <alignment horizontal="center"/>
    </xf>
    <xf numFmtId="0" fontId="0" fillId="5" borderId="4" xfId="0" applyFill="1" applyBorder="1" applyAlignment="1">
      <alignment horizontal="center"/>
    </xf>
    <xf numFmtId="2" fontId="0" fillId="5" borderId="0" xfId="0" applyNumberFormat="1" applyFill="1" applyAlignment="1">
      <alignment horizontal="center"/>
    </xf>
    <xf numFmtId="2" fontId="0" fillId="5" borderId="3" xfId="0" applyNumberFormat="1" applyFill="1" applyBorder="1" applyAlignment="1">
      <alignment horizontal="center"/>
    </xf>
    <xf numFmtId="0" fontId="0" fillId="5" borderId="5" xfId="0" applyFill="1" applyBorder="1" applyAlignment="1">
      <alignment horizontal="center"/>
    </xf>
    <xf numFmtId="0" fontId="7" fillId="0" borderId="3" xfId="0" applyFont="1" applyFill="1" applyBorder="1" applyAlignment="1">
      <alignment horizontal="right"/>
    </xf>
    <xf numFmtId="199" fontId="7" fillId="0" borderId="0" xfId="0" applyNumberFormat="1" applyFont="1" applyFill="1" applyBorder="1" applyAlignment="1">
      <alignment horizontal="right"/>
    </xf>
    <xf numFmtId="203" fontId="0" fillId="0" borderId="0" xfId="0" applyNumberFormat="1" applyFill="1" applyBorder="1"/>
    <xf numFmtId="0" fontId="0" fillId="0" borderId="0" xfId="0" applyBorder="1" applyAlignment="1">
      <alignment wrapText="1"/>
    </xf>
    <xf numFmtId="199" fontId="13" fillId="8" borderId="0" xfId="0" applyNumberFormat="1" applyFont="1" applyFill="1" applyBorder="1" applyAlignment="1">
      <alignment horizontal="center"/>
    </xf>
    <xf numFmtId="0" fontId="0" fillId="0" borderId="0" xfId="0" applyFill="1" applyBorder="1" applyAlignment="1">
      <alignment horizontal="center" wrapText="1"/>
    </xf>
    <xf numFmtId="199" fontId="7" fillId="0" borderId="0" xfId="0" applyNumberFormat="1" applyFont="1" applyFill="1" applyBorder="1" applyAlignment="1">
      <alignment horizontal="center"/>
    </xf>
    <xf numFmtId="0" fontId="115" fillId="0" borderId="0" xfId="0" applyFont="1" applyFill="1"/>
    <xf numFmtId="181" fontId="7" fillId="0" borderId="74" xfId="0" applyNumberFormat="1" applyFont="1" applyFill="1" applyBorder="1" applyAlignment="1">
      <alignment horizontal="center"/>
    </xf>
    <xf numFmtId="181" fontId="7" fillId="0" borderId="11" xfId="0" applyNumberFormat="1" applyFont="1" applyFill="1" applyBorder="1" applyAlignment="1">
      <alignment horizontal="center"/>
    </xf>
    <xf numFmtId="1" fontId="5" fillId="5" borderId="18" xfId="0" applyNumberFormat="1" applyFont="1" applyFill="1" applyBorder="1" applyAlignment="1">
      <alignment horizontal="center"/>
    </xf>
    <xf numFmtId="1" fontId="5" fillId="5" borderId="10" xfId="0" applyNumberFormat="1" applyFont="1" applyFill="1" applyBorder="1" applyAlignment="1">
      <alignment horizontal="center"/>
    </xf>
    <xf numFmtId="1" fontId="5" fillId="5" borderId="13" xfId="0" applyNumberFormat="1" applyFont="1" applyFill="1" applyBorder="1" applyAlignment="1">
      <alignment horizontal="center"/>
    </xf>
    <xf numFmtId="1" fontId="94" fillId="5" borderId="3" xfId="0" applyNumberFormat="1" applyFont="1" applyFill="1" applyBorder="1"/>
    <xf numFmtId="0" fontId="28" fillId="0" borderId="0" xfId="0" applyFont="1" applyFill="1" applyAlignment="1" applyProtection="1">
      <alignment horizontal="right"/>
    </xf>
    <xf numFmtId="190" fontId="11" fillId="0" borderId="0" xfId="0" applyNumberFormat="1" applyFont="1" applyFill="1" applyBorder="1" applyProtection="1">
      <protection locked="0"/>
    </xf>
    <xf numFmtId="190" fontId="12" fillId="0" borderId="0" xfId="0" applyNumberFormat="1" applyFont="1" applyFill="1" applyBorder="1" applyProtection="1">
      <protection locked="0"/>
    </xf>
    <xf numFmtId="0" fontId="49" fillId="5" borderId="0" xfId="0" applyFont="1" applyFill="1" applyBorder="1" applyAlignment="1" applyProtection="1">
      <alignment horizontal="center"/>
    </xf>
    <xf numFmtId="0" fontId="0" fillId="5" borderId="10" xfId="0" applyFill="1" applyBorder="1" applyProtection="1"/>
    <xf numFmtId="0" fontId="14" fillId="5" borderId="18" xfId="0" applyFont="1" applyFill="1" applyBorder="1" applyProtection="1"/>
    <xf numFmtId="0" fontId="49" fillId="5" borderId="59" xfId="0" applyFont="1" applyFill="1" applyBorder="1" applyProtection="1"/>
    <xf numFmtId="0" fontId="107" fillId="5" borderId="59" xfId="0" applyFont="1" applyFill="1" applyBorder="1" applyProtection="1"/>
    <xf numFmtId="0" fontId="107" fillId="5" borderId="70" xfId="0" applyFont="1" applyFill="1" applyBorder="1" applyProtection="1"/>
    <xf numFmtId="0" fontId="40" fillId="5" borderId="18" xfId="0" applyFont="1" applyFill="1" applyBorder="1" applyProtection="1"/>
    <xf numFmtId="0" fontId="40" fillId="5" borderId="16" xfId="0" applyFont="1" applyFill="1" applyBorder="1" applyProtection="1"/>
    <xf numFmtId="0" fontId="40" fillId="5" borderId="58" xfId="0" applyFont="1" applyFill="1" applyBorder="1" applyProtection="1"/>
    <xf numFmtId="0" fontId="40" fillId="5" borderId="10" xfId="0" applyFont="1" applyFill="1" applyBorder="1" applyProtection="1"/>
    <xf numFmtId="0" fontId="40" fillId="5" borderId="0" xfId="0" applyFont="1" applyFill="1" applyBorder="1" applyProtection="1"/>
    <xf numFmtId="0" fontId="40" fillId="5" borderId="59" xfId="0" applyFont="1" applyFill="1" applyBorder="1" applyProtection="1"/>
    <xf numFmtId="167" fontId="40" fillId="5" borderId="10" xfId="0" applyNumberFormat="1" applyFont="1" applyFill="1" applyBorder="1" applyProtection="1"/>
    <xf numFmtId="0" fontId="40" fillId="5" borderId="0" xfId="0" applyFont="1" applyFill="1" applyProtection="1"/>
    <xf numFmtId="0" fontId="108" fillId="5" borderId="0" xfId="0" applyFont="1" applyFill="1" applyAlignment="1" applyProtection="1"/>
    <xf numFmtId="0" fontId="65" fillId="0" borderId="0" xfId="0" applyFont="1" applyFill="1" applyBorder="1"/>
    <xf numFmtId="1" fontId="21" fillId="0" borderId="0" xfId="0" applyNumberFormat="1" applyFont="1" applyFill="1" applyBorder="1"/>
    <xf numFmtId="0" fontId="13" fillId="0" borderId="0" xfId="0" applyFont="1" applyFill="1" applyBorder="1" applyAlignment="1">
      <alignment horizontal="left"/>
    </xf>
    <xf numFmtId="0" fontId="13" fillId="0" borderId="0" xfId="0" applyFont="1" applyFill="1" applyBorder="1"/>
    <xf numFmtId="0" fontId="21" fillId="0" borderId="0" xfId="0" applyFont="1" applyFill="1" applyBorder="1" applyAlignment="1">
      <alignment horizontal="right"/>
    </xf>
    <xf numFmtId="0" fontId="65" fillId="0" borderId="0" xfId="0" applyFont="1" applyFill="1" applyBorder="1" applyAlignment="1">
      <alignment horizontal="left"/>
    </xf>
    <xf numFmtId="1" fontId="75" fillId="0" borderId="0" xfId="0" applyNumberFormat="1" applyFont="1" applyFill="1" applyBorder="1"/>
    <xf numFmtId="0" fontId="34" fillId="0" borderId="0" xfId="0" applyFont="1" applyFill="1" applyBorder="1" applyAlignment="1"/>
    <xf numFmtId="0" fontId="117" fillId="0" borderId="0" xfId="0" applyFont="1" applyFill="1" applyBorder="1" applyAlignment="1">
      <alignment horizontal="left"/>
    </xf>
    <xf numFmtId="0" fontId="34" fillId="0" borderId="0" xfId="0" applyFont="1" applyFill="1" applyBorder="1" applyAlignment="1">
      <alignment horizontal="center"/>
    </xf>
    <xf numFmtId="0" fontId="13" fillId="0" borderId="0" xfId="0" applyFont="1" applyBorder="1"/>
    <xf numFmtId="0" fontId="16" fillId="0" borderId="0" xfId="0" applyFont="1" applyFill="1" applyBorder="1" applyAlignment="1">
      <alignment horizontal="right"/>
    </xf>
    <xf numFmtId="0" fontId="16" fillId="0" borderId="0" xfId="0" applyFont="1" applyFill="1" applyBorder="1" applyAlignment="1"/>
    <xf numFmtId="0" fontId="34" fillId="0" borderId="0" xfId="0" applyFont="1" applyFill="1" applyBorder="1" applyAlignment="1">
      <alignment horizontal="right"/>
    </xf>
    <xf numFmtId="165" fontId="40" fillId="5" borderId="10" xfId="0" applyNumberFormat="1" applyFont="1" applyFill="1" applyBorder="1" applyProtection="1"/>
    <xf numFmtId="0" fontId="40" fillId="5" borderId="13" xfId="0" applyFont="1" applyFill="1" applyBorder="1" applyProtection="1"/>
    <xf numFmtId="0" fontId="0" fillId="5" borderId="1" xfId="0" applyFill="1" applyBorder="1" applyProtection="1"/>
    <xf numFmtId="0" fontId="0" fillId="5" borderId="69" xfId="0" applyFill="1" applyBorder="1" applyProtection="1"/>
    <xf numFmtId="0" fontId="21" fillId="0" borderId="0" xfId="0" quotePrefix="1" applyFont="1" applyFill="1" applyProtection="1"/>
    <xf numFmtId="0" fontId="0" fillId="4" borderId="3" xfId="0" applyFill="1" applyBorder="1"/>
    <xf numFmtId="2" fontId="119" fillId="5" borderId="0" xfId="0" applyNumberFormat="1" applyFont="1" applyFill="1" applyBorder="1"/>
    <xf numFmtId="0" fontId="121" fillId="8" borderId="2" xfId="0" applyFont="1" applyFill="1" applyBorder="1" applyAlignment="1" applyProtection="1">
      <alignment horizontal="center"/>
      <protection locked="0"/>
    </xf>
    <xf numFmtId="165" fontId="20" fillId="2" borderId="2" xfId="0" applyNumberFormat="1" applyFont="1" applyFill="1" applyBorder="1" applyProtection="1">
      <protection locked="0"/>
    </xf>
    <xf numFmtId="0" fontId="20" fillId="2" borderId="0" xfId="0" applyFont="1" applyFill="1" applyAlignment="1" applyProtection="1">
      <alignment horizontal="right"/>
      <protection locked="0"/>
    </xf>
    <xf numFmtId="0" fontId="26" fillId="0" borderId="0" xfId="0" applyFont="1" applyFill="1" applyAlignment="1">
      <alignment horizontal="right"/>
    </xf>
    <xf numFmtId="0" fontId="71" fillId="0" borderId="74" xfId="6" applyFont="1" applyBorder="1" applyAlignment="1">
      <alignment horizontal="center"/>
    </xf>
    <xf numFmtId="14" fontId="5" fillId="0" borderId="74" xfId="6" applyNumberFormat="1" applyBorder="1" applyAlignment="1">
      <alignment horizontal="center"/>
    </xf>
    <xf numFmtId="164" fontId="24" fillId="0" borderId="34" xfId="6" applyNumberFormat="1" applyFont="1" applyBorder="1" applyAlignment="1">
      <alignment horizontal="center"/>
    </xf>
    <xf numFmtId="14" fontId="5" fillId="0" borderId="34" xfId="6" applyNumberFormat="1" applyBorder="1" applyAlignment="1">
      <alignment horizontal="center"/>
    </xf>
    <xf numFmtId="0" fontId="5" fillId="0" borderId="39" xfId="6" applyFont="1" applyBorder="1" applyAlignment="1">
      <alignment horizontal="center"/>
    </xf>
    <xf numFmtId="0" fontId="5" fillId="0" borderId="33" xfId="6" applyBorder="1" applyAlignment="1">
      <alignment horizontal="center"/>
    </xf>
    <xf numFmtId="0" fontId="71" fillId="0" borderId="34" xfId="6" applyFont="1" applyBorder="1" applyAlignment="1">
      <alignment horizontal="center"/>
    </xf>
    <xf numFmtId="0" fontId="5" fillId="0" borderId="39" xfId="6" applyFont="1" applyBorder="1" applyAlignment="1">
      <alignment horizontal="left"/>
    </xf>
    <xf numFmtId="0" fontId="5" fillId="0" borderId="33" xfId="6" applyBorder="1" applyAlignment="1">
      <alignment horizontal="left"/>
    </xf>
    <xf numFmtId="0" fontId="16" fillId="5" borderId="0" xfId="0" applyFont="1" applyFill="1" applyProtection="1"/>
    <xf numFmtId="0" fontId="11" fillId="2" borderId="2" xfId="0" applyNumberFormat="1" applyFont="1" applyFill="1" applyBorder="1" applyProtection="1">
      <protection locked="0"/>
    </xf>
    <xf numFmtId="190" fontId="12" fillId="0" borderId="2" xfId="0" applyNumberFormat="1" applyFont="1" applyFill="1" applyBorder="1" applyAlignment="1" applyProtection="1">
      <alignment horizontal="right"/>
    </xf>
    <xf numFmtId="0" fontId="11" fillId="2" borderId="74" xfId="0" applyFont="1" applyFill="1" applyBorder="1" applyAlignment="1" applyProtection="1">
      <alignment horizontal="right"/>
      <protection locked="0"/>
    </xf>
    <xf numFmtId="2" fontId="11" fillId="2" borderId="2" xfId="0" applyNumberFormat="1" applyFont="1" applyFill="1" applyBorder="1" applyAlignment="1" applyProtection="1">
      <alignment horizontal="right"/>
      <protection locked="0"/>
    </xf>
    <xf numFmtId="0" fontId="0" fillId="0" borderId="0" xfId="0" applyFill="1" applyBorder="1" applyAlignment="1" applyProtection="1">
      <alignment horizontal="right"/>
    </xf>
    <xf numFmtId="0" fontId="0" fillId="5" borderId="0" xfId="0" applyFill="1" applyBorder="1" applyProtection="1">
      <protection locked="0"/>
    </xf>
    <xf numFmtId="0" fontId="28" fillId="0" borderId="0" xfId="0" applyFont="1" applyFill="1" applyAlignment="1">
      <alignment horizontal="right"/>
    </xf>
    <xf numFmtId="2" fontId="0" fillId="5" borderId="0" xfId="0" applyNumberFormat="1" applyFill="1" applyBorder="1" applyProtection="1"/>
    <xf numFmtId="205" fontId="11" fillId="2" borderId="2" xfId="0" applyNumberFormat="1" applyFont="1" applyFill="1" applyBorder="1" applyAlignment="1" applyProtection="1">
      <alignment horizontal="right"/>
      <protection locked="0"/>
    </xf>
    <xf numFmtId="0" fontId="13" fillId="0" borderId="2" xfId="0" applyFont="1" applyFill="1" applyBorder="1" applyAlignment="1" applyProtection="1">
      <alignment horizontal="center"/>
    </xf>
    <xf numFmtId="0" fontId="12" fillId="0" borderId="0" xfId="0" applyFont="1" applyFill="1" applyBorder="1" applyAlignment="1" applyProtection="1"/>
    <xf numFmtId="0" fontId="0" fillId="0" borderId="2" xfId="0" applyFill="1" applyBorder="1" applyAlignment="1" applyProtection="1">
      <alignment horizontal="center"/>
    </xf>
    <xf numFmtId="0" fontId="34" fillId="0" borderId="33" xfId="0" applyFont="1" applyFill="1" applyBorder="1" applyAlignment="1" applyProtection="1">
      <alignment horizontal="center" wrapText="1"/>
    </xf>
    <xf numFmtId="0" fontId="14" fillId="0" borderId="0" xfId="0" applyFont="1" applyFill="1"/>
    <xf numFmtId="0" fontId="10" fillId="0" borderId="0" xfId="0" applyFont="1" applyFill="1"/>
    <xf numFmtId="195" fontId="0" fillId="0" borderId="6" xfId="0" applyNumberFormat="1" applyFill="1" applyBorder="1" applyAlignment="1" applyProtection="1"/>
    <xf numFmtId="0" fontId="34" fillId="0" borderId="34" xfId="0" applyFont="1" applyFill="1" applyBorder="1" applyAlignment="1" applyProtection="1">
      <alignment horizontal="center" wrapText="1"/>
    </xf>
    <xf numFmtId="195" fontId="0" fillId="0" borderId="2" xfId="2" applyNumberFormat="1" applyFont="1" applyFill="1" applyBorder="1" applyAlignment="1" applyProtection="1"/>
    <xf numFmtId="0" fontId="10" fillId="0" borderId="0" xfId="0" applyFont="1" applyFill="1" applyBorder="1" applyProtection="1"/>
    <xf numFmtId="182" fontId="13" fillId="0" borderId="74" xfId="0" applyNumberFormat="1" applyFont="1" applyBorder="1" applyAlignment="1">
      <alignment horizontal="center"/>
    </xf>
    <xf numFmtId="182" fontId="13" fillId="0" borderId="11" xfId="0" applyNumberFormat="1" applyFont="1" applyBorder="1" applyAlignment="1">
      <alignment horizontal="center"/>
    </xf>
    <xf numFmtId="182" fontId="13" fillId="0" borderId="34" xfId="0" applyNumberFormat="1" applyFont="1" applyBorder="1" applyAlignment="1">
      <alignment horizontal="center"/>
    </xf>
    <xf numFmtId="0" fontId="20" fillId="2" borderId="2" xfId="0" applyFont="1" applyFill="1" applyBorder="1" applyAlignment="1" applyProtection="1">
      <protection locked="0"/>
    </xf>
    <xf numFmtId="0" fontId="15" fillId="0" borderId="3" xfId="0" applyFont="1" applyBorder="1"/>
    <xf numFmtId="0" fontId="0" fillId="0" borderId="74" xfId="0" applyFill="1" applyBorder="1" applyAlignment="1">
      <alignment horizontal="right"/>
    </xf>
    <xf numFmtId="0" fontId="0" fillId="0" borderId="11" xfId="0" applyFill="1" applyBorder="1" applyAlignment="1">
      <alignment horizontal="right"/>
    </xf>
    <xf numFmtId="0" fontId="0" fillId="0" borderId="34" xfId="0" applyFill="1" applyBorder="1" applyAlignment="1">
      <alignment horizontal="right"/>
    </xf>
    <xf numFmtId="199" fontId="15" fillId="0" borderId="3" xfId="0" applyNumberFormat="1" applyFont="1" applyFill="1" applyBorder="1" applyAlignment="1">
      <alignment horizontal="right"/>
    </xf>
    <xf numFmtId="199" fontId="15" fillId="0" borderId="0" xfId="0" applyNumberFormat="1" applyFont="1" applyFill="1" applyBorder="1" applyAlignment="1">
      <alignment horizontal="right"/>
    </xf>
    <xf numFmtId="165" fontId="7" fillId="0" borderId="0" xfId="0" applyNumberFormat="1" applyFont="1" applyBorder="1" applyAlignment="1">
      <alignment horizontal="right"/>
    </xf>
    <xf numFmtId="199" fontId="0" fillId="0" borderId="74" xfId="0" applyNumberFormat="1" applyBorder="1" applyAlignment="1">
      <alignment horizontal="center"/>
    </xf>
    <xf numFmtId="199" fontId="0" fillId="0" borderId="34" xfId="0" applyNumberFormat="1" applyBorder="1" applyAlignment="1">
      <alignment horizontal="center"/>
    </xf>
    <xf numFmtId="199" fontId="0" fillId="0" borderId="77" xfId="0" applyNumberFormat="1" applyBorder="1" applyAlignment="1">
      <alignment horizontal="center"/>
    </xf>
    <xf numFmtId="0" fontId="7" fillId="0" borderId="6" xfId="0" applyFont="1" applyBorder="1"/>
    <xf numFmtId="0" fontId="12" fillId="0" borderId="40" xfId="0" applyFont="1" applyBorder="1" applyAlignment="1">
      <alignment horizontal="right"/>
    </xf>
    <xf numFmtId="199" fontId="15" fillId="0" borderId="40" xfId="0" applyNumberFormat="1" applyFont="1" applyBorder="1"/>
    <xf numFmtId="199" fontId="15" fillId="0" borderId="36" xfId="0" applyNumberFormat="1" applyFont="1" applyBorder="1"/>
    <xf numFmtId="199" fontId="15" fillId="0" borderId="37" xfId="0" applyNumberFormat="1" applyFont="1" applyBorder="1"/>
    <xf numFmtId="0" fontId="7" fillId="0" borderId="40" xfId="0" applyFont="1" applyBorder="1"/>
    <xf numFmtId="199" fontId="15" fillId="0" borderId="40" xfId="0" applyNumberFormat="1" applyFont="1" applyBorder="1" applyAlignment="1">
      <alignment horizontal="left"/>
    </xf>
    <xf numFmtId="199" fontId="15" fillId="0" borderId="35" xfId="0" applyNumberFormat="1" applyFont="1" applyBorder="1" applyAlignment="1">
      <alignment horizontal="left"/>
    </xf>
    <xf numFmtId="0" fontId="12" fillId="0" borderId="0" xfId="0" applyFont="1" applyBorder="1" applyAlignment="1">
      <alignment horizontal="left"/>
    </xf>
    <xf numFmtId="0" fontId="12" fillId="0" borderId="0" xfId="0" applyFont="1" applyAlignment="1">
      <alignment horizontal="left"/>
    </xf>
    <xf numFmtId="0" fontId="13" fillId="0" borderId="0" xfId="0" applyFont="1"/>
    <xf numFmtId="0" fontId="0" fillId="0" borderId="85" xfId="0" applyBorder="1"/>
    <xf numFmtId="0" fontId="47" fillId="0" borderId="86" xfId="0" applyFont="1" applyBorder="1" applyAlignment="1">
      <alignment horizontal="right"/>
    </xf>
    <xf numFmtId="199" fontId="0" fillId="0" borderId="87" xfId="0" applyNumberFormat="1" applyBorder="1" applyAlignment="1">
      <alignment horizontal="center"/>
    </xf>
    <xf numFmtId="199" fontId="0" fillId="0" borderId="85" xfId="0" applyNumberFormat="1" applyBorder="1" applyAlignment="1">
      <alignment horizontal="center"/>
    </xf>
    <xf numFmtId="199" fontId="0" fillId="0" borderId="88" xfId="0" applyNumberFormat="1" applyBorder="1" applyAlignment="1">
      <alignment horizontal="center"/>
    </xf>
    <xf numFmtId="0" fontId="0" fillId="0" borderId="0" xfId="0" applyBorder="1" applyAlignment="1"/>
    <xf numFmtId="0" fontId="34" fillId="0" borderId="36" xfId="0" applyFont="1" applyBorder="1"/>
    <xf numFmtId="178" fontId="34" fillId="0" borderId="36" xfId="0" applyNumberFormat="1" applyFont="1" applyBorder="1" applyAlignment="1">
      <alignment horizontal="right"/>
    </xf>
    <xf numFmtId="179" fontId="34" fillId="0" borderId="36" xfId="0" applyNumberFormat="1" applyFont="1" applyBorder="1" applyAlignment="1">
      <alignment horizontal="center"/>
    </xf>
    <xf numFmtId="179" fontId="34" fillId="0" borderId="36" xfId="0" applyNumberFormat="1" applyFont="1" applyBorder="1" applyAlignment="1">
      <alignment horizontal="right"/>
    </xf>
    <xf numFmtId="185" fontId="34" fillId="0" borderId="36" xfId="0" applyNumberFormat="1" applyFont="1" applyBorder="1" applyAlignment="1">
      <alignment horizontal="right"/>
    </xf>
    <xf numFmtId="0" fontId="29" fillId="0" borderId="0" xfId="0" applyFont="1" applyBorder="1" applyAlignment="1">
      <alignment horizontal="center"/>
    </xf>
    <xf numFmtId="0" fontId="40" fillId="0" borderId="0" xfId="0" applyFont="1"/>
    <xf numFmtId="0" fontId="123" fillId="0" borderId="0" xfId="0" applyFont="1" applyAlignment="1">
      <alignment horizontal="center"/>
    </xf>
    <xf numFmtId="0" fontId="0" fillId="0" borderId="0" xfId="0" applyFill="1" applyAlignment="1">
      <alignment horizontal="center" wrapText="1"/>
    </xf>
    <xf numFmtId="199" fontId="13" fillId="0" borderId="0" xfId="0" applyNumberFormat="1" applyFont="1" applyFill="1" applyBorder="1" applyAlignment="1">
      <alignment horizontal="center"/>
    </xf>
    <xf numFmtId="0" fontId="7" fillId="0" borderId="0" xfId="0" applyFont="1" applyFill="1" applyAlignment="1">
      <alignment horizontal="left"/>
    </xf>
    <xf numFmtId="171" fontId="124" fillId="5" borderId="0" xfId="0" applyNumberFormat="1" applyFont="1" applyFill="1" applyBorder="1" applyAlignment="1">
      <alignment horizontal="left"/>
    </xf>
    <xf numFmtId="0" fontId="125" fillId="5" borderId="0" xfId="0" applyFont="1" applyFill="1"/>
    <xf numFmtId="0" fontId="15" fillId="0" borderId="0" xfId="0" applyFont="1" applyAlignment="1" applyProtection="1">
      <alignment horizontal="left"/>
    </xf>
    <xf numFmtId="0" fontId="125" fillId="5" borderId="0" xfId="0" applyFont="1" applyFill="1" applyBorder="1" applyProtection="1"/>
    <xf numFmtId="0" fontId="125" fillId="5" borderId="0" xfId="0" applyFont="1" applyFill="1" applyProtection="1"/>
    <xf numFmtId="0" fontId="10" fillId="5" borderId="0" xfId="0" applyFont="1" applyFill="1" applyProtection="1"/>
    <xf numFmtId="0" fontId="126" fillId="5" borderId="0" xfId="0" applyFont="1" applyFill="1" applyProtection="1"/>
    <xf numFmtId="0" fontId="127" fillId="0" borderId="0" xfId="0" applyFont="1" applyFill="1" applyProtection="1"/>
    <xf numFmtId="0" fontId="12" fillId="0" borderId="2" xfId="0" applyFont="1" applyFill="1" applyBorder="1" applyAlignment="1" applyProtection="1">
      <alignment horizontal="center"/>
      <protection locked="0"/>
    </xf>
    <xf numFmtId="165" fontId="7" fillId="0" borderId="0" xfId="0" applyNumberFormat="1" applyFont="1" applyFill="1" applyAlignment="1" applyProtection="1">
      <alignment horizontal="right"/>
    </xf>
    <xf numFmtId="0" fontId="4" fillId="4" borderId="3" xfId="0" applyFont="1" applyFill="1" applyBorder="1"/>
    <xf numFmtId="0" fontId="3" fillId="5" borderId="0" xfId="0" applyFont="1" applyFill="1"/>
    <xf numFmtId="0" fontId="32" fillId="0" borderId="0" xfId="6" applyFont="1" applyAlignment="1">
      <alignment horizontal="left"/>
    </xf>
    <xf numFmtId="0" fontId="15" fillId="0" borderId="0" xfId="0" applyFont="1" applyFill="1" applyBorder="1" applyAlignment="1">
      <alignment horizontal="center"/>
    </xf>
    <xf numFmtId="0" fontId="15" fillId="0" borderId="0" xfId="0" applyFont="1" applyFill="1" applyAlignment="1">
      <alignment horizontal="center"/>
    </xf>
    <xf numFmtId="0" fontId="15" fillId="5" borderId="0" xfId="0" applyFont="1" applyFill="1" applyAlignment="1">
      <alignment horizontal="center"/>
    </xf>
    <xf numFmtId="0" fontId="3" fillId="5" borderId="0" xfId="0" applyFont="1" applyFill="1" applyAlignment="1">
      <alignment horizontal="left"/>
    </xf>
    <xf numFmtId="0" fontId="7" fillId="0" borderId="0" xfId="0" applyFont="1" applyFill="1" applyBorder="1" applyAlignment="1">
      <alignment wrapText="1"/>
    </xf>
    <xf numFmtId="0" fontId="3" fillId="5" borderId="0" xfId="0" applyFont="1" applyFill="1" applyAlignment="1">
      <alignment horizontal="center"/>
    </xf>
    <xf numFmtId="0" fontId="3" fillId="0" borderId="0" xfId="0" applyFont="1" applyFill="1" applyBorder="1" applyAlignment="1"/>
    <xf numFmtId="0" fontId="7" fillId="0" borderId="0" xfId="0" applyFont="1" applyFill="1" applyBorder="1" applyAlignment="1">
      <alignment horizontal="center" wrapText="1"/>
    </xf>
    <xf numFmtId="0" fontId="7" fillId="0" borderId="5" xfId="0" applyFont="1" applyFill="1" applyBorder="1" applyAlignment="1">
      <alignment wrapText="1"/>
    </xf>
    <xf numFmtId="0" fontId="7" fillId="0" borderId="3" xfId="0" applyFont="1" applyFill="1" applyBorder="1" applyAlignment="1">
      <alignment wrapText="1"/>
    </xf>
    <xf numFmtId="0" fontId="7" fillId="0" borderId="4" xfId="0" applyFont="1" applyFill="1" applyBorder="1" applyAlignment="1">
      <alignment wrapText="1"/>
    </xf>
    <xf numFmtId="0" fontId="7" fillId="0" borderId="39" xfId="0" applyFont="1" applyFill="1" applyBorder="1" applyAlignment="1">
      <alignment wrapText="1"/>
    </xf>
    <xf numFmtId="0" fontId="7" fillId="0" borderId="33" xfId="0" applyFont="1" applyFill="1" applyBorder="1" applyAlignment="1">
      <alignment wrapText="1"/>
    </xf>
    <xf numFmtId="0" fontId="3" fillId="0" borderId="0" xfId="0" applyFont="1" applyFill="1" applyBorder="1" applyAlignment="1">
      <alignment horizontal="center"/>
    </xf>
    <xf numFmtId="0" fontId="7" fillId="0" borderId="18" xfId="0" applyFont="1" applyFill="1" applyBorder="1" applyAlignment="1">
      <alignment wrapText="1"/>
    </xf>
    <xf numFmtId="0" fontId="7" fillId="0" borderId="16" xfId="0" applyFont="1" applyFill="1" applyBorder="1" applyAlignment="1">
      <alignment wrapText="1"/>
    </xf>
    <xf numFmtId="0" fontId="7" fillId="0" borderId="58" xfId="0" applyFont="1" applyFill="1" applyBorder="1" applyAlignment="1">
      <alignment wrapText="1"/>
    </xf>
    <xf numFmtId="0" fontId="7" fillId="0" borderId="10" xfId="0" applyFont="1" applyFill="1" applyBorder="1" applyAlignment="1">
      <alignment wrapText="1"/>
    </xf>
    <xf numFmtId="0" fontId="7" fillId="0" borderId="59" xfId="0" applyFont="1" applyFill="1" applyBorder="1" applyAlignment="1">
      <alignment wrapText="1"/>
    </xf>
    <xf numFmtId="0" fontId="7" fillId="0" borderId="13" xfId="0" applyFont="1" applyFill="1" applyBorder="1" applyAlignment="1">
      <alignment wrapText="1"/>
    </xf>
    <xf numFmtId="0" fontId="7" fillId="0" borderId="1" xfId="0" applyFont="1" applyFill="1" applyBorder="1" applyAlignment="1">
      <alignment wrapText="1"/>
    </xf>
    <xf numFmtId="0" fontId="7" fillId="0" borderId="69" xfId="0" applyFont="1" applyFill="1" applyBorder="1" applyAlignment="1">
      <alignment wrapText="1"/>
    </xf>
    <xf numFmtId="2" fontId="24" fillId="0" borderId="2" xfId="6" applyNumberFormat="1" applyFont="1" applyBorder="1" applyAlignment="1">
      <alignment horizontal="center"/>
    </xf>
    <xf numFmtId="0" fontId="2" fillId="5" borderId="0" xfId="0" applyFont="1" applyFill="1"/>
    <xf numFmtId="0" fontId="15" fillId="0" borderId="0" xfId="0" applyFont="1" applyBorder="1" applyAlignment="1">
      <alignment horizontal="center"/>
    </xf>
    <xf numFmtId="0" fontId="2" fillId="0" borderId="0" xfId="0" applyFont="1" applyFill="1" applyProtection="1"/>
    <xf numFmtId="0" fontId="2" fillId="4" borderId="3" xfId="0" applyFont="1" applyFill="1" applyBorder="1"/>
    <xf numFmtId="0" fontId="0" fillId="0" borderId="0" xfId="0" applyAlignment="1" applyProtection="1">
      <alignment horizontal="center"/>
    </xf>
    <xf numFmtId="2" fontId="0" fillId="0" borderId="0" xfId="0" applyNumberFormat="1" applyAlignment="1" applyProtection="1">
      <alignment horizontal="center"/>
    </xf>
    <xf numFmtId="0" fontId="2" fillId="0" borderId="0" xfId="0" applyFont="1" applyBorder="1" applyAlignment="1" applyProtection="1">
      <alignment horizontal="center"/>
    </xf>
    <xf numFmtId="0" fontId="2" fillId="0" borderId="5" xfId="0" applyFont="1" applyBorder="1" applyAlignment="1" applyProtection="1">
      <alignment horizontal="center"/>
    </xf>
    <xf numFmtId="0" fontId="0" fillId="0" borderId="4" xfId="0" applyBorder="1" applyProtection="1"/>
    <xf numFmtId="0" fontId="2" fillId="0" borderId="4" xfId="0" applyFont="1" applyBorder="1" applyAlignment="1" applyProtection="1">
      <alignment horizontal="center"/>
    </xf>
    <xf numFmtId="0" fontId="2" fillId="0" borderId="33" xfId="0" applyFont="1" applyBorder="1" applyAlignment="1" applyProtection="1">
      <alignment horizontal="center"/>
    </xf>
    <xf numFmtId="0" fontId="0" fillId="0" borderId="4" xfId="0" applyBorder="1" applyAlignment="1" applyProtection="1">
      <alignment horizontal="center"/>
    </xf>
    <xf numFmtId="187" fontId="5" fillId="9" borderId="0" xfId="0" applyNumberFormat="1" applyFont="1" applyFill="1" applyProtection="1"/>
    <xf numFmtId="187" fontId="5" fillId="9" borderId="0" xfId="0" applyNumberFormat="1" applyFont="1" applyFill="1" applyAlignment="1" applyProtection="1">
      <alignment horizontal="right"/>
    </xf>
    <xf numFmtId="0" fontId="2" fillId="0" borderId="0" xfId="0" applyFont="1"/>
    <xf numFmtId="206" fontId="13" fillId="0" borderId="38" xfId="0" applyNumberFormat="1" applyFont="1" applyBorder="1" applyAlignment="1">
      <alignment horizontal="center"/>
    </xf>
    <xf numFmtId="206" fontId="13" fillId="0" borderId="3" xfId="0" applyNumberFormat="1" applyFont="1" applyBorder="1" applyAlignment="1">
      <alignment horizontal="center"/>
    </xf>
    <xf numFmtId="206" fontId="13" fillId="0" borderId="39" xfId="0" applyNumberFormat="1" applyFont="1" applyBorder="1" applyAlignment="1">
      <alignment horizontal="center"/>
    </xf>
    <xf numFmtId="206" fontId="13" fillId="0" borderId="37" xfId="0" applyNumberFormat="1" applyFont="1" applyBorder="1" applyAlignment="1">
      <alignment horizontal="center"/>
    </xf>
    <xf numFmtId="206" fontId="13" fillId="0" borderId="4" xfId="0" applyNumberFormat="1" applyFont="1" applyBorder="1" applyAlignment="1">
      <alignment horizontal="center"/>
    </xf>
    <xf numFmtId="206" fontId="13" fillId="0" borderId="33" xfId="0" applyNumberFormat="1" applyFont="1" applyBorder="1" applyAlignment="1">
      <alignment horizontal="center"/>
    </xf>
    <xf numFmtId="0" fontId="2" fillId="0" borderId="0" xfId="0" applyFont="1" applyBorder="1" applyAlignment="1">
      <alignment horizontal="left"/>
    </xf>
    <xf numFmtId="206" fontId="13" fillId="8" borderId="0" xfId="0" applyNumberFormat="1" applyFont="1" applyFill="1" applyAlignment="1">
      <alignment horizontal="center"/>
    </xf>
    <xf numFmtId="206" fontId="0" fillId="0" borderId="0" xfId="0" applyNumberFormat="1"/>
    <xf numFmtId="206" fontId="2" fillId="0" borderId="0" xfId="0" applyNumberFormat="1" applyFont="1" applyBorder="1" applyAlignment="1">
      <alignment horizontal="left"/>
    </xf>
    <xf numFmtId="182" fontId="13" fillId="8" borderId="0" xfId="0" applyNumberFormat="1" applyFont="1" applyFill="1" applyAlignment="1">
      <alignment horizontal="center"/>
    </xf>
    <xf numFmtId="0" fontId="0" fillId="0" borderId="2" xfId="0" applyBorder="1" applyAlignment="1">
      <alignment horizontal="center"/>
    </xf>
    <xf numFmtId="182" fontId="34" fillId="0" borderId="0" xfId="0" applyNumberFormat="1" applyFont="1" applyBorder="1" applyAlignment="1">
      <alignment horizontal="right"/>
    </xf>
    <xf numFmtId="0" fontId="130" fillId="0" borderId="0" xfId="0" applyFont="1"/>
    <xf numFmtId="0" fontId="0" fillId="0" borderId="0" xfId="0" applyFont="1" applyFill="1" applyAlignment="1">
      <alignment horizontal="right"/>
    </xf>
    <xf numFmtId="0" fontId="2" fillId="0" borderId="0" xfId="0" applyFont="1" applyFill="1" applyAlignment="1">
      <alignment horizontal="right"/>
    </xf>
    <xf numFmtId="0" fontId="2" fillId="0" borderId="0" xfId="0" applyFont="1" applyFill="1" applyBorder="1" applyAlignment="1">
      <alignment horizontal="left"/>
    </xf>
    <xf numFmtId="199" fontId="7" fillId="0" borderId="2" xfId="0" applyNumberFormat="1" applyFont="1" applyBorder="1" applyAlignment="1">
      <alignment horizontal="center"/>
    </xf>
    <xf numFmtId="0" fontId="15" fillId="0" borderId="2" xfId="0" applyFont="1" applyBorder="1" applyAlignment="1">
      <alignment horizontal="right"/>
    </xf>
    <xf numFmtId="0" fontId="130" fillId="0" borderId="0" xfId="0" applyFont="1" applyProtection="1">
      <protection locked="0"/>
    </xf>
    <xf numFmtId="0" fontId="130" fillId="0" borderId="0" xfId="0" applyFont="1" applyFill="1" applyProtection="1">
      <protection locked="0"/>
    </xf>
    <xf numFmtId="172" fontId="11" fillId="2" borderId="2" xfId="0" applyNumberFormat="1" applyFont="1" applyFill="1" applyBorder="1" applyProtection="1">
      <protection locked="0"/>
    </xf>
    <xf numFmtId="0" fontId="2" fillId="0" borderId="0" xfId="0" applyFont="1" applyFill="1" applyBorder="1"/>
    <xf numFmtId="0" fontId="123" fillId="0" borderId="0" xfId="0" applyFont="1" applyFill="1" applyAlignment="1" applyProtection="1">
      <alignment horizontal="left"/>
    </xf>
    <xf numFmtId="0" fontId="123" fillId="0" borderId="0" xfId="0" applyFont="1" applyFill="1" applyProtection="1"/>
    <xf numFmtId="0" fontId="13" fillId="0" borderId="0" xfId="0" quotePrefix="1" applyFont="1" applyFill="1" applyBorder="1" applyAlignment="1" applyProtection="1">
      <alignment horizontal="right"/>
    </xf>
    <xf numFmtId="0" fontId="136" fillId="0" borderId="0" xfId="0" applyFont="1" applyFill="1" applyAlignment="1" applyProtection="1">
      <alignment horizontal="right"/>
    </xf>
    <xf numFmtId="0" fontId="13" fillId="0" borderId="0" xfId="0" applyFont="1" applyFill="1" applyAlignment="1" applyProtection="1">
      <alignment vertical="center"/>
    </xf>
    <xf numFmtId="0" fontId="13" fillId="0" borderId="0" xfId="0" applyFont="1" applyFill="1" applyAlignment="1" applyProtection="1">
      <alignment horizontal="right" vertical="center"/>
    </xf>
    <xf numFmtId="0" fontId="10" fillId="0" borderId="0" xfId="0" applyFont="1" applyFill="1" applyAlignment="1" applyProtection="1"/>
    <xf numFmtId="0" fontId="10" fillId="0" borderId="0" xfId="0" applyFont="1" applyFill="1" applyAlignment="1" applyProtection="1">
      <alignment vertical="center"/>
    </xf>
    <xf numFmtId="0" fontId="13" fillId="0" borderId="0" xfId="0" applyFont="1" applyFill="1" applyBorder="1" applyAlignment="1" applyProtection="1">
      <alignment horizontal="right" vertical="center"/>
    </xf>
    <xf numFmtId="0" fontId="122" fillId="0" borderId="0" xfId="0" applyFont="1" applyFill="1" applyAlignment="1" applyProtection="1">
      <alignment horizontal="right" vertical="center"/>
    </xf>
    <xf numFmtId="195" fontId="13" fillId="0" borderId="0" xfId="0" applyNumberFormat="1" applyFont="1" applyFill="1" applyBorder="1" applyAlignment="1" applyProtection="1">
      <alignment horizontal="right" vertical="center"/>
    </xf>
    <xf numFmtId="166" fontId="13" fillId="0" borderId="0" xfId="0" applyNumberFormat="1" applyFont="1" applyFill="1" applyProtection="1"/>
    <xf numFmtId="207" fontId="13" fillId="0" borderId="0" xfId="0" applyNumberFormat="1" applyFont="1" applyFill="1" applyProtection="1"/>
    <xf numFmtId="164" fontId="13" fillId="0" borderId="0" xfId="0" applyNumberFormat="1" applyFont="1" applyFill="1" applyProtection="1"/>
    <xf numFmtId="0" fontId="2" fillId="0" borderId="0" xfId="0" applyFont="1" applyFill="1"/>
    <xf numFmtId="2" fontId="13" fillId="0" borderId="0" xfId="0" applyNumberFormat="1" applyFont="1" applyFill="1" applyBorder="1" applyProtection="1"/>
    <xf numFmtId="0" fontId="123" fillId="0" borderId="0" xfId="0" applyFont="1" applyBorder="1"/>
    <xf numFmtId="0" fontId="16" fillId="0" borderId="0" xfId="0" applyFont="1" applyFill="1" applyAlignment="1">
      <alignment horizontal="right"/>
    </xf>
    <xf numFmtId="0" fontId="2" fillId="5" borderId="0" xfId="0" applyFont="1" applyFill="1" applyBorder="1" applyAlignment="1"/>
    <xf numFmtId="2" fontId="123" fillId="0" borderId="0" xfId="0" applyNumberFormat="1" applyFont="1" applyFill="1" applyBorder="1" applyAlignment="1">
      <alignment horizontal="left"/>
    </xf>
    <xf numFmtId="0" fontId="2" fillId="5" borderId="0" xfId="0" applyFont="1" applyFill="1" applyBorder="1"/>
    <xf numFmtId="0" fontId="18" fillId="0" borderId="0" xfId="0" applyFont="1" applyBorder="1" applyAlignment="1">
      <alignment horizontal="left"/>
    </xf>
    <xf numFmtId="0" fontId="2" fillId="0" borderId="0" xfId="0" applyFont="1" applyAlignment="1">
      <alignment horizontal="right"/>
    </xf>
    <xf numFmtId="0" fontId="2" fillId="5" borderId="0" xfId="0" applyFont="1" applyFill="1" applyProtection="1"/>
    <xf numFmtId="0" fontId="18" fillId="0" borderId="0" xfId="0" applyFont="1" applyBorder="1" applyAlignment="1">
      <alignment horizontal="right"/>
    </xf>
    <xf numFmtId="0" fontId="10" fillId="0" borderId="0" xfId="0" applyFont="1" applyFill="1" applyBorder="1" applyAlignment="1" applyProtection="1"/>
    <xf numFmtId="0" fontId="49" fillId="0" borderId="0" xfId="0" applyFont="1" applyFill="1" applyBorder="1" applyAlignment="1" applyProtection="1"/>
    <xf numFmtId="1" fontId="13" fillId="5" borderId="0" xfId="0" applyNumberFormat="1" applyFont="1" applyFill="1" applyProtection="1"/>
    <xf numFmtId="0" fontId="21" fillId="0" borderId="0" xfId="0" applyFont="1" applyFill="1" applyBorder="1" applyAlignment="1">
      <alignment horizontal="right" vertical="center"/>
    </xf>
    <xf numFmtId="0" fontId="5" fillId="0" borderId="0" xfId="0" applyFont="1" applyFill="1" applyBorder="1" applyAlignment="1">
      <alignment horizontal="right" vertical="center"/>
    </xf>
    <xf numFmtId="164" fontId="5" fillId="0" borderId="0" xfId="0" applyNumberFormat="1" applyFont="1" applyFill="1" applyBorder="1" applyAlignment="1">
      <alignment vertical="center"/>
    </xf>
    <xf numFmtId="0" fontId="5" fillId="0" borderId="0" xfId="0" applyFont="1" applyFill="1" applyBorder="1" applyAlignment="1">
      <alignment vertical="center"/>
    </xf>
    <xf numFmtId="0" fontId="18" fillId="0" borderId="0" xfId="0" applyFont="1" applyFill="1" applyBorder="1" applyAlignment="1">
      <alignment horizontal="left" vertical="center"/>
    </xf>
    <xf numFmtId="0" fontId="18" fillId="0" borderId="0" xfId="0" applyFont="1" applyAlignment="1" applyProtection="1">
      <alignment horizontal="right"/>
    </xf>
    <xf numFmtId="0" fontId="28" fillId="0" borderId="0" xfId="0" applyFont="1" applyFill="1" applyBorder="1" applyAlignment="1" applyProtection="1">
      <alignment horizontal="right" vertical="center"/>
    </xf>
    <xf numFmtId="0" fontId="0" fillId="0" borderId="2" xfId="0" applyBorder="1" applyAlignment="1">
      <alignment horizontal="center" vertical="center"/>
    </xf>
    <xf numFmtId="0" fontId="32" fillId="5" borderId="0" xfId="0" applyFont="1" applyFill="1"/>
    <xf numFmtId="2" fontId="0" fillId="0" borderId="0" xfId="0" applyNumberFormat="1" applyBorder="1" applyAlignment="1">
      <alignment horizontal="center" wrapText="1"/>
    </xf>
    <xf numFmtId="0" fontId="123" fillId="0" borderId="0" xfId="0" applyFont="1"/>
    <xf numFmtId="0" fontId="0" fillId="0" borderId="0" xfId="0" applyAlignment="1">
      <alignment vertical="center"/>
    </xf>
    <xf numFmtId="0" fontId="11" fillId="2" borderId="34" xfId="0" applyFont="1" applyFill="1" applyBorder="1" applyAlignment="1" applyProtection="1">
      <alignment horizontal="center"/>
      <protection locked="0"/>
    </xf>
    <xf numFmtId="0" fontId="15" fillId="0" borderId="5" xfId="0" applyFont="1" applyFill="1" applyBorder="1" applyAlignment="1" applyProtection="1">
      <alignment horizontal="center"/>
      <protection locked="0"/>
    </xf>
    <xf numFmtId="165" fontId="13" fillId="0" borderId="2" xfId="0" applyNumberFormat="1" applyFont="1" applyFill="1" applyBorder="1" applyProtection="1"/>
    <xf numFmtId="0" fontId="13" fillId="0" borderId="2" xfId="0" applyFont="1" applyFill="1" applyBorder="1" applyProtection="1"/>
    <xf numFmtId="2" fontId="13" fillId="0" borderId="2" xfId="0" applyNumberFormat="1" applyFont="1" applyFill="1" applyBorder="1" applyAlignment="1" applyProtection="1">
      <alignment horizontal="right"/>
    </xf>
    <xf numFmtId="2" fontId="13" fillId="0" borderId="34" xfId="0" applyNumberFormat="1" applyFont="1" applyFill="1" applyBorder="1" applyAlignment="1" applyProtection="1">
      <alignment horizontal="right"/>
    </xf>
    <xf numFmtId="165" fontId="13" fillId="0" borderId="2" xfId="0" applyNumberFormat="1" applyFont="1" applyFill="1" applyBorder="1" applyAlignment="1" applyProtection="1">
      <alignment horizontal="right"/>
    </xf>
    <xf numFmtId="165" fontId="13" fillId="0" borderId="2" xfId="0" quotePrefix="1" applyNumberFormat="1" applyFont="1" applyFill="1" applyBorder="1" applyProtection="1"/>
    <xf numFmtId="1" fontId="7" fillId="0" borderId="0" xfId="4" applyNumberFormat="1" applyAlignment="1">
      <alignment vertical="center"/>
    </xf>
    <xf numFmtId="0" fontId="7" fillId="0" borderId="0" xfId="4" applyAlignment="1">
      <alignment vertical="center"/>
    </xf>
    <xf numFmtId="2" fontId="0" fillId="0" borderId="2" xfId="0" applyNumberFormat="1" applyBorder="1" applyAlignment="1">
      <alignment horizontal="center" vertical="center"/>
    </xf>
    <xf numFmtId="0" fontId="21" fillId="0" borderId="0" xfId="0" applyFont="1"/>
    <xf numFmtId="208" fontId="0" fillId="0" borderId="2" xfId="0" applyNumberFormat="1" applyBorder="1" applyAlignment="1">
      <alignment horizontal="center" vertical="center" wrapText="1"/>
    </xf>
    <xf numFmtId="168" fontId="0" fillId="0" borderId="2" xfId="0" applyNumberFormat="1" applyBorder="1" applyAlignment="1">
      <alignment horizontal="center" vertical="center"/>
    </xf>
    <xf numFmtId="0" fontId="0" fillId="0" borderId="2" xfId="0" applyBorder="1" applyAlignment="1">
      <alignment horizontal="center"/>
    </xf>
    <xf numFmtId="164" fontId="2" fillId="0" borderId="2" xfId="0" applyNumberFormat="1" applyFont="1" applyBorder="1" applyAlignment="1">
      <alignment horizontal="center"/>
    </xf>
    <xf numFmtId="0" fontId="2" fillId="0" borderId="0" xfId="0" applyFont="1" applyAlignment="1">
      <alignment horizontal="right" vertical="center"/>
    </xf>
    <xf numFmtId="2" fontId="0" fillId="0" borderId="2" xfId="0" applyNumberFormat="1" applyBorder="1" applyAlignment="1">
      <alignment horizontal="center"/>
    </xf>
    <xf numFmtId="2" fontId="0" fillId="0" borderId="0" xfId="0" applyNumberFormat="1" applyBorder="1" applyAlignment="1">
      <alignment horizontal="center"/>
    </xf>
    <xf numFmtId="0" fontId="2" fillId="0" borderId="0" xfId="0" applyFont="1" applyBorder="1"/>
    <xf numFmtId="0" fontId="2" fillId="0" borderId="0" xfId="0" applyFont="1" applyBorder="1" applyAlignment="1">
      <alignment horizontal="right"/>
    </xf>
    <xf numFmtId="0" fontId="28" fillId="0" borderId="0" xfId="0" applyFont="1"/>
    <xf numFmtId="0" fontId="15" fillId="0" borderId="2" xfId="0" applyFont="1" applyBorder="1" applyAlignment="1">
      <alignment horizontal="center" vertical="center"/>
    </xf>
    <xf numFmtId="2" fontId="142" fillId="0" borderId="2" xfId="0" applyNumberFormat="1" applyFont="1" applyBorder="1" applyAlignment="1">
      <alignment horizontal="center"/>
    </xf>
    <xf numFmtId="1" fontId="2" fillId="0" borderId="0" xfId="0" applyNumberFormat="1" applyFont="1" applyFill="1" applyBorder="1"/>
    <xf numFmtId="0" fontId="2" fillId="0" borderId="0" xfId="0" applyFont="1" applyBorder="1" applyAlignment="1">
      <alignment horizontal="center"/>
    </xf>
    <xf numFmtId="0" fontId="140" fillId="0" borderId="0" xfId="0" applyFont="1" applyBorder="1" applyAlignment="1">
      <alignment horizontal="right"/>
    </xf>
    <xf numFmtId="2" fontId="1" fillId="0" borderId="0" xfId="0" applyNumberFormat="1" applyFont="1" applyBorder="1" applyAlignment="1">
      <alignment horizontal="center"/>
    </xf>
    <xf numFmtId="0" fontId="138" fillId="10" borderId="0" xfId="8" applyBorder="1"/>
    <xf numFmtId="0" fontId="32" fillId="5" borderId="0" xfId="0" applyFont="1" applyFill="1" applyBorder="1"/>
    <xf numFmtId="0" fontId="2" fillId="0" borderId="0" xfId="0" applyFont="1" applyBorder="1" applyAlignment="1"/>
    <xf numFmtId="0" fontId="2" fillId="0" borderId="0" xfId="0" applyFont="1" applyBorder="1" applyAlignment="1">
      <alignment horizontal="center" vertical="center"/>
    </xf>
    <xf numFmtId="0" fontId="0" fillId="0" borderId="0" xfId="0" applyBorder="1" applyAlignment="1">
      <alignment horizontal="center" vertical="center"/>
    </xf>
    <xf numFmtId="2" fontId="2" fillId="0" borderId="0" xfId="0" applyNumberFormat="1" applyFont="1" applyBorder="1"/>
    <xf numFmtId="0" fontId="2" fillId="5" borderId="0" xfId="0" applyFont="1" applyFill="1" applyBorder="1" applyAlignment="1">
      <alignment horizontal="right"/>
    </xf>
    <xf numFmtId="0" fontId="21" fillId="5" borderId="0" xfId="0" applyFont="1" applyFill="1" applyBorder="1"/>
    <xf numFmtId="164" fontId="0" fillId="0" borderId="0" xfId="0" applyNumberFormat="1" applyBorder="1"/>
    <xf numFmtId="168" fontId="0" fillId="5" borderId="0" xfId="0" applyNumberFormat="1" applyFill="1" applyBorder="1"/>
    <xf numFmtId="0" fontId="0" fillId="0" borderId="0" xfId="0" applyBorder="1" applyAlignment="1">
      <alignment horizontal="center"/>
    </xf>
    <xf numFmtId="0" fontId="7" fillId="0" borderId="2" xfId="0" applyFont="1" applyBorder="1" applyAlignment="1">
      <alignment horizontal="center"/>
    </xf>
    <xf numFmtId="0" fontId="15" fillId="0" borderId="2" xfId="0" applyFont="1" applyBorder="1" applyAlignment="1">
      <alignment horizontal="center"/>
    </xf>
    <xf numFmtId="0" fontId="0" fillId="0" borderId="0" xfId="0" applyBorder="1" applyAlignment="1">
      <alignment horizontal="center"/>
    </xf>
    <xf numFmtId="0" fontId="2" fillId="0" borderId="2" xfId="0" applyFont="1" applyBorder="1" applyAlignment="1">
      <alignment horizontal="center"/>
    </xf>
    <xf numFmtId="0" fontId="31" fillId="0" borderId="2" xfId="0" applyFont="1" applyBorder="1" applyAlignment="1">
      <alignment horizontal="center"/>
    </xf>
    <xf numFmtId="0" fontId="31" fillId="0" borderId="0" xfId="0" applyFont="1" applyBorder="1" applyAlignment="1">
      <alignment horizontal="center"/>
    </xf>
    <xf numFmtId="208" fontId="0" fillId="0" borderId="0" xfId="0" applyNumberFormat="1" applyBorder="1" applyAlignment="1">
      <alignment horizontal="center" vertical="center" wrapText="1"/>
    </xf>
    <xf numFmtId="0" fontId="2" fillId="0" borderId="0" xfId="0" applyFont="1" applyAlignment="1">
      <alignment horizontal="left"/>
    </xf>
    <xf numFmtId="2" fontId="15" fillId="0" borderId="2" xfId="0" applyNumberFormat="1" applyFont="1" applyBorder="1" applyAlignment="1">
      <alignment horizontal="center" vertical="center" wrapText="1"/>
    </xf>
    <xf numFmtId="2" fontId="15" fillId="0" borderId="104" xfId="0" applyNumberFormat="1" applyFont="1" applyBorder="1" applyAlignment="1">
      <alignment horizontal="center" vertical="center" wrapText="1"/>
    </xf>
    <xf numFmtId="0" fontId="7" fillId="0" borderId="0" xfId="0" applyFont="1" applyBorder="1" applyAlignment="1"/>
    <xf numFmtId="165" fontId="0" fillId="5" borderId="0" xfId="0" applyNumberFormat="1" applyFill="1" applyBorder="1"/>
    <xf numFmtId="0" fontId="0" fillId="0" borderId="0" xfId="0" applyFont="1" applyBorder="1"/>
    <xf numFmtId="2" fontId="0" fillId="0" borderId="0" xfId="0" applyNumberFormat="1" applyBorder="1" applyAlignment="1">
      <alignment horizontal="center" vertical="center"/>
    </xf>
    <xf numFmtId="164" fontId="2" fillId="0" borderId="0" xfId="0" applyNumberFormat="1" applyFont="1" applyBorder="1" applyAlignment="1">
      <alignment horizontal="center"/>
    </xf>
    <xf numFmtId="0" fontId="18" fillId="0" borderId="0" xfId="0" applyFont="1" applyBorder="1"/>
    <xf numFmtId="2" fontId="18" fillId="0" borderId="0" xfId="0" applyNumberFormat="1" applyFont="1" applyBorder="1"/>
    <xf numFmtId="0" fontId="0" fillId="0" borderId="0" xfId="0" applyBorder="1" applyAlignment="1">
      <alignment horizontal="left" wrapText="1"/>
    </xf>
    <xf numFmtId="168" fontId="0" fillId="0" borderId="0" xfId="0" applyNumberFormat="1" applyBorder="1" applyAlignment="1">
      <alignment horizontal="center" vertical="center"/>
    </xf>
    <xf numFmtId="2" fontId="0" fillId="0" borderId="0" xfId="0" applyNumberFormat="1" applyBorder="1" applyAlignment="1">
      <alignment horizontal="center" vertical="center" wrapText="1"/>
    </xf>
    <xf numFmtId="0" fontId="74" fillId="0" borderId="0" xfId="0" applyFont="1" applyAlignment="1">
      <alignment horizontal="right"/>
    </xf>
    <xf numFmtId="0" fontId="144" fillId="5" borderId="0" xfId="0" applyFont="1" applyFill="1" applyBorder="1"/>
    <xf numFmtId="0" fontId="145" fillId="5" borderId="0" xfId="0" applyFont="1" applyFill="1" applyBorder="1"/>
    <xf numFmtId="2" fontId="2" fillId="0" borderId="0" xfId="0" applyNumberFormat="1" applyFont="1" applyBorder="1" applyAlignment="1">
      <alignment horizontal="right"/>
    </xf>
    <xf numFmtId="0" fontId="2" fillId="0" borderId="0" xfId="0" applyFont="1" applyBorder="1" applyAlignment="1">
      <alignment horizontal="center"/>
    </xf>
    <xf numFmtId="0" fontId="52" fillId="5" borderId="0" xfId="0" applyFont="1" applyFill="1" applyProtection="1"/>
    <xf numFmtId="0" fontId="2" fillId="0" borderId="0" xfId="6" applyFont="1" applyBorder="1" applyAlignment="1">
      <alignment horizontal="center"/>
    </xf>
    <xf numFmtId="2" fontId="24" fillId="0" borderId="0" xfId="6" applyNumberFormat="1" applyFont="1" applyBorder="1" applyAlignment="1">
      <alignment horizontal="center" vertical="center"/>
    </xf>
    <xf numFmtId="0" fontId="2" fillId="0" borderId="0" xfId="6" applyFont="1" applyBorder="1" applyAlignment="1">
      <alignment horizontal="center" vertical="center"/>
    </xf>
    <xf numFmtId="14" fontId="5" fillId="0" borderId="0" xfId="6" applyNumberFormat="1" applyBorder="1" applyAlignment="1">
      <alignment horizontal="center" vertical="center"/>
    </xf>
    <xf numFmtId="0" fontId="5" fillId="0" borderId="0" xfId="6" applyFont="1" applyBorder="1" applyAlignment="1">
      <alignment horizontal="center" vertical="center"/>
    </xf>
    <xf numFmtId="0" fontId="0" fillId="12" borderId="0" xfId="0" applyFill="1"/>
    <xf numFmtId="0" fontId="52" fillId="12" borderId="0" xfId="0" applyFont="1" applyFill="1"/>
    <xf numFmtId="164" fontId="0" fillId="5" borderId="0" xfId="0" applyNumberFormat="1" applyFill="1" applyAlignment="1">
      <alignment horizontal="left"/>
    </xf>
    <xf numFmtId="0" fontId="2" fillId="0" borderId="0" xfId="0" applyFont="1" applyBorder="1" applyAlignment="1">
      <alignment horizontal="right" wrapText="1"/>
    </xf>
    <xf numFmtId="0" fontId="0" fillId="0" borderId="0" xfId="0" applyBorder="1" applyAlignment="1">
      <alignment horizontal="center"/>
    </xf>
    <xf numFmtId="0" fontId="7" fillId="0" borderId="0" xfId="0" applyFont="1" applyBorder="1" applyAlignment="1">
      <alignment horizontal="center"/>
    </xf>
    <xf numFmtId="0" fontId="0" fillId="0" borderId="0" xfId="0" applyBorder="1" applyAlignment="1">
      <alignment horizontal="center" wrapText="1"/>
    </xf>
    <xf numFmtId="168" fontId="2" fillId="0" borderId="0" xfId="0" applyNumberFormat="1" applyFont="1" applyBorder="1"/>
    <xf numFmtId="0" fontId="31" fillId="0" borderId="0" xfId="0" applyFont="1" applyAlignment="1">
      <alignment horizontal="right" vertical="center"/>
    </xf>
    <xf numFmtId="0" fontId="2" fillId="0" borderId="0" xfId="0" applyFont="1" applyAlignment="1">
      <alignment vertical="center"/>
    </xf>
    <xf numFmtId="2" fontId="2" fillId="0" borderId="0" xfId="0" applyNumberFormat="1" applyFont="1" applyAlignment="1">
      <alignment horizontal="right"/>
    </xf>
    <xf numFmtId="2" fontId="2" fillId="0" borderId="0" xfId="0" applyNumberFormat="1" applyFont="1" applyAlignment="1">
      <alignment horizontal="left"/>
    </xf>
    <xf numFmtId="2" fontId="0" fillId="0" borderId="0" xfId="0" applyNumberFormat="1" applyAlignment="1">
      <alignment vertical="center"/>
    </xf>
    <xf numFmtId="0" fontId="15" fillId="0" borderId="0" xfId="0" applyFont="1" applyBorder="1" applyAlignment="1">
      <alignment horizontal="center"/>
    </xf>
    <xf numFmtId="2" fontId="15" fillId="0" borderId="0" xfId="0" applyNumberFormat="1" applyFont="1" applyBorder="1" applyAlignment="1">
      <alignment horizontal="center"/>
    </xf>
    <xf numFmtId="0" fontId="20" fillId="2" borderId="2" xfId="0" applyFont="1" applyFill="1" applyBorder="1" applyAlignment="1" applyProtection="1">
      <alignment horizontal="center" vertical="center"/>
      <protection locked="0"/>
    </xf>
    <xf numFmtId="0" fontId="31" fillId="0" borderId="0" xfId="0" applyFont="1" applyAlignment="1"/>
    <xf numFmtId="0" fontId="15" fillId="0" borderId="0" xfId="0" applyFont="1" applyBorder="1" applyAlignment="1">
      <alignment horizontal="center"/>
    </xf>
    <xf numFmtId="2" fontId="15" fillId="0" borderId="0" xfId="0" applyNumberFormat="1" applyFont="1" applyBorder="1" applyAlignment="1">
      <alignment horizontal="center"/>
    </xf>
    <xf numFmtId="165" fontId="21" fillId="0" borderId="0" xfId="0" applyNumberFormat="1" applyFont="1" applyFill="1"/>
    <xf numFmtId="165" fontId="63" fillId="0" borderId="0" xfId="0" applyNumberFormat="1" applyFont="1" applyFill="1"/>
    <xf numFmtId="2" fontId="11" fillId="2" borderId="34" xfId="0" applyNumberFormat="1" applyFont="1" applyFill="1" applyBorder="1" applyAlignment="1" applyProtection="1">
      <alignment horizontal="right"/>
      <protection locked="0"/>
    </xf>
    <xf numFmtId="0" fontId="10" fillId="0" borderId="0" xfId="0" applyFont="1" applyFill="1" applyAlignment="1" applyProtection="1">
      <alignment vertical="top" wrapText="1"/>
    </xf>
    <xf numFmtId="0" fontId="12" fillId="0" borderId="0" xfId="0" applyFont="1" applyFill="1" applyBorder="1" applyAlignment="1" applyProtection="1">
      <alignment horizontal="right"/>
    </xf>
    <xf numFmtId="165" fontId="11" fillId="2" borderId="74" xfId="0" applyNumberFormat="1" applyFont="1" applyFill="1" applyBorder="1" applyProtection="1">
      <protection locked="0"/>
    </xf>
    <xf numFmtId="165" fontId="12" fillId="6" borderId="74" xfId="0" applyNumberFormat="1" applyFont="1" applyFill="1" applyBorder="1" applyAlignment="1" applyProtection="1">
      <alignment horizontal="right" vertical="center"/>
      <protection locked="0"/>
    </xf>
    <xf numFmtId="0" fontId="11" fillId="2" borderId="74" xfId="0" applyNumberFormat="1" applyFont="1" applyFill="1" applyBorder="1" applyAlignment="1" applyProtection="1">
      <alignment horizontal="center"/>
      <protection locked="0"/>
    </xf>
    <xf numFmtId="0" fontId="11" fillId="2" borderId="74" xfId="0" applyFont="1" applyFill="1" applyBorder="1" applyAlignment="1" applyProtection="1">
      <alignment horizontal="center"/>
      <protection locked="0"/>
    </xf>
    <xf numFmtId="165" fontId="12" fillId="6" borderId="34" xfId="0" applyNumberFormat="1" applyFont="1" applyFill="1" applyBorder="1" applyAlignment="1" applyProtection="1">
      <alignment horizontal="right" vertical="center"/>
      <protection locked="0"/>
    </xf>
    <xf numFmtId="165" fontId="34" fillId="0" borderId="2" xfId="0" applyNumberFormat="1" applyFont="1" applyFill="1" applyBorder="1" applyProtection="1"/>
    <xf numFmtId="2" fontId="13" fillId="0" borderId="2" xfId="0" applyNumberFormat="1" applyFont="1" applyFill="1" applyBorder="1" applyProtection="1"/>
    <xf numFmtId="0" fontId="13" fillId="0" borderId="2" xfId="0" applyFont="1" applyFill="1" applyBorder="1" applyAlignment="1" applyProtection="1">
      <alignment horizontal="right"/>
    </xf>
    <xf numFmtId="1" fontId="13" fillId="0" borderId="2" xfId="0" applyNumberFormat="1" applyFont="1" applyFill="1" applyBorder="1" applyProtection="1"/>
    <xf numFmtId="0" fontId="28" fillId="0" borderId="0" xfId="0" applyFont="1" applyFill="1" applyAlignment="1" applyProtection="1">
      <alignment horizontal="left"/>
    </xf>
    <xf numFmtId="0" fontId="28" fillId="0" borderId="0" xfId="0" applyFont="1" applyFill="1" applyAlignment="1" applyProtection="1">
      <alignment horizontal="right" vertical="center"/>
    </xf>
    <xf numFmtId="194" fontId="31" fillId="0" borderId="6" xfId="0" applyNumberFormat="1" applyFont="1" applyFill="1" applyBorder="1" applyAlignment="1" applyProtection="1">
      <alignment horizontal="right" wrapText="1"/>
    </xf>
    <xf numFmtId="195" fontId="2" fillId="0" borderId="2" xfId="0" quotePrefix="1" applyNumberFormat="1" applyFont="1" applyFill="1" applyBorder="1" applyAlignment="1" applyProtection="1">
      <alignment horizontal="center"/>
    </xf>
    <xf numFmtId="0" fontId="2" fillId="0" borderId="0" xfId="0" applyFont="1" applyAlignment="1">
      <alignment horizontal="center"/>
    </xf>
    <xf numFmtId="0" fontId="0" fillId="0" borderId="0" xfId="0" applyFont="1" applyFill="1" applyBorder="1" applyAlignment="1">
      <alignment horizontal="center"/>
    </xf>
    <xf numFmtId="181" fontId="75" fillId="5" borderId="44" xfId="0" applyNumberFormat="1" applyFont="1" applyFill="1" applyBorder="1" applyAlignment="1">
      <alignment horizontal="center"/>
    </xf>
    <xf numFmtId="181" fontId="75" fillId="5" borderId="105" xfId="0" applyNumberFormat="1" applyFont="1" applyFill="1" applyBorder="1" applyAlignment="1">
      <alignment horizontal="center"/>
    </xf>
    <xf numFmtId="1" fontId="75" fillId="5" borderId="41" xfId="0" applyNumberFormat="1" applyFont="1" applyFill="1" applyBorder="1" applyAlignment="1">
      <alignment horizontal="right"/>
    </xf>
    <xf numFmtId="181" fontId="75" fillId="5" borderId="52" xfId="0" applyNumberFormat="1" applyFont="1" applyFill="1" applyBorder="1" applyAlignment="1">
      <alignment horizontal="center"/>
    </xf>
    <xf numFmtId="0" fontId="76" fillId="5" borderId="99" xfId="0" applyFont="1" applyFill="1" applyBorder="1" applyAlignment="1">
      <alignment horizontal="right"/>
    </xf>
    <xf numFmtId="0" fontId="76" fillId="5" borderId="106" xfId="0" applyFont="1" applyFill="1" applyBorder="1" applyAlignment="1">
      <alignment horizontal="right"/>
    </xf>
    <xf numFmtId="182" fontId="75" fillId="5" borderId="42" xfId="0" applyNumberFormat="1" applyFont="1" applyFill="1" applyBorder="1" applyAlignment="1">
      <alignment horizontal="center"/>
    </xf>
    <xf numFmtId="182" fontId="75" fillId="5" borderId="50" xfId="0" applyNumberFormat="1" applyFont="1" applyFill="1" applyBorder="1" applyAlignment="1">
      <alignment horizontal="center"/>
    </xf>
    <xf numFmtId="0" fontId="76" fillId="5" borderId="42" xfId="0" applyFont="1" applyFill="1" applyBorder="1" applyAlignment="1">
      <alignment horizontal="right"/>
    </xf>
    <xf numFmtId="0" fontId="76" fillId="5" borderId="41" xfId="0" applyFont="1" applyFill="1" applyBorder="1" applyAlignment="1">
      <alignment horizontal="right"/>
    </xf>
    <xf numFmtId="182" fontId="75" fillId="5" borderId="56" xfId="0" applyNumberFormat="1" applyFont="1" applyFill="1" applyBorder="1" applyAlignment="1">
      <alignment horizontal="center"/>
    </xf>
    <xf numFmtId="0" fontId="76" fillId="5" borderId="48" xfId="0" applyFont="1" applyFill="1" applyBorder="1" applyAlignment="1">
      <alignment horizontal="right"/>
    </xf>
    <xf numFmtId="0" fontId="76" fillId="5" borderId="41" xfId="0" applyFont="1" applyFill="1" applyBorder="1"/>
    <xf numFmtId="0" fontId="76" fillId="5" borderId="48" xfId="0" applyFont="1" applyFill="1" applyBorder="1"/>
    <xf numFmtId="0" fontId="0" fillId="5" borderId="48" xfId="0" applyFill="1" applyBorder="1"/>
    <xf numFmtId="0" fontId="0" fillId="5" borderId="51" xfId="0" applyFill="1" applyBorder="1"/>
    <xf numFmtId="181" fontId="75" fillId="5" borderId="107" xfId="0" applyNumberFormat="1" applyFont="1" applyFill="1" applyBorder="1" applyAlignment="1">
      <alignment horizontal="center"/>
    </xf>
    <xf numFmtId="0" fontId="76" fillId="5" borderId="42" xfId="0" applyFont="1" applyFill="1" applyBorder="1"/>
    <xf numFmtId="164" fontId="34" fillId="5" borderId="42" xfId="0" applyNumberFormat="1" applyFont="1" applyFill="1" applyBorder="1" applyAlignment="1">
      <alignment horizontal="left"/>
    </xf>
    <xf numFmtId="0" fontId="76" fillId="5" borderId="52" xfId="0" applyFont="1" applyFill="1" applyBorder="1"/>
    <xf numFmtId="164" fontId="34" fillId="5" borderId="50" xfId="0" applyNumberFormat="1" applyFont="1" applyFill="1" applyBorder="1" applyAlignment="1">
      <alignment horizontal="left"/>
    </xf>
    <xf numFmtId="0" fontId="2" fillId="0" borderId="0" xfId="0" applyFont="1" applyFill="1" applyBorder="1" applyAlignment="1">
      <alignment horizontal="right"/>
    </xf>
    <xf numFmtId="165" fontId="21" fillId="0" borderId="0" xfId="0" applyNumberFormat="1" applyFont="1" applyFill="1" applyAlignment="1">
      <alignment horizontal="right"/>
    </xf>
    <xf numFmtId="0" fontId="5" fillId="5" borderId="2" xfId="0" applyFont="1" applyFill="1" applyBorder="1" applyAlignment="1">
      <alignment horizontal="center"/>
    </xf>
    <xf numFmtId="0" fontId="7" fillId="5" borderId="2" xfId="0" applyFont="1" applyFill="1" applyBorder="1" applyAlignment="1">
      <alignment horizontal="center"/>
    </xf>
    <xf numFmtId="11" fontId="5" fillId="5" borderId="2" xfId="0" applyNumberFormat="1" applyFont="1" applyFill="1" applyBorder="1" applyAlignment="1">
      <alignment horizontal="center"/>
    </xf>
    <xf numFmtId="0" fontId="15" fillId="5" borderId="2" xfId="0" applyFont="1" applyFill="1" applyBorder="1" applyAlignment="1">
      <alignment horizontal="center"/>
    </xf>
    <xf numFmtId="0" fontId="5" fillId="5" borderId="2" xfId="0" applyNumberFormat="1" applyFont="1" applyFill="1" applyBorder="1" applyAlignment="1">
      <alignment horizontal="center"/>
    </xf>
    <xf numFmtId="0" fontId="0" fillId="0" borderId="0" xfId="0" applyAlignment="1">
      <alignment horizontal="center"/>
    </xf>
    <xf numFmtId="0" fontId="2" fillId="0" borderId="0" xfId="0" applyFont="1" applyAlignment="1" applyProtection="1">
      <alignment horizontal="right"/>
    </xf>
    <xf numFmtId="2" fontId="0" fillId="0" borderId="12" xfId="0" applyNumberFormat="1" applyBorder="1" applyAlignment="1">
      <alignment horizontal="center"/>
    </xf>
    <xf numFmtId="2" fontId="0" fillId="0" borderId="15" xfId="0" applyNumberFormat="1" applyBorder="1" applyAlignment="1">
      <alignment horizontal="center"/>
    </xf>
    <xf numFmtId="0" fontId="0" fillId="0" borderId="0" xfId="0" applyFill="1" applyAlignment="1">
      <alignment horizontal="center"/>
    </xf>
    <xf numFmtId="0" fontId="15" fillId="0" borderId="0" xfId="0" applyFont="1" applyBorder="1" applyAlignment="1">
      <alignment horizontal="center"/>
    </xf>
    <xf numFmtId="200" fontId="28" fillId="0" borderId="36" xfId="0" applyNumberFormat="1" applyFont="1" applyBorder="1" applyAlignment="1">
      <alignment horizontal="center"/>
    </xf>
    <xf numFmtId="182" fontId="28" fillId="0" borderId="36" xfId="0" applyNumberFormat="1" applyFont="1" applyBorder="1" applyAlignment="1">
      <alignment horizontal="center"/>
    </xf>
    <xf numFmtId="0" fontId="7" fillId="5" borderId="0" xfId="0" applyNumberFormat="1" applyFont="1" applyFill="1" applyBorder="1"/>
    <xf numFmtId="0" fontId="15" fillId="0" borderId="1" xfId="0" applyFont="1" applyFill="1" applyBorder="1" applyAlignment="1" applyProtection="1">
      <alignment horizontal="center"/>
    </xf>
    <xf numFmtId="0" fontId="15" fillId="0" borderId="96" xfId="0" applyFont="1" applyFill="1" applyBorder="1" applyAlignment="1" applyProtection="1">
      <alignment horizontal="center"/>
    </xf>
    <xf numFmtId="0" fontId="15" fillId="0" borderId="0" xfId="0" applyFont="1" applyBorder="1" applyAlignment="1">
      <alignment horizontal="center"/>
    </xf>
    <xf numFmtId="165" fontId="13" fillId="0" borderId="2" xfId="0" applyNumberFormat="1" applyFont="1" applyFill="1" applyBorder="1" applyAlignment="1" applyProtection="1">
      <alignment horizontal="center"/>
    </xf>
    <xf numFmtId="0" fontId="15" fillId="0" borderId="96" xfId="0" applyFont="1" applyFill="1" applyBorder="1" applyAlignment="1" applyProtection="1"/>
    <xf numFmtId="0" fontId="15" fillId="0" borderId="1" xfId="0" applyFont="1" applyFill="1" applyBorder="1" applyAlignment="1" applyProtection="1"/>
    <xf numFmtId="0" fontId="105" fillId="0" borderId="5" xfId="0" applyFont="1" applyFill="1" applyBorder="1" applyAlignment="1" applyProtection="1">
      <alignment horizontal="right"/>
    </xf>
    <xf numFmtId="0" fontId="147" fillId="0" borderId="0" xfId="0" applyFont="1" applyFill="1" applyAlignment="1" applyProtection="1">
      <alignment horizontal="right"/>
    </xf>
    <xf numFmtId="0" fontId="0" fillId="0" borderId="0" xfId="0" applyAlignment="1">
      <alignment horizontal="center"/>
    </xf>
    <xf numFmtId="0" fontId="0" fillId="0" borderId="0" xfId="0" applyBorder="1" applyAlignment="1">
      <alignment horizontal="center"/>
    </xf>
    <xf numFmtId="0" fontId="2" fillId="0" borderId="0" xfId="0" applyFont="1" applyBorder="1" applyAlignment="1">
      <alignment horizontal="center" wrapText="1"/>
    </xf>
    <xf numFmtId="199" fontId="0" fillId="0" borderId="36" xfId="0" applyNumberFormat="1" applyBorder="1" applyAlignment="1">
      <alignment horizontal="center"/>
    </xf>
    <xf numFmtId="0" fontId="0" fillId="0" borderId="5" xfId="0" applyFont="1" applyFill="1" applyBorder="1" applyAlignment="1">
      <alignment horizontal="center"/>
    </xf>
    <xf numFmtId="0" fontId="2" fillId="0" borderId="5" xfId="0" applyFont="1" applyFill="1" applyBorder="1" applyAlignment="1">
      <alignment horizontal="center"/>
    </xf>
    <xf numFmtId="199" fontId="0" fillId="0" borderId="36" xfId="0" applyNumberFormat="1" applyBorder="1" applyAlignment="1">
      <alignment horizontal="center"/>
    </xf>
    <xf numFmtId="0" fontId="2" fillId="0" borderId="2" xfId="0" applyFont="1" applyBorder="1"/>
    <xf numFmtId="2" fontId="0" fillId="0" borderId="2" xfId="0" applyNumberFormat="1" applyBorder="1"/>
    <xf numFmtId="0" fontId="2" fillId="0" borderId="2" xfId="6" applyFont="1" applyBorder="1" applyAlignment="1">
      <alignment horizontal="center"/>
    </xf>
    <xf numFmtId="0" fontId="5" fillId="0" borderId="2" xfId="6" applyBorder="1" applyAlignment="1">
      <alignment horizontal="center"/>
    </xf>
    <xf numFmtId="0" fontId="5" fillId="0" borderId="2" xfId="6" applyFont="1" applyBorder="1" applyAlignment="1">
      <alignment horizontal="center"/>
    </xf>
    <xf numFmtId="0" fontId="2" fillId="0" borderId="6" xfId="6" applyFont="1" applyBorder="1" applyAlignment="1">
      <alignment horizontal="left"/>
    </xf>
    <xf numFmtId="0" fontId="5" fillId="0" borderId="35" xfId="6" applyBorder="1" applyAlignment="1">
      <alignment horizontal="left"/>
    </xf>
    <xf numFmtId="0" fontId="7" fillId="0" borderId="2" xfId="6" applyFont="1" applyBorder="1" applyAlignment="1">
      <alignment horizontal="center"/>
    </xf>
    <xf numFmtId="0" fontId="3" fillId="0" borderId="2" xfId="6" applyFont="1" applyBorder="1" applyAlignment="1">
      <alignment horizontal="center"/>
    </xf>
    <xf numFmtId="0" fontId="4" fillId="0" borderId="2" xfId="6" applyFont="1" applyBorder="1" applyAlignment="1">
      <alignment horizontal="center"/>
    </xf>
    <xf numFmtId="0" fontId="5" fillId="0" borderId="34" xfId="6" applyFont="1" applyBorder="1" applyAlignment="1">
      <alignment horizontal="center"/>
    </xf>
    <xf numFmtId="0" fontId="5" fillId="0" borderId="34" xfId="6" applyBorder="1" applyAlignment="1">
      <alignment horizontal="center"/>
    </xf>
    <xf numFmtId="0" fontId="5" fillId="0" borderId="74" xfId="6" applyFont="1" applyBorder="1" applyAlignment="1">
      <alignment horizontal="center"/>
    </xf>
    <xf numFmtId="0" fontId="5" fillId="0" borderId="74" xfId="6" applyBorder="1" applyAlignment="1">
      <alignment horizontal="center"/>
    </xf>
    <xf numFmtId="0" fontId="5" fillId="0" borderId="39" xfId="6" applyFont="1" applyBorder="1" applyAlignment="1">
      <alignment horizontal="center"/>
    </xf>
    <xf numFmtId="0" fontId="5" fillId="0" borderId="33" xfId="6" applyBorder="1" applyAlignment="1">
      <alignment horizontal="center"/>
    </xf>
    <xf numFmtId="0" fontId="15" fillId="0" borderId="1" xfId="6" applyFont="1" applyBorder="1" applyAlignment="1">
      <alignment horizontal="center"/>
    </xf>
    <xf numFmtId="0" fontId="69" fillId="0" borderId="0" xfId="6" applyFont="1" applyAlignment="1">
      <alignment horizontal="center"/>
    </xf>
    <xf numFmtId="0" fontId="15" fillId="0" borderId="2" xfId="6" applyFont="1" applyBorder="1" applyAlignment="1">
      <alignment horizontal="center" vertical="center"/>
    </xf>
    <xf numFmtId="0" fontId="5" fillId="0" borderId="74" xfId="6" applyFont="1" applyBorder="1" applyAlignment="1">
      <alignment horizontal="left"/>
    </xf>
    <xf numFmtId="0" fontId="5" fillId="0" borderId="74" xfId="6" applyBorder="1" applyAlignment="1">
      <alignment horizontal="left"/>
    </xf>
    <xf numFmtId="0" fontId="52" fillId="0" borderId="0" xfId="6" applyFont="1" applyAlignment="1">
      <alignment horizontal="left"/>
    </xf>
    <xf numFmtId="0" fontId="2" fillId="0" borderId="35" xfId="6" applyFont="1" applyBorder="1" applyAlignment="1">
      <alignment horizontal="center"/>
    </xf>
    <xf numFmtId="2" fontId="24" fillId="0" borderId="74" xfId="6" applyNumberFormat="1" applyFont="1" applyBorder="1" applyAlignment="1">
      <alignment horizontal="center" vertical="center"/>
    </xf>
    <xf numFmtId="2" fontId="24" fillId="0" borderId="34" xfId="6" applyNumberFormat="1" applyFont="1" applyBorder="1" applyAlignment="1">
      <alignment horizontal="center" vertical="center"/>
    </xf>
    <xf numFmtId="0" fontId="2" fillId="0" borderId="38" xfId="6" applyFont="1" applyBorder="1" applyAlignment="1">
      <alignment horizontal="center" vertical="center"/>
    </xf>
    <xf numFmtId="0" fontId="2" fillId="0" borderId="37" xfId="6" applyFont="1" applyBorder="1" applyAlignment="1">
      <alignment horizontal="center" vertical="center"/>
    </xf>
    <xf numFmtId="0" fontId="2" fillId="0" borderId="39" xfId="6" applyFont="1" applyBorder="1" applyAlignment="1">
      <alignment horizontal="center" vertical="center"/>
    </xf>
    <xf numFmtId="0" fontId="2" fillId="0" borderId="33" xfId="6" applyFont="1" applyBorder="1" applyAlignment="1">
      <alignment horizontal="center" vertical="center"/>
    </xf>
    <xf numFmtId="14" fontId="5" fillId="0" borderId="74" xfId="6" applyNumberFormat="1" applyBorder="1" applyAlignment="1">
      <alignment horizontal="center" vertical="center"/>
    </xf>
    <xf numFmtId="14" fontId="5" fillId="0" borderId="34" xfId="6" applyNumberFormat="1" applyBorder="1" applyAlignment="1">
      <alignment horizontal="center" vertical="center"/>
    </xf>
    <xf numFmtId="0" fontId="5" fillId="0" borderId="38" xfId="6" applyFont="1" applyBorder="1" applyAlignment="1">
      <alignment horizontal="center" vertical="center"/>
    </xf>
    <xf numFmtId="0" fontId="5" fillId="0" borderId="37" xfId="6" applyFont="1" applyBorder="1" applyAlignment="1">
      <alignment horizontal="center" vertical="center"/>
    </xf>
    <xf numFmtId="0" fontId="5" fillId="0" borderId="39" xfId="6" applyFont="1" applyBorder="1" applyAlignment="1">
      <alignment horizontal="center" vertical="center"/>
    </xf>
    <xf numFmtId="0" fontId="5" fillId="0" borderId="33" xfId="6" applyFont="1" applyBorder="1" applyAlignment="1">
      <alignment horizontal="center" vertical="center"/>
    </xf>
    <xf numFmtId="0" fontId="5" fillId="0" borderId="0" xfId="6" applyFont="1" applyAlignment="1">
      <alignment horizontal="justify" vertical="top" wrapText="1"/>
    </xf>
    <xf numFmtId="0" fontId="5" fillId="0" borderId="0" xfId="6" applyAlignment="1">
      <alignment horizontal="justify" vertical="top" wrapText="1"/>
    </xf>
    <xf numFmtId="0" fontId="32" fillId="0" borderId="0" xfId="6" applyFont="1" applyAlignment="1">
      <alignment horizontal="left"/>
    </xf>
    <xf numFmtId="0" fontId="5" fillId="0" borderId="0" xfId="6" applyFont="1" applyAlignment="1">
      <alignment horizontal="center" vertical="top" wrapText="1"/>
    </xf>
    <xf numFmtId="0" fontId="3" fillId="0" borderId="0" xfId="6" applyFont="1" applyAlignment="1">
      <alignment horizontal="left" vertical="top" wrapText="1"/>
    </xf>
    <xf numFmtId="0" fontId="15" fillId="0" borderId="17" xfId="0" applyFont="1" applyBorder="1" applyAlignment="1">
      <alignment horizontal="center"/>
    </xf>
    <xf numFmtId="0" fontId="7" fillId="0" borderId="40" xfId="4" applyBorder="1" applyAlignment="1" applyProtection="1"/>
    <xf numFmtId="0" fontId="13" fillId="0" borderId="5" xfId="4" applyFont="1" applyFill="1" applyBorder="1" applyAlignment="1" applyProtection="1">
      <alignment horizontal="left"/>
    </xf>
    <xf numFmtId="0" fontId="13" fillId="0" borderId="5" xfId="4" applyFont="1" applyBorder="1" applyAlignment="1" applyProtection="1"/>
    <xf numFmtId="0" fontId="13" fillId="0" borderId="40" xfId="4" applyFont="1" applyBorder="1" applyAlignment="1" applyProtection="1"/>
    <xf numFmtId="0" fontId="13" fillId="0" borderId="5" xfId="4" applyFont="1" applyBorder="1" applyAlignment="1" applyProtection="1">
      <alignment horizontal="left"/>
    </xf>
    <xf numFmtId="0" fontId="143" fillId="11" borderId="5" xfId="4" applyFont="1" applyFill="1" applyBorder="1" applyAlignment="1" applyProtection="1">
      <alignment horizontal="left"/>
      <protection locked="0"/>
    </xf>
    <xf numFmtId="0" fontId="13" fillId="0" borderId="5" xfId="4" quotePrefix="1" applyFont="1" applyFill="1" applyBorder="1" applyAlignment="1" applyProtection="1">
      <alignment horizontal="left"/>
    </xf>
    <xf numFmtId="14" fontId="11" fillId="2" borderId="5" xfId="0" applyNumberFormat="1" applyFont="1" applyFill="1" applyBorder="1" applyAlignment="1" applyProtection="1">
      <alignment horizontal="left"/>
      <protection locked="0"/>
    </xf>
    <xf numFmtId="0" fontId="11" fillId="11" borderId="5" xfId="0" applyFont="1" applyFill="1" applyBorder="1" applyAlignment="1" applyProtection="1">
      <alignment horizontal="left"/>
      <protection locked="0"/>
    </xf>
    <xf numFmtId="0" fontId="13" fillId="0" borderId="40" xfId="4" applyFont="1" applyFill="1" applyBorder="1" applyAlignment="1" applyProtection="1">
      <alignment horizontal="left"/>
    </xf>
    <xf numFmtId="49" fontId="13" fillId="0" borderId="5" xfId="4" applyNumberFormat="1" applyFont="1" applyFill="1" applyBorder="1" applyAlignment="1" applyProtection="1">
      <alignment horizontal="left"/>
    </xf>
    <xf numFmtId="0" fontId="13" fillId="0" borderId="5" xfId="4" applyFont="1" applyFill="1" applyBorder="1" applyAlignment="1" applyProtection="1"/>
    <xf numFmtId="0" fontId="12" fillId="0" borderId="40" xfId="0" applyFont="1" applyFill="1" applyBorder="1" applyAlignment="1" applyProtection="1">
      <alignment horizontal="left"/>
    </xf>
    <xf numFmtId="0" fontId="12" fillId="0" borderId="5" xfId="0" applyFont="1" applyFill="1" applyBorder="1" applyAlignment="1" applyProtection="1">
      <alignment horizontal="left"/>
      <protection locked="0"/>
    </xf>
    <xf numFmtId="0" fontId="12" fillId="0" borderId="5" xfId="0" applyNumberFormat="1" applyFont="1" applyFill="1" applyBorder="1" applyAlignment="1" applyProtection="1">
      <alignment horizontal="left"/>
      <protection locked="0"/>
    </xf>
    <xf numFmtId="0" fontId="7" fillId="0" borderId="5" xfId="4" applyFont="1" applyFill="1" applyBorder="1" applyAlignment="1" applyProtection="1">
      <alignment horizontal="center"/>
    </xf>
    <xf numFmtId="0" fontId="13" fillId="0" borderId="5" xfId="4" applyFont="1" applyFill="1" applyBorder="1" applyAlignment="1" applyProtection="1">
      <alignment horizontal="center"/>
    </xf>
    <xf numFmtId="0" fontId="12" fillId="0" borderId="40" xfId="4" applyFont="1" applyFill="1" applyBorder="1" applyAlignment="1" applyProtection="1">
      <alignment horizontal="left"/>
    </xf>
    <xf numFmtId="0" fontId="13" fillId="0" borderId="40" xfId="4" applyFont="1" applyBorder="1" applyAlignment="1" applyProtection="1">
      <alignment horizontal="left"/>
    </xf>
    <xf numFmtId="0" fontId="0" fillId="0" borderId="6" xfId="0" applyFill="1" applyBorder="1" applyAlignment="1" applyProtection="1">
      <alignment horizontal="center"/>
    </xf>
    <xf numFmtId="0" fontId="0" fillId="0" borderId="40" xfId="0" applyFill="1" applyBorder="1" applyAlignment="1" applyProtection="1">
      <alignment horizontal="center"/>
    </xf>
    <xf numFmtId="0" fontId="0" fillId="0" borderId="35" xfId="0" applyFill="1" applyBorder="1" applyAlignment="1" applyProtection="1">
      <alignment horizontal="center"/>
    </xf>
    <xf numFmtId="0" fontId="28" fillId="0" borderId="74" xfId="0" applyFont="1" applyFill="1" applyBorder="1" applyAlignment="1" applyProtection="1">
      <alignment horizontal="center" vertical="center" wrapText="1"/>
    </xf>
    <xf numFmtId="0" fontId="28" fillId="0" borderId="11" xfId="0" applyFont="1" applyFill="1" applyBorder="1" applyAlignment="1" applyProtection="1">
      <alignment horizontal="center" vertical="center" wrapText="1"/>
    </xf>
    <xf numFmtId="0" fontId="28" fillId="0" borderId="34" xfId="0" applyFont="1" applyFill="1" applyBorder="1" applyAlignment="1" applyProtection="1">
      <alignment horizontal="center" vertical="center" wrapText="1"/>
    </xf>
    <xf numFmtId="0" fontId="31" fillId="0" borderId="74" xfId="0" applyFont="1" applyFill="1" applyBorder="1" applyAlignment="1" applyProtection="1">
      <alignment horizontal="center" wrapText="1"/>
    </xf>
    <xf numFmtId="0" fontId="31" fillId="0" borderId="11" xfId="0" applyFont="1" applyFill="1" applyBorder="1" applyAlignment="1" applyProtection="1">
      <alignment horizontal="center" wrapText="1"/>
    </xf>
    <xf numFmtId="0" fontId="31" fillId="0" borderId="34" xfId="0" applyFont="1" applyFill="1" applyBorder="1" applyAlignment="1" applyProtection="1">
      <alignment horizontal="center" wrapText="1"/>
    </xf>
    <xf numFmtId="0" fontId="87" fillId="5" borderId="93" xfId="0" quotePrefix="1" applyFont="1" applyFill="1" applyBorder="1" applyAlignment="1" applyProtection="1">
      <alignment horizontal="center"/>
    </xf>
    <xf numFmtId="0" fontId="87" fillId="5" borderId="94" xfId="0" applyFont="1" applyFill="1" applyBorder="1" applyAlignment="1" applyProtection="1">
      <alignment horizontal="center"/>
    </xf>
    <xf numFmtId="0" fontId="87" fillId="5" borderId="95" xfId="0" applyFont="1" applyFill="1" applyBorder="1" applyAlignment="1" applyProtection="1">
      <alignment horizontal="center"/>
    </xf>
    <xf numFmtId="0" fontId="34" fillId="0" borderId="38" xfId="0" applyFont="1" applyFill="1" applyBorder="1" applyAlignment="1" applyProtection="1">
      <alignment horizontal="center" wrapText="1"/>
    </xf>
    <xf numFmtId="0" fontId="34" fillId="0" borderId="37" xfId="0" applyFont="1" applyFill="1" applyBorder="1" applyAlignment="1" applyProtection="1">
      <alignment horizontal="center" wrapText="1"/>
    </xf>
    <xf numFmtId="0" fontId="34" fillId="0" borderId="39" xfId="0" applyFont="1" applyFill="1" applyBorder="1" applyAlignment="1" applyProtection="1">
      <alignment horizontal="center" wrapText="1"/>
    </xf>
    <xf numFmtId="0" fontId="34" fillId="0" borderId="33" xfId="0" applyFont="1" applyFill="1" applyBorder="1" applyAlignment="1" applyProtection="1">
      <alignment horizontal="center" wrapText="1"/>
    </xf>
    <xf numFmtId="0" fontId="40" fillId="5" borderId="89" xfId="0" applyFont="1" applyFill="1" applyBorder="1" applyAlignment="1" applyProtection="1">
      <alignment horizontal="center"/>
    </xf>
    <xf numFmtId="0" fontId="40" fillId="5" borderId="90" xfId="0" applyFont="1" applyFill="1" applyBorder="1" applyAlignment="1" applyProtection="1">
      <alignment horizontal="center"/>
    </xf>
    <xf numFmtId="0" fontId="40" fillId="5" borderId="60" xfId="0" applyFont="1" applyFill="1" applyBorder="1" applyAlignment="1" applyProtection="1">
      <alignment horizontal="center"/>
    </xf>
    <xf numFmtId="0" fontId="40" fillId="5" borderId="31" xfId="0" applyFont="1" applyFill="1" applyBorder="1" applyAlignment="1" applyProtection="1">
      <alignment horizontal="center"/>
    </xf>
    <xf numFmtId="0" fontId="40" fillId="5" borderId="17" xfId="0" applyFont="1" applyFill="1" applyBorder="1" applyAlignment="1" applyProtection="1">
      <alignment horizontal="center"/>
    </xf>
    <xf numFmtId="0" fontId="40" fillId="5" borderId="32" xfId="0" applyFont="1" applyFill="1" applyBorder="1" applyAlignment="1" applyProtection="1">
      <alignment horizontal="center"/>
    </xf>
    <xf numFmtId="0" fontId="12" fillId="0" borderId="2" xfId="0" applyFont="1" applyFill="1" applyBorder="1" applyAlignment="1" applyProtection="1">
      <alignment horizontal="center"/>
    </xf>
    <xf numFmtId="0" fontId="82" fillId="5" borderId="89" xfId="0" applyFont="1" applyFill="1" applyBorder="1" applyAlignment="1" applyProtection="1">
      <alignment horizontal="left"/>
    </xf>
    <xf numFmtId="0" fontId="82" fillId="5" borderId="90" xfId="0" applyFont="1" applyFill="1" applyBorder="1" applyAlignment="1" applyProtection="1">
      <alignment horizontal="left"/>
    </xf>
    <xf numFmtId="0" fontId="82" fillId="5" borderId="60" xfId="0" applyFont="1" applyFill="1" applyBorder="1" applyAlignment="1" applyProtection="1">
      <alignment horizontal="left"/>
    </xf>
    <xf numFmtId="0" fontId="83" fillId="5" borderId="3" xfId="0" applyFont="1" applyFill="1" applyBorder="1" applyAlignment="1" applyProtection="1">
      <alignment horizontal="center"/>
    </xf>
    <xf numFmtId="0" fontId="83" fillId="5" borderId="23" xfId="0" applyFont="1" applyFill="1" applyBorder="1" applyAlignment="1" applyProtection="1">
      <alignment horizontal="center"/>
    </xf>
    <xf numFmtId="0" fontId="83" fillId="5" borderId="0" xfId="0" applyFont="1" applyFill="1" applyBorder="1" applyAlignment="1" applyProtection="1">
      <alignment horizontal="center"/>
    </xf>
    <xf numFmtId="0" fontId="83" fillId="5" borderId="4" xfId="0" applyFont="1" applyFill="1" applyBorder="1" applyAlignment="1" applyProtection="1">
      <alignment horizontal="center"/>
    </xf>
    <xf numFmtId="0" fontId="94" fillId="5" borderId="3" xfId="1" applyNumberFormat="1" applyFont="1" applyFill="1" applyBorder="1" applyAlignment="1" applyProtection="1">
      <alignment horizontal="center"/>
    </xf>
    <xf numFmtId="0" fontId="94" fillId="5" borderId="4" xfId="1" applyNumberFormat="1" applyFont="1" applyFill="1" applyBorder="1" applyAlignment="1" applyProtection="1">
      <alignment horizontal="center"/>
    </xf>
    <xf numFmtId="0" fontId="20" fillId="2" borderId="6" xfId="0" applyFont="1" applyFill="1" applyBorder="1" applyAlignment="1" applyProtection="1">
      <alignment horizontal="left"/>
      <protection locked="0"/>
    </xf>
    <xf numFmtId="0" fontId="20" fillId="2" borderId="40" xfId="0" applyFont="1" applyFill="1" applyBorder="1" applyAlignment="1" applyProtection="1">
      <alignment horizontal="left"/>
      <protection locked="0"/>
    </xf>
    <xf numFmtId="0" fontId="20" fillId="2" borderId="35" xfId="0" applyFont="1" applyFill="1" applyBorder="1" applyAlignment="1" applyProtection="1">
      <alignment horizontal="left"/>
      <protection locked="0"/>
    </xf>
    <xf numFmtId="0" fontId="0" fillId="5" borderId="0" xfId="0" applyFill="1" applyBorder="1" applyAlignment="1" applyProtection="1">
      <alignment horizontal="center"/>
    </xf>
    <xf numFmtId="0" fontId="9" fillId="0" borderId="17" xfId="0" applyFont="1" applyFill="1" applyBorder="1" applyAlignment="1" applyProtection="1">
      <alignment horizontal="center"/>
    </xf>
    <xf numFmtId="0" fontId="95" fillId="5" borderId="0" xfId="1" applyNumberFormat="1" applyFont="1" applyFill="1" applyBorder="1" applyAlignment="1" applyProtection="1">
      <alignment horizontal="center"/>
    </xf>
    <xf numFmtId="0" fontId="95" fillId="5" borderId="5" xfId="1" applyNumberFormat="1" applyFont="1" applyFill="1" applyBorder="1" applyAlignment="1" applyProtection="1">
      <alignment horizontal="center"/>
    </xf>
    <xf numFmtId="0" fontId="16" fillId="5" borderId="0" xfId="0" applyFont="1" applyFill="1" applyAlignment="1" applyProtection="1">
      <alignment horizontal="left" wrapText="1"/>
    </xf>
    <xf numFmtId="196" fontId="31" fillId="0" borderId="40" xfId="0" applyNumberFormat="1" applyFont="1" applyFill="1" applyBorder="1" applyAlignment="1" applyProtection="1">
      <alignment horizontal="left" wrapText="1"/>
    </xf>
    <xf numFmtId="196" fontId="31" fillId="0" borderId="35" xfId="0" applyNumberFormat="1" applyFont="1" applyFill="1" applyBorder="1" applyAlignment="1" applyProtection="1">
      <alignment horizontal="left" wrapText="1"/>
    </xf>
    <xf numFmtId="0" fontId="24" fillId="0" borderId="6" xfId="0" applyFont="1" applyFill="1" applyBorder="1" applyAlignment="1" applyProtection="1">
      <alignment horizontal="center"/>
    </xf>
    <xf numFmtId="0" fontId="24" fillId="0" borderId="35" xfId="0" applyFont="1" applyFill="1" applyBorder="1" applyAlignment="1" applyProtection="1">
      <alignment horizontal="center"/>
    </xf>
    <xf numFmtId="0" fontId="10" fillId="0" borderId="0" xfId="0" applyFont="1" applyFill="1" applyAlignment="1" applyProtection="1">
      <alignment horizontal="left" vertical="top" wrapText="1"/>
    </xf>
    <xf numFmtId="0" fontId="28" fillId="5" borderId="91" xfId="0" applyFont="1" applyFill="1" applyBorder="1" applyAlignment="1" applyProtection="1">
      <alignment horizontal="left" wrapText="1"/>
    </xf>
    <xf numFmtId="0" fontId="28" fillId="5" borderId="36" xfId="0" applyFont="1" applyFill="1" applyBorder="1" applyAlignment="1" applyProtection="1">
      <alignment horizontal="left" wrapText="1"/>
    </xf>
    <xf numFmtId="0" fontId="28" fillId="5" borderId="92" xfId="0" applyFont="1" applyFill="1" applyBorder="1" applyAlignment="1" applyProtection="1">
      <alignment horizontal="left" wrapText="1"/>
    </xf>
    <xf numFmtId="0" fontId="28" fillId="5" borderId="10" xfId="0" applyFont="1" applyFill="1" applyBorder="1" applyAlignment="1" applyProtection="1">
      <alignment horizontal="left" wrapText="1"/>
    </xf>
    <xf numFmtId="0" fontId="28" fillId="5" borderId="0" xfId="0" applyFont="1" applyFill="1" applyBorder="1" applyAlignment="1" applyProtection="1">
      <alignment horizontal="left" wrapText="1"/>
    </xf>
    <xf numFmtId="0" fontId="28" fillId="5" borderId="59" xfId="0" applyFont="1" applyFill="1" applyBorder="1" applyAlignment="1" applyProtection="1">
      <alignment horizontal="left" wrapText="1"/>
    </xf>
    <xf numFmtId="0" fontId="28" fillId="5" borderId="13" xfId="0" applyFont="1" applyFill="1" applyBorder="1" applyAlignment="1" applyProtection="1">
      <alignment horizontal="left" wrapText="1"/>
    </xf>
    <xf numFmtId="0" fontId="28" fillId="5" borderId="1" xfId="0" applyFont="1" applyFill="1" applyBorder="1" applyAlignment="1" applyProtection="1">
      <alignment horizontal="left" wrapText="1"/>
    </xf>
    <xf numFmtId="0" fontId="28" fillId="5" borderId="69" xfId="0" applyFont="1" applyFill="1" applyBorder="1" applyAlignment="1" applyProtection="1">
      <alignment horizontal="left" wrapText="1"/>
    </xf>
    <xf numFmtId="0" fontId="20" fillId="2" borderId="6" xfId="0" applyFont="1" applyFill="1" applyBorder="1" applyAlignment="1" applyProtection="1">
      <alignment horizontal="center"/>
      <protection locked="0"/>
    </xf>
    <xf numFmtId="0" fontId="20" fillId="2" borderId="35" xfId="0" applyFont="1" applyFill="1" applyBorder="1" applyAlignment="1" applyProtection="1">
      <alignment horizontal="center"/>
      <protection locked="0"/>
    </xf>
    <xf numFmtId="0" fontId="34" fillId="0" borderId="6" xfId="0" applyFont="1" applyFill="1" applyBorder="1" applyAlignment="1" applyProtection="1">
      <alignment horizontal="center" wrapText="1"/>
    </xf>
    <xf numFmtId="0" fontId="34" fillId="0" borderId="35" xfId="0" applyFont="1" applyFill="1" applyBorder="1" applyAlignment="1" applyProtection="1">
      <alignment horizontal="center" wrapText="1"/>
    </xf>
    <xf numFmtId="0" fontId="0" fillId="5" borderId="0" xfId="0" applyFill="1" applyAlignment="1">
      <alignment horizontal="center"/>
    </xf>
    <xf numFmtId="0" fontId="15" fillId="0" borderId="1" xfId="0" applyFont="1" applyFill="1" applyBorder="1" applyAlignment="1" applyProtection="1">
      <alignment horizontal="center"/>
    </xf>
    <xf numFmtId="179" fontId="34" fillId="0" borderId="5" xfId="0" applyNumberFormat="1" applyFont="1" applyFill="1" applyBorder="1" applyAlignment="1">
      <alignment horizontal="center"/>
    </xf>
    <xf numFmtId="179" fontId="34" fillId="0" borderId="0" xfId="0" applyNumberFormat="1" applyFont="1" applyFill="1" applyBorder="1" applyAlignment="1">
      <alignment horizontal="center"/>
    </xf>
    <xf numFmtId="0" fontId="15" fillId="0" borderId="0" xfId="0" applyFont="1" applyFill="1" applyBorder="1" applyAlignment="1">
      <alignment horizontal="center"/>
    </xf>
    <xf numFmtId="0" fontId="15" fillId="0" borderId="0" xfId="0" applyFont="1" applyFill="1" applyBorder="1" applyAlignment="1">
      <alignment horizontal="center" wrapText="1"/>
    </xf>
    <xf numFmtId="0" fontId="15" fillId="0" borderId="5" xfId="0" applyFont="1" applyFill="1" applyBorder="1" applyAlignment="1">
      <alignment horizontal="center" wrapText="1"/>
    </xf>
    <xf numFmtId="169" fontId="24" fillId="0" borderId="2" xfId="0" applyNumberFormat="1" applyFont="1" applyFill="1" applyBorder="1" applyAlignment="1">
      <alignment horizontal="center"/>
    </xf>
    <xf numFmtId="0" fontId="24" fillId="0" borderId="35" xfId="0" applyFont="1" applyFill="1" applyBorder="1" applyAlignment="1">
      <alignment horizontal="center"/>
    </xf>
    <xf numFmtId="0" fontId="24" fillId="0" borderId="2" xfId="0" applyFont="1" applyFill="1" applyBorder="1" applyAlignment="1">
      <alignment horizontal="center"/>
    </xf>
    <xf numFmtId="0" fontId="137" fillId="5" borderId="0" xfId="0" applyFont="1" applyFill="1" applyAlignment="1">
      <alignment horizontal="left" wrapText="1"/>
    </xf>
    <xf numFmtId="169" fontId="24" fillId="0" borderId="6" xfId="0" applyNumberFormat="1" applyFont="1" applyFill="1" applyBorder="1" applyAlignment="1">
      <alignment horizontal="center"/>
    </xf>
    <xf numFmtId="169" fontId="24" fillId="0" borderId="35" xfId="0" applyNumberFormat="1" applyFont="1" applyFill="1" applyBorder="1" applyAlignment="1">
      <alignment horizontal="center"/>
    </xf>
    <xf numFmtId="169" fontId="15" fillId="0" borderId="2" xfId="0" applyNumberFormat="1" applyFont="1" applyFill="1" applyBorder="1" applyAlignment="1">
      <alignment horizontal="center"/>
    </xf>
    <xf numFmtId="0" fontId="15" fillId="0" borderId="2" xfId="0" applyFont="1" applyFill="1" applyBorder="1" applyAlignment="1">
      <alignment horizontal="center"/>
    </xf>
    <xf numFmtId="0" fontId="24" fillId="0" borderId="3" xfId="0" applyFont="1" applyFill="1" applyBorder="1" applyAlignment="1">
      <alignment horizontal="center"/>
    </xf>
    <xf numFmtId="0" fontId="24" fillId="0" borderId="0" xfId="0" applyFont="1" applyFill="1" applyBorder="1" applyAlignment="1">
      <alignment horizontal="center"/>
    </xf>
    <xf numFmtId="0" fontId="24" fillId="0" borderId="4" xfId="0" applyFont="1" applyFill="1" applyBorder="1" applyAlignment="1">
      <alignment horizontal="center"/>
    </xf>
    <xf numFmtId="0" fontId="24" fillId="0" borderId="3" xfId="0" applyFont="1" applyFill="1" applyBorder="1" applyAlignment="1">
      <alignment horizontal="center" wrapText="1"/>
    </xf>
    <xf numFmtId="0" fontId="24" fillId="0" borderId="39" xfId="0" applyFont="1" applyFill="1" applyBorder="1" applyAlignment="1">
      <alignment horizontal="center" wrapText="1"/>
    </xf>
    <xf numFmtId="0" fontId="24" fillId="0" borderId="6" xfId="0" applyFont="1" applyFill="1" applyBorder="1" applyAlignment="1">
      <alignment horizontal="left"/>
    </xf>
    <xf numFmtId="0" fontId="24" fillId="0" borderId="40" xfId="0" applyFont="1" applyFill="1" applyBorder="1" applyAlignment="1">
      <alignment horizontal="left"/>
    </xf>
    <xf numFmtId="0" fontId="24" fillId="0" borderId="35" xfId="0" applyFont="1" applyFill="1" applyBorder="1" applyAlignment="1">
      <alignment horizontal="left"/>
    </xf>
    <xf numFmtId="169" fontId="15" fillId="0" borderId="35" xfId="0" applyNumberFormat="1" applyFont="1" applyFill="1" applyBorder="1" applyAlignment="1">
      <alignment horizontal="center"/>
    </xf>
    <xf numFmtId="0" fontId="15" fillId="0" borderId="0" xfId="0" applyFont="1" applyFill="1" applyAlignment="1">
      <alignment horizontal="center"/>
    </xf>
    <xf numFmtId="0" fontId="0" fillId="0" borderId="0" xfId="0" applyFill="1" applyAlignment="1">
      <alignment horizontal="center"/>
    </xf>
    <xf numFmtId="0" fontId="24" fillId="0" borderId="0" xfId="0" applyFont="1" applyFill="1" applyBorder="1" applyAlignment="1">
      <alignment horizontal="center" wrapText="1"/>
    </xf>
    <xf numFmtId="0" fontId="37" fillId="0" borderId="5" xfId="0" applyFont="1" applyFill="1" applyBorder="1" applyAlignment="1" applyProtection="1">
      <alignment horizontal="center"/>
    </xf>
    <xf numFmtId="0" fontId="105" fillId="0" borderId="108" xfId="0" applyFont="1" applyFill="1" applyBorder="1" applyAlignment="1" applyProtection="1">
      <alignment horizontal="center"/>
    </xf>
    <xf numFmtId="0" fontId="105" fillId="0" borderId="109" xfId="0" applyFont="1" applyFill="1" applyBorder="1" applyAlignment="1" applyProtection="1">
      <alignment horizontal="center"/>
    </xf>
    <xf numFmtId="0" fontId="105" fillId="0" borderId="110" xfId="0" applyFont="1" applyFill="1" applyBorder="1" applyAlignment="1" applyProtection="1">
      <alignment horizontal="center"/>
    </xf>
    <xf numFmtId="49" fontId="24" fillId="0" borderId="39" xfId="0" applyNumberFormat="1" applyFont="1" applyFill="1" applyBorder="1" applyAlignment="1">
      <alignment horizontal="center"/>
    </xf>
    <xf numFmtId="49" fontId="24" fillId="0" borderId="33" xfId="0" applyNumberFormat="1" applyFont="1" applyFill="1" applyBorder="1" applyAlignment="1">
      <alignment horizontal="center"/>
    </xf>
    <xf numFmtId="0" fontId="24" fillId="0" borderId="0" xfId="0" applyFont="1" applyFill="1" applyAlignment="1">
      <alignment horizontal="center"/>
    </xf>
    <xf numFmtId="14" fontId="24" fillId="0" borderId="2" xfId="0" applyNumberFormat="1" applyFont="1" applyFill="1" applyBorder="1" applyAlignment="1">
      <alignment horizontal="center"/>
    </xf>
    <xf numFmtId="0" fontId="36" fillId="0" borderId="0" xfId="0" applyFont="1" applyFill="1" applyAlignment="1">
      <alignment horizontal="center"/>
    </xf>
    <xf numFmtId="0" fontId="15" fillId="0" borderId="0" xfId="0" applyFont="1" applyFill="1" applyAlignment="1">
      <alignment horizontal="center" wrapText="1"/>
    </xf>
    <xf numFmtId="0" fontId="24" fillId="0" borderId="5" xfId="0" applyFont="1" applyFill="1" applyBorder="1" applyAlignment="1">
      <alignment horizontal="center" wrapText="1"/>
    </xf>
    <xf numFmtId="0" fontId="24" fillId="0" borderId="4" xfId="0" applyFont="1" applyFill="1" applyBorder="1" applyAlignment="1">
      <alignment horizontal="center" wrapText="1"/>
    </xf>
    <xf numFmtId="0" fontId="24" fillId="0" borderId="33" xfId="0" applyFont="1" applyFill="1" applyBorder="1" applyAlignment="1">
      <alignment horizontal="center" wrapText="1"/>
    </xf>
    <xf numFmtId="0" fontId="24" fillId="0" borderId="6" xfId="0" applyNumberFormat="1" applyFont="1" applyFill="1" applyBorder="1" applyAlignment="1">
      <alignment horizontal="left"/>
    </xf>
    <xf numFmtId="0" fontId="24" fillId="0" borderId="40" xfId="0" applyNumberFormat="1" applyFont="1" applyFill="1" applyBorder="1" applyAlignment="1">
      <alignment horizontal="left"/>
    </xf>
    <xf numFmtId="0" fontId="24" fillId="0" borderId="35" xfId="0" applyNumberFormat="1" applyFont="1" applyFill="1" applyBorder="1" applyAlignment="1">
      <alignment horizontal="left"/>
    </xf>
    <xf numFmtId="165" fontId="24" fillId="0" borderId="6" xfId="0" applyNumberFormat="1" applyFont="1" applyFill="1" applyBorder="1" applyAlignment="1">
      <alignment horizontal="center"/>
    </xf>
    <xf numFmtId="165" fontId="24" fillId="0" borderId="35" xfId="0" applyNumberFormat="1" applyFont="1" applyFill="1" applyBorder="1" applyAlignment="1">
      <alignment horizontal="center"/>
    </xf>
    <xf numFmtId="165" fontId="15" fillId="0" borderId="2" xfId="0" applyNumberFormat="1" applyFont="1" applyFill="1" applyBorder="1" applyAlignment="1">
      <alignment horizontal="center"/>
    </xf>
    <xf numFmtId="1" fontId="15" fillId="0" borderId="2" xfId="0" applyNumberFormat="1" applyFont="1" applyFill="1" applyBorder="1" applyAlignment="1">
      <alignment horizontal="center"/>
    </xf>
    <xf numFmtId="0" fontId="24" fillId="0" borderId="3" xfId="0" quotePrefix="1" applyFont="1" applyFill="1" applyBorder="1" applyAlignment="1">
      <alignment horizontal="center"/>
    </xf>
    <xf numFmtId="0" fontId="24" fillId="0" borderId="0" xfId="0" quotePrefix="1" applyFont="1" applyFill="1" applyBorder="1" applyAlignment="1">
      <alignment horizontal="center"/>
    </xf>
    <xf numFmtId="0" fontId="24" fillId="0" borderId="4" xfId="0" quotePrefix="1" applyFont="1" applyFill="1" applyBorder="1" applyAlignment="1">
      <alignment horizontal="center"/>
    </xf>
    <xf numFmtId="0" fontId="15" fillId="0" borderId="3" xfId="0" quotePrefix="1" applyFont="1" applyFill="1" applyBorder="1" applyAlignment="1">
      <alignment horizontal="center"/>
    </xf>
    <xf numFmtId="0" fontId="15" fillId="0" borderId="0" xfId="0" quotePrefix="1" applyFont="1" applyFill="1" applyBorder="1" applyAlignment="1">
      <alignment horizontal="center"/>
    </xf>
    <xf numFmtId="0" fontId="15" fillId="0" borderId="4" xfId="0" quotePrefix="1" applyFont="1" applyFill="1" applyBorder="1" applyAlignment="1">
      <alignment horizontal="center"/>
    </xf>
    <xf numFmtId="0" fontId="0" fillId="0" borderId="2" xfId="0" applyFill="1" applyBorder="1" applyAlignment="1">
      <alignment horizontal="center"/>
    </xf>
    <xf numFmtId="0" fontId="20" fillId="2" borderId="40" xfId="0" applyFont="1" applyFill="1" applyBorder="1" applyAlignment="1" applyProtection="1">
      <alignment horizontal="center"/>
      <protection locked="0"/>
    </xf>
    <xf numFmtId="0" fontId="14" fillId="0" borderId="82" xfId="0" applyFont="1" applyFill="1" applyBorder="1" applyAlignment="1">
      <alignment horizontal="left" wrapText="1"/>
    </xf>
    <xf numFmtId="0" fontId="14" fillId="0" borderId="90" xfId="0" applyFont="1" applyFill="1" applyBorder="1" applyAlignment="1">
      <alignment horizontal="left" wrapText="1"/>
    </xf>
    <xf numFmtId="0" fontId="39" fillId="0" borderId="17" xfId="0" applyFont="1" applyFill="1" applyBorder="1" applyAlignment="1" applyProtection="1">
      <alignment horizontal="center"/>
    </xf>
    <xf numFmtId="0" fontId="39" fillId="0" borderId="0" xfId="0" applyFont="1" applyFill="1" applyBorder="1" applyAlignment="1" applyProtection="1">
      <alignment horizontal="center"/>
    </xf>
    <xf numFmtId="0" fontId="15" fillId="5" borderId="0" xfId="0" applyFont="1" applyFill="1" applyBorder="1" applyAlignment="1">
      <alignment horizontal="center"/>
    </xf>
    <xf numFmtId="0" fontId="15" fillId="5" borderId="0" xfId="0" applyFont="1" applyFill="1" applyAlignment="1">
      <alignment horizontal="center"/>
    </xf>
    <xf numFmtId="0" fontId="15" fillId="5" borderId="18" xfId="0" applyFont="1" applyFill="1" applyBorder="1" applyAlignment="1">
      <alignment horizontal="center"/>
    </xf>
    <xf numFmtId="0" fontId="15" fillId="5" borderId="16" xfId="0" applyFont="1" applyFill="1" applyBorder="1" applyAlignment="1">
      <alignment horizontal="center"/>
    </xf>
    <xf numFmtId="0" fontId="15" fillId="0" borderId="90" xfId="0" applyFont="1" applyFill="1" applyBorder="1" applyAlignment="1">
      <alignment horizontal="center"/>
    </xf>
    <xf numFmtId="0" fontId="7" fillId="0" borderId="0" xfId="0" applyFont="1" applyFill="1" applyBorder="1" applyAlignment="1">
      <alignment horizontal="left" wrapText="1"/>
    </xf>
    <xf numFmtId="0" fontId="15" fillId="0" borderId="3" xfId="0" applyFont="1" applyFill="1" applyBorder="1" applyAlignment="1">
      <alignment horizontal="center"/>
    </xf>
    <xf numFmtId="0" fontId="15" fillId="0" borderId="4" xfId="0" applyFont="1" applyFill="1" applyBorder="1" applyAlignment="1">
      <alignment horizontal="center"/>
    </xf>
    <xf numFmtId="181" fontId="15" fillId="0" borderId="3" xfId="0" applyNumberFormat="1" applyFont="1" applyFill="1" applyBorder="1" applyAlignment="1">
      <alignment horizontal="center"/>
    </xf>
    <xf numFmtId="181" fontId="15" fillId="0" borderId="4" xfId="0" applyNumberFormat="1" applyFont="1" applyFill="1" applyBorder="1" applyAlignment="1">
      <alignment horizontal="center"/>
    </xf>
    <xf numFmtId="0" fontId="2" fillId="0" borderId="0" xfId="0" applyFont="1" applyBorder="1" applyAlignment="1">
      <alignment horizontal="center" wrapText="1"/>
    </xf>
    <xf numFmtId="0" fontId="2" fillId="0" borderId="5" xfId="0" applyFont="1" applyBorder="1" applyAlignment="1">
      <alignment horizontal="center" wrapText="1"/>
    </xf>
    <xf numFmtId="0" fontId="2" fillId="0" borderId="0" xfId="0" applyFont="1" applyFill="1" applyBorder="1" applyAlignment="1">
      <alignment horizontal="center" wrapText="1"/>
    </xf>
    <xf numFmtId="0" fontId="0" fillId="0" borderId="5" xfId="0" applyFont="1" applyFill="1" applyBorder="1" applyAlignment="1">
      <alignment horizontal="center" wrapText="1"/>
    </xf>
    <xf numFmtId="0" fontId="2" fillId="0" borderId="0" xfId="0" applyFont="1" applyBorder="1" applyAlignment="1">
      <alignment horizontal="center"/>
    </xf>
    <xf numFmtId="0" fontId="2" fillId="0" borderId="0" xfId="0" applyFont="1" applyAlignment="1">
      <alignment horizontal="left" vertical="center" wrapText="1"/>
    </xf>
    <xf numFmtId="0" fontId="0" fillId="0" borderId="0" xfId="0" applyAlignment="1">
      <alignment horizontal="left" vertical="center" wrapText="1"/>
    </xf>
    <xf numFmtId="0" fontId="9" fillId="0" borderId="17" xfId="0" applyFont="1" applyBorder="1" applyAlignment="1" applyProtection="1">
      <alignment horizontal="center"/>
    </xf>
    <xf numFmtId="0" fontId="0" fillId="0" borderId="0" xfId="0" applyAlignment="1">
      <alignment horizontal="center"/>
    </xf>
    <xf numFmtId="0" fontId="2" fillId="0" borderId="0" xfId="0" applyFont="1" applyAlignment="1">
      <alignment horizontal="center"/>
    </xf>
    <xf numFmtId="0" fontId="0" fillId="0" borderId="5" xfId="0" applyBorder="1" applyAlignment="1">
      <alignment horizontal="center"/>
    </xf>
    <xf numFmtId="181" fontId="0" fillId="0" borderId="0" xfId="0" applyNumberFormat="1" applyAlignment="1">
      <alignment horizontal="center"/>
    </xf>
    <xf numFmtId="181" fontId="0" fillId="0" borderId="0" xfId="0" applyNumberFormat="1" applyBorder="1" applyAlignment="1">
      <alignment horizontal="center"/>
    </xf>
    <xf numFmtId="182" fontId="0" fillId="0" borderId="0" xfId="0" applyNumberFormat="1" applyBorder="1" applyAlignment="1">
      <alignment horizontal="center"/>
    </xf>
    <xf numFmtId="182" fontId="0" fillId="0" borderId="0" xfId="0" applyNumberFormat="1" applyAlignment="1">
      <alignment horizontal="center"/>
    </xf>
    <xf numFmtId="179" fontId="34" fillId="0" borderId="0" xfId="0" applyNumberFormat="1" applyFont="1" applyBorder="1" applyAlignment="1">
      <alignment horizontal="center"/>
    </xf>
    <xf numFmtId="0" fontId="5" fillId="5" borderId="101" xfId="0" applyFont="1" applyFill="1" applyBorder="1" applyAlignment="1">
      <alignment horizontal="center"/>
    </xf>
    <xf numFmtId="0" fontId="5" fillId="5" borderId="102" xfId="0" applyFont="1" applyFill="1" applyBorder="1" applyAlignment="1">
      <alignment horizontal="center"/>
    </xf>
    <xf numFmtId="1" fontId="5" fillId="5" borderId="97" xfId="0" applyNumberFormat="1" applyFont="1" applyFill="1" applyBorder="1" applyAlignment="1">
      <alignment horizontal="center"/>
    </xf>
    <xf numFmtId="1" fontId="5" fillId="5" borderId="98" xfId="0" applyNumberFormat="1" applyFont="1" applyFill="1" applyBorder="1" applyAlignment="1">
      <alignment horizontal="center"/>
    </xf>
    <xf numFmtId="0" fontId="5" fillId="5" borderId="100" xfId="0" applyFont="1" applyFill="1" applyBorder="1" applyAlignment="1">
      <alignment horizontal="center" wrapText="1"/>
    </xf>
    <xf numFmtId="0" fontId="5" fillId="5" borderId="45" xfId="0" applyFont="1" applyFill="1" applyBorder="1" applyAlignment="1">
      <alignment horizontal="center" wrapText="1"/>
    </xf>
    <xf numFmtId="0" fontId="15" fillId="0" borderId="0" xfId="0" applyFont="1" applyBorder="1" applyAlignment="1">
      <alignment horizontal="center"/>
    </xf>
    <xf numFmtId="0" fontId="15" fillId="0" borderId="5" xfId="0" applyFont="1" applyBorder="1" applyAlignment="1">
      <alignment horizontal="center" wrapText="1"/>
    </xf>
    <xf numFmtId="0" fontId="5" fillId="5" borderId="99" xfId="0" applyFont="1" applyFill="1" applyBorder="1" applyAlignment="1">
      <alignment horizontal="center"/>
    </xf>
    <xf numFmtId="0" fontId="5" fillId="5" borderId="42" xfId="0" applyFont="1" applyFill="1" applyBorder="1" applyAlignment="1">
      <alignment horizontal="center"/>
    </xf>
    <xf numFmtId="0" fontId="77" fillId="0" borderId="0" xfId="0" applyFont="1" applyAlignment="1">
      <alignment horizontal="left" vertical="center"/>
    </xf>
    <xf numFmtId="0" fontId="9" fillId="0" borderId="17" xfId="0" applyFont="1" applyBorder="1" applyAlignment="1">
      <alignment horizontal="center"/>
    </xf>
    <xf numFmtId="0" fontId="15" fillId="0" borderId="1" xfId="0" applyFont="1" applyFill="1" applyBorder="1" applyAlignment="1">
      <alignment horizontal="center"/>
    </xf>
    <xf numFmtId="0" fontId="16" fillId="0" borderId="0" xfId="0" applyFont="1" applyFill="1" applyBorder="1" applyAlignment="1">
      <alignment horizontal="right"/>
    </xf>
    <xf numFmtId="204" fontId="21" fillId="0" borderId="0" xfId="7" applyNumberFormat="1" applyFont="1" applyFill="1" applyBorder="1" applyAlignment="1">
      <alignment horizontal="right"/>
    </xf>
    <xf numFmtId="179" fontId="0" fillId="0" borderId="3" xfId="0" applyNumberFormat="1" applyBorder="1" applyAlignment="1">
      <alignment horizontal="center"/>
    </xf>
    <xf numFmtId="179" fontId="0" fillId="0" borderId="4" xfId="0" applyNumberFormat="1" applyBorder="1" applyAlignment="1">
      <alignment horizontal="center"/>
    </xf>
    <xf numFmtId="199" fontId="0" fillId="0" borderId="3" xfId="0" applyNumberFormat="1" applyBorder="1" applyAlignment="1">
      <alignment horizontal="center"/>
    </xf>
    <xf numFmtId="199" fontId="0" fillId="0" borderId="4" xfId="0" applyNumberFormat="1" applyBorder="1" applyAlignment="1">
      <alignment horizontal="center"/>
    </xf>
    <xf numFmtId="199" fontId="0" fillId="0" borderId="39" xfId="0" applyNumberFormat="1" applyBorder="1" applyAlignment="1">
      <alignment horizontal="center"/>
    </xf>
    <xf numFmtId="199" fontId="0" fillId="0" borderId="33" xfId="0" applyNumberFormat="1" applyBorder="1" applyAlignment="1">
      <alignment horizontal="center"/>
    </xf>
    <xf numFmtId="199" fontId="0" fillId="0" borderId="36" xfId="0" applyNumberFormat="1" applyBorder="1" applyAlignment="1">
      <alignment horizontal="center"/>
    </xf>
    <xf numFmtId="0" fontId="31" fillId="0" borderId="39" xfId="0" applyFont="1" applyBorder="1" applyAlignment="1">
      <alignment horizontal="center" wrapText="1"/>
    </xf>
    <xf numFmtId="0" fontId="31" fillId="0" borderId="33" xfId="0" applyFont="1" applyBorder="1" applyAlignment="1">
      <alignment horizontal="center" wrapText="1"/>
    </xf>
    <xf numFmtId="179" fontId="0" fillId="0" borderId="39" xfId="0" applyNumberFormat="1" applyBorder="1" applyAlignment="1">
      <alignment horizontal="center"/>
    </xf>
    <xf numFmtId="179" fontId="0" fillId="0" borderId="33" xfId="0" applyNumberFormat="1" applyBorder="1" applyAlignment="1">
      <alignment horizontal="center"/>
    </xf>
    <xf numFmtId="0" fontId="0" fillId="0" borderId="6" xfId="0" applyBorder="1" applyAlignment="1">
      <alignment horizontal="center"/>
    </xf>
    <xf numFmtId="0" fontId="0" fillId="0" borderId="35" xfId="0" applyBorder="1" applyAlignment="1">
      <alignment horizontal="center"/>
    </xf>
    <xf numFmtId="179" fontId="0" fillId="0" borderId="38" xfId="0" applyNumberFormat="1" applyBorder="1" applyAlignment="1">
      <alignment horizontal="center"/>
    </xf>
    <xf numFmtId="179" fontId="0" fillId="0" borderId="37" xfId="0" applyNumberFormat="1" applyBorder="1" applyAlignment="1">
      <alignment horizontal="center"/>
    </xf>
    <xf numFmtId="0" fontId="31" fillId="0" borderId="3" xfId="0" applyFont="1" applyBorder="1" applyAlignment="1">
      <alignment horizontal="center"/>
    </xf>
    <xf numFmtId="0" fontId="31" fillId="0" borderId="4" xfId="0" applyFont="1" applyBorder="1" applyAlignment="1">
      <alignment horizontal="center"/>
    </xf>
    <xf numFmtId="0" fontId="31" fillId="0" borderId="38" xfId="0" applyFont="1" applyBorder="1" applyAlignment="1">
      <alignment horizontal="center"/>
    </xf>
    <xf numFmtId="0" fontId="31" fillId="0" borderId="37" xfId="0" applyFont="1" applyBorder="1" applyAlignment="1">
      <alignment horizontal="center"/>
    </xf>
    <xf numFmtId="0" fontId="0" fillId="0" borderId="40" xfId="0" applyBorder="1" applyAlignment="1">
      <alignment horizontal="center"/>
    </xf>
    <xf numFmtId="179" fontId="7" fillId="0" borderId="36" xfId="0" applyNumberFormat="1" applyFont="1" applyBorder="1" applyAlignment="1">
      <alignment horizontal="center"/>
    </xf>
    <xf numFmtId="179" fontId="7" fillId="0" borderId="37" xfId="0" applyNumberFormat="1" applyFont="1" applyBorder="1" applyAlignment="1">
      <alignment horizontal="center"/>
    </xf>
    <xf numFmtId="0" fontId="15" fillId="0" borderId="1" xfId="0" applyFont="1" applyBorder="1" applyAlignment="1">
      <alignment horizontal="center"/>
    </xf>
    <xf numFmtId="179" fontId="7" fillId="0" borderId="38" xfId="0" applyNumberFormat="1" applyFont="1" applyBorder="1" applyAlignment="1">
      <alignment horizontal="center"/>
    </xf>
    <xf numFmtId="0" fontId="0" fillId="0" borderId="6" xfId="0" applyBorder="1" applyAlignment="1">
      <alignment horizontal="center" wrapText="1"/>
    </xf>
    <xf numFmtId="0" fontId="0" fillId="0" borderId="35" xfId="0" applyBorder="1" applyAlignment="1">
      <alignment horizontal="center" wrapText="1"/>
    </xf>
    <xf numFmtId="0" fontId="15" fillId="0" borderId="2" xfId="0" applyFont="1" applyBorder="1" applyAlignment="1">
      <alignment horizontal="center"/>
    </xf>
    <xf numFmtId="0" fontId="13" fillId="0" borderId="16" xfId="0" applyFont="1" applyBorder="1" applyAlignment="1">
      <alignment horizontal="center" wrapText="1"/>
    </xf>
    <xf numFmtId="0" fontId="34" fillId="0" borderId="16" xfId="0" applyFont="1" applyBorder="1" applyAlignment="1">
      <alignment horizontal="center" wrapText="1"/>
    </xf>
    <xf numFmtId="0" fontId="34" fillId="0" borderId="0" xfId="0" applyFont="1" applyBorder="1" applyAlignment="1">
      <alignment horizontal="center" wrapText="1"/>
    </xf>
    <xf numFmtId="0" fontId="28" fillId="0" borderId="6" xfId="0" applyFont="1" applyFill="1" applyBorder="1" applyAlignment="1">
      <alignment horizontal="center" wrapText="1"/>
    </xf>
    <xf numFmtId="0" fontId="28" fillId="0" borderId="40" xfId="0" applyFont="1" applyFill="1" applyBorder="1" applyAlignment="1">
      <alignment horizontal="center" wrapText="1"/>
    </xf>
    <xf numFmtId="0" fontId="0" fillId="0" borderId="2" xfId="0" applyFill="1" applyBorder="1" applyAlignment="1">
      <alignment horizontal="center" wrapText="1"/>
    </xf>
    <xf numFmtId="0" fontId="28" fillId="0" borderId="35" xfId="0" applyFont="1" applyFill="1" applyBorder="1" applyAlignment="1">
      <alignment horizontal="center" wrapText="1"/>
    </xf>
    <xf numFmtId="179" fontId="2" fillId="0" borderId="2" xfId="0" applyNumberFormat="1" applyFont="1" applyBorder="1" applyAlignment="1">
      <alignment horizontal="center"/>
    </xf>
    <xf numFmtId="0" fontId="112" fillId="0" borderId="0" xfId="0" applyFont="1" applyFill="1" applyAlignment="1">
      <alignment horizontal="center" wrapText="1"/>
    </xf>
    <xf numFmtId="0" fontId="7" fillId="0" borderId="0" xfId="0" applyFont="1" applyAlignment="1">
      <alignment horizontal="center" wrapText="1"/>
    </xf>
    <xf numFmtId="0" fontId="0" fillId="0" borderId="0" xfId="0" applyAlignment="1">
      <alignment horizontal="center" wrapText="1"/>
    </xf>
    <xf numFmtId="0" fontId="2" fillId="0" borderId="39" xfId="0" applyFont="1" applyBorder="1" applyAlignment="1">
      <alignment horizontal="center" wrapText="1"/>
    </xf>
    <xf numFmtId="0" fontId="0" fillId="0" borderId="33" xfId="0" applyBorder="1" applyAlignment="1">
      <alignment horizontal="center" wrapText="1"/>
    </xf>
    <xf numFmtId="0" fontId="2" fillId="0" borderId="39" xfId="0" applyFont="1" applyBorder="1" applyAlignment="1">
      <alignment horizontal="center"/>
    </xf>
    <xf numFmtId="0" fontId="0" fillId="0" borderId="33" xfId="0" applyBorder="1" applyAlignment="1">
      <alignment horizontal="center"/>
    </xf>
    <xf numFmtId="0" fontId="2" fillId="0" borderId="2" xfId="0" applyFont="1" applyBorder="1" applyAlignment="1">
      <alignment horizontal="center"/>
    </xf>
    <xf numFmtId="0" fontId="0" fillId="0" borderId="2" xfId="0" applyBorder="1" applyAlignment="1">
      <alignment horizontal="center"/>
    </xf>
    <xf numFmtId="179" fontId="0" fillId="0" borderId="11" xfId="0" applyNumberFormat="1" applyFill="1" applyBorder="1" applyAlignment="1">
      <alignment horizontal="center"/>
    </xf>
    <xf numFmtId="0" fontId="7" fillId="0" borderId="0" xfId="0" applyFont="1" applyBorder="1" applyAlignment="1">
      <alignment horizontal="left" wrapText="1"/>
    </xf>
    <xf numFmtId="0" fontId="31" fillId="0" borderId="2" xfId="0" applyFont="1" applyFill="1" applyBorder="1" applyAlignment="1">
      <alignment horizontal="center"/>
    </xf>
    <xf numFmtId="179" fontId="0" fillId="0" borderId="74" xfId="0" applyNumberFormat="1" applyFill="1" applyBorder="1" applyAlignment="1">
      <alignment horizontal="center"/>
    </xf>
    <xf numFmtId="0" fontId="9" fillId="0" borderId="5" xfId="0" applyFont="1" applyFill="1" applyBorder="1" applyAlignment="1">
      <alignment horizontal="center"/>
    </xf>
    <xf numFmtId="0" fontId="15" fillId="5" borderId="0" xfId="0" applyFont="1" applyFill="1" applyBorder="1" applyAlignment="1">
      <alignment horizontal="left"/>
    </xf>
    <xf numFmtId="0" fontId="8" fillId="5" borderId="3" xfId="0" applyFont="1" applyFill="1" applyBorder="1" applyAlignment="1">
      <alignment horizontal="center"/>
    </xf>
    <xf numFmtId="0" fontId="8" fillId="5" borderId="0" xfId="0" applyFont="1" applyFill="1" applyBorder="1" applyAlignment="1">
      <alignment horizontal="center"/>
    </xf>
    <xf numFmtId="0" fontId="8" fillId="5" borderId="4" xfId="0" applyFont="1" applyFill="1" applyBorder="1" applyAlignment="1">
      <alignment horizontal="center"/>
    </xf>
    <xf numFmtId="0" fontId="31" fillId="0" borderId="0" xfId="0" applyFont="1" applyBorder="1" applyAlignment="1">
      <alignment horizontal="right"/>
    </xf>
    <xf numFmtId="0" fontId="5" fillId="5" borderId="5" xfId="0" applyFont="1" applyFill="1" applyBorder="1" applyAlignment="1">
      <alignment horizontal="center"/>
    </xf>
    <xf numFmtId="0" fontId="94" fillId="5" borderId="36" xfId="0" applyFont="1" applyFill="1" applyBorder="1" applyAlignment="1">
      <alignment horizontal="center"/>
    </xf>
    <xf numFmtId="0" fontId="94" fillId="5" borderId="37" xfId="0" applyFont="1" applyFill="1" applyBorder="1" applyAlignment="1">
      <alignment horizontal="center"/>
    </xf>
    <xf numFmtId="0" fontId="5" fillId="5" borderId="0" xfId="0" applyFont="1" applyFill="1" applyBorder="1" applyAlignment="1">
      <alignment horizontal="center"/>
    </xf>
    <xf numFmtId="0" fontId="5" fillId="5" borderId="4" xfId="0" applyFont="1" applyFill="1" applyBorder="1" applyAlignment="1">
      <alignment horizontal="center"/>
    </xf>
    <xf numFmtId="0" fontId="5" fillId="5" borderId="2" xfId="0" applyFont="1" applyFill="1" applyBorder="1" applyAlignment="1">
      <alignment horizontal="center"/>
    </xf>
    <xf numFmtId="0" fontId="7" fillId="0" borderId="0" xfId="0" applyFont="1" applyBorder="1" applyAlignment="1">
      <alignment horizontal="right"/>
    </xf>
    <xf numFmtId="0" fontId="34" fillId="0" borderId="0" xfId="0" applyFont="1" applyBorder="1" applyAlignment="1">
      <alignment horizontal="center"/>
    </xf>
    <xf numFmtId="0" fontId="0" fillId="0" borderId="0" xfId="0" applyBorder="1" applyAlignment="1">
      <alignment horizontal="center"/>
    </xf>
    <xf numFmtId="0" fontId="15" fillId="0" borderId="6" xfId="0" applyFont="1" applyBorder="1" applyAlignment="1">
      <alignment horizontal="center"/>
    </xf>
    <xf numFmtId="0" fontId="15" fillId="0" borderId="35" xfId="0" applyFont="1" applyBorder="1" applyAlignment="1">
      <alignment horizontal="center"/>
    </xf>
    <xf numFmtId="0" fontId="0" fillId="5" borderId="0" xfId="0" applyFill="1" applyAlignment="1" applyProtection="1">
      <alignment horizontal="center"/>
    </xf>
    <xf numFmtId="0" fontId="104" fillId="2" borderId="0" xfId="0" applyFont="1" applyFill="1" applyAlignment="1" applyProtection="1">
      <alignment horizontal="left"/>
      <protection locked="0"/>
    </xf>
    <xf numFmtId="0" fontId="21" fillId="0" borderId="0" xfId="0" applyFont="1" applyBorder="1" applyAlignment="1">
      <alignment horizontal="left" wrapText="1"/>
    </xf>
    <xf numFmtId="0" fontId="2" fillId="0" borderId="11" xfId="0" applyFont="1" applyBorder="1" applyAlignment="1">
      <alignment horizontal="center" vertical="center" wrapText="1"/>
    </xf>
    <xf numFmtId="0" fontId="2" fillId="0" borderId="34" xfId="0" applyFont="1" applyBorder="1" applyAlignment="1">
      <alignment horizontal="center" vertical="center" wrapText="1"/>
    </xf>
    <xf numFmtId="208" fontId="0" fillId="0" borderId="6" xfId="0" applyNumberFormat="1" applyBorder="1" applyAlignment="1">
      <alignment horizontal="center" vertical="center" wrapText="1"/>
    </xf>
    <xf numFmtId="208" fontId="0" fillId="0" borderId="35" xfId="0" applyNumberFormat="1" applyBorder="1" applyAlignment="1">
      <alignment horizontal="center" vertical="center" wrapText="1"/>
    </xf>
    <xf numFmtId="0" fontId="15" fillId="0" borderId="2" xfId="0" applyFont="1" applyBorder="1" applyAlignment="1">
      <alignment horizontal="center" vertical="center"/>
    </xf>
    <xf numFmtId="0" fontId="141" fillId="0" borderId="2" xfId="0" applyFont="1" applyBorder="1" applyAlignment="1">
      <alignment horizontal="center"/>
    </xf>
    <xf numFmtId="0" fontId="15" fillId="0" borderId="6" xfId="0" applyFont="1" applyBorder="1" applyAlignment="1">
      <alignment horizontal="center" vertical="center"/>
    </xf>
    <xf numFmtId="0" fontId="15" fillId="0" borderId="35" xfId="0" applyFont="1" applyBorder="1" applyAlignment="1">
      <alignment horizontal="center" vertical="center"/>
    </xf>
    <xf numFmtId="0" fontId="2" fillId="0" borderId="6" xfId="0" applyFont="1" applyBorder="1" applyAlignment="1">
      <alignment horizontal="center"/>
    </xf>
    <xf numFmtId="0" fontId="2" fillId="0" borderId="35" xfId="0" applyFont="1" applyBorder="1" applyAlignment="1">
      <alignment horizontal="center"/>
    </xf>
    <xf numFmtId="0" fontId="2" fillId="0" borderId="2" xfId="0" applyFont="1" applyBorder="1" applyAlignment="1">
      <alignment horizontal="center" vertical="center" wrapText="1"/>
    </xf>
    <xf numFmtId="0" fontId="0" fillId="0" borderId="2" xfId="0" applyBorder="1" applyAlignment="1">
      <alignment horizontal="center" vertical="center" wrapText="1"/>
    </xf>
    <xf numFmtId="0" fontId="2" fillId="0" borderId="4" xfId="0" applyFont="1" applyBorder="1" applyAlignment="1">
      <alignment horizontal="center" vertical="center" wrapText="1"/>
    </xf>
    <xf numFmtId="0" fontId="2" fillId="0" borderId="33" xfId="0" applyFont="1" applyBorder="1" applyAlignment="1">
      <alignment horizontal="center" vertical="center" wrapText="1"/>
    </xf>
    <xf numFmtId="164" fontId="2" fillId="0" borderId="6" xfId="0" applyNumberFormat="1" applyFont="1" applyBorder="1" applyAlignment="1">
      <alignment horizontal="center"/>
    </xf>
    <xf numFmtId="164" fontId="2" fillId="0" borderId="35" xfId="0" applyNumberFormat="1" applyFont="1" applyBorder="1" applyAlignment="1">
      <alignment horizontal="center"/>
    </xf>
    <xf numFmtId="164" fontId="0" fillId="0" borderId="6" xfId="0" applyNumberFormat="1" applyBorder="1" applyAlignment="1">
      <alignment horizontal="center"/>
    </xf>
    <xf numFmtId="164" fontId="0" fillId="0" borderId="35" xfId="0" applyNumberFormat="1" applyBorder="1" applyAlignment="1">
      <alignment horizontal="center"/>
    </xf>
    <xf numFmtId="0" fontId="7" fillId="0" borderId="2" xfId="0" applyFont="1" applyBorder="1" applyAlignment="1">
      <alignment horizontal="center" wrapText="1"/>
    </xf>
    <xf numFmtId="0" fontId="15" fillId="0" borderId="2" xfId="0" applyFont="1" applyBorder="1" applyAlignment="1">
      <alignment horizontal="center" vertical="center" wrapText="1"/>
    </xf>
    <xf numFmtId="0" fontId="7" fillId="0" borderId="2" xfId="0" applyFont="1" applyBorder="1" applyAlignment="1">
      <alignment horizontal="center"/>
    </xf>
    <xf numFmtId="0" fontId="28" fillId="0" borderId="38" xfId="0" applyFont="1" applyBorder="1" applyAlignment="1">
      <alignment horizontal="center" vertical="center" wrapText="1"/>
    </xf>
    <xf numFmtId="0" fontId="28" fillId="0" borderId="37" xfId="0" applyFont="1" applyBorder="1" applyAlignment="1">
      <alignment horizontal="center" vertical="center" wrapText="1"/>
    </xf>
    <xf numFmtId="0" fontId="28" fillId="0" borderId="39" xfId="0" applyFont="1" applyBorder="1" applyAlignment="1">
      <alignment horizontal="center" vertical="center" wrapText="1"/>
    </xf>
    <xf numFmtId="0" fontId="28" fillId="0" borderId="33" xfId="0" applyFont="1" applyBorder="1" applyAlignment="1">
      <alignment horizontal="center" vertical="center" wrapText="1"/>
    </xf>
    <xf numFmtId="2" fontId="15" fillId="0" borderId="6" xfId="0" applyNumberFormat="1" applyFont="1" applyBorder="1" applyAlignment="1">
      <alignment horizontal="center"/>
    </xf>
    <xf numFmtId="2" fontId="15" fillId="0" borderId="40" xfId="0" applyNumberFormat="1" applyFont="1" applyBorder="1" applyAlignment="1">
      <alignment horizontal="center"/>
    </xf>
    <xf numFmtId="2" fontId="15" fillId="0" borderId="35" xfId="0" applyNumberFormat="1" applyFont="1" applyBorder="1" applyAlignment="1">
      <alignment horizontal="center"/>
    </xf>
    <xf numFmtId="0" fontId="31" fillId="0" borderId="2" xfId="0" applyFont="1" applyBorder="1" applyAlignment="1">
      <alignment horizontal="center"/>
    </xf>
    <xf numFmtId="0" fontId="28" fillId="0" borderId="0" xfId="0" applyFont="1" applyBorder="1" applyAlignment="1">
      <alignment horizontal="center" vertical="center" wrapText="1"/>
    </xf>
    <xf numFmtId="2" fontId="15" fillId="0" borderId="0" xfId="0" applyNumberFormat="1" applyFont="1" applyBorder="1" applyAlignment="1">
      <alignment horizontal="center"/>
    </xf>
    <xf numFmtId="0" fontId="0" fillId="0" borderId="0" xfId="0" applyBorder="1" applyAlignment="1">
      <alignment horizontal="center" wrapText="1"/>
    </xf>
    <xf numFmtId="0" fontId="2" fillId="0" borderId="0" xfId="0" applyFont="1" applyBorder="1" applyAlignment="1">
      <alignment horizontal="center" vertical="center" wrapText="1"/>
    </xf>
    <xf numFmtId="0" fontId="13" fillId="0" borderId="0" xfId="0" applyFont="1" applyBorder="1" applyAlignment="1">
      <alignment horizontal="center" vertical="center" wrapText="1"/>
    </xf>
    <xf numFmtId="0" fontId="13" fillId="0" borderId="0" xfId="0" applyFont="1" applyBorder="1" applyAlignment="1">
      <alignment horizontal="center" wrapText="1"/>
    </xf>
    <xf numFmtId="0" fontId="34" fillId="5" borderId="2" xfId="0" applyFont="1" applyFill="1" applyBorder="1" applyAlignment="1" applyProtection="1">
      <alignment horizontal="center"/>
    </xf>
    <xf numFmtId="0" fontId="12" fillId="0" borderId="18" xfId="0" applyFont="1" applyFill="1" applyBorder="1" applyAlignment="1" applyProtection="1">
      <alignment horizontal="center" wrapText="1"/>
    </xf>
    <xf numFmtId="0" fontId="12" fillId="0" borderId="16" xfId="0" applyFont="1" applyFill="1" applyBorder="1" applyAlignment="1" applyProtection="1">
      <alignment horizontal="center" wrapText="1"/>
    </xf>
    <xf numFmtId="0" fontId="12" fillId="0" borderId="58" xfId="0" applyFont="1" applyFill="1" applyBorder="1" applyAlignment="1" applyProtection="1">
      <alignment horizontal="center" wrapText="1"/>
    </xf>
    <xf numFmtId="0" fontId="12" fillId="0" borderId="10" xfId="0" applyFont="1" applyFill="1" applyBorder="1" applyAlignment="1" applyProtection="1">
      <alignment horizontal="center" wrapText="1"/>
    </xf>
    <xf numFmtId="0" fontId="12" fillId="0" borderId="0" xfId="0" applyFont="1" applyFill="1" applyBorder="1" applyAlignment="1" applyProtection="1">
      <alignment horizontal="center" wrapText="1"/>
    </xf>
    <xf numFmtId="0" fontId="12" fillId="0" borderId="59" xfId="0" applyFont="1" applyFill="1" applyBorder="1" applyAlignment="1" applyProtection="1">
      <alignment horizontal="center" wrapText="1"/>
    </xf>
    <xf numFmtId="0" fontId="12" fillId="0" borderId="13" xfId="0" applyFont="1" applyFill="1" applyBorder="1" applyAlignment="1" applyProtection="1">
      <alignment horizontal="center" wrapText="1"/>
    </xf>
    <xf numFmtId="0" fontId="12" fillId="0" borderId="1" xfId="0" applyFont="1" applyFill="1" applyBorder="1" applyAlignment="1" applyProtection="1">
      <alignment horizontal="center" wrapText="1"/>
    </xf>
    <xf numFmtId="0" fontId="12" fillId="0" borderId="69" xfId="0" applyFont="1" applyFill="1" applyBorder="1" applyAlignment="1" applyProtection="1">
      <alignment horizontal="center" wrapText="1"/>
    </xf>
    <xf numFmtId="0" fontId="0" fillId="0" borderId="5" xfId="0" applyFill="1" applyBorder="1" applyAlignment="1">
      <alignment horizontal="center"/>
    </xf>
    <xf numFmtId="0" fontId="9" fillId="0" borderId="17" xfId="0" applyFont="1" applyFill="1" applyBorder="1" applyAlignment="1">
      <alignment horizontal="center"/>
    </xf>
    <xf numFmtId="0" fontId="120" fillId="8" borderId="2" xfId="0" applyFont="1" applyFill="1" applyBorder="1" applyAlignment="1">
      <alignment horizontal="center" wrapText="1"/>
    </xf>
    <xf numFmtId="0" fontId="13" fillId="0" borderId="74" xfId="0" applyFont="1" applyBorder="1" applyAlignment="1">
      <alignment horizontal="center" wrapText="1"/>
    </xf>
    <xf numFmtId="0" fontId="13" fillId="0" borderId="34" xfId="0" applyFont="1" applyBorder="1" applyAlignment="1">
      <alignment horizontal="center" wrapText="1"/>
    </xf>
    <xf numFmtId="0" fontId="13" fillId="0" borderId="2" xfId="0" applyFont="1" applyBorder="1" applyAlignment="1">
      <alignment horizontal="center" wrapText="1"/>
    </xf>
    <xf numFmtId="0" fontId="15" fillId="0" borderId="3" xfId="0" applyFont="1" applyBorder="1" applyAlignment="1">
      <alignment horizontal="center"/>
    </xf>
    <xf numFmtId="0" fontId="15" fillId="0" borderId="4" xfId="0" applyFont="1" applyBorder="1" applyAlignment="1">
      <alignment horizontal="center"/>
    </xf>
    <xf numFmtId="0" fontId="58" fillId="0" borderId="29" xfId="0" applyFont="1" applyBorder="1" applyAlignment="1">
      <alignment horizontal="center"/>
    </xf>
    <xf numFmtId="0" fontId="15" fillId="0" borderId="89" xfId="0" applyFont="1" applyBorder="1" applyAlignment="1">
      <alignment horizontal="center"/>
    </xf>
    <xf numFmtId="0" fontId="15" fillId="0" borderId="90" xfId="0" applyFont="1" applyBorder="1" applyAlignment="1">
      <alignment horizontal="center"/>
    </xf>
    <xf numFmtId="0" fontId="15" fillId="0" borderId="60" xfId="0" applyFont="1" applyBorder="1" applyAlignment="1">
      <alignment horizontal="center"/>
    </xf>
    <xf numFmtId="0" fontId="15" fillId="0" borderId="18" xfId="0" applyFont="1" applyBorder="1" applyAlignment="1">
      <alignment horizontal="center"/>
    </xf>
    <xf numFmtId="0" fontId="15" fillId="0" borderId="16" xfId="0" applyFont="1" applyBorder="1" applyAlignment="1">
      <alignment horizontal="center"/>
    </xf>
    <xf numFmtId="0" fontId="15" fillId="0" borderId="58" xfId="0" applyFont="1" applyBorder="1" applyAlignment="1">
      <alignment horizontal="center"/>
    </xf>
  </cellXfs>
  <cellStyles count="9">
    <cellStyle name="Comma" xfId="1" builtinId="3"/>
    <cellStyle name="Currency" xfId="2" builtinId="4"/>
    <cellStyle name="Hyperlink" xfId="3" builtinId="8"/>
    <cellStyle name="Input" xfId="8" builtinId="20"/>
    <cellStyle name="Normal" xfId="0" builtinId="0"/>
    <cellStyle name="Normal_calccovr" xfId="4" xr:uid="{00000000-0005-0000-0000-000005000000}"/>
    <cellStyle name="Normal_PROPERTIES" xfId="5" xr:uid="{00000000-0005-0000-0000-000006000000}"/>
    <cellStyle name="Normal_PSbeam shear" xfId="6" xr:uid="{00000000-0005-0000-0000-000007000000}"/>
    <cellStyle name="Percent" xfId="7" builtinId="5"/>
  </cellStyles>
  <dxfs count="88">
    <dxf>
      <font>
        <condense val="0"/>
        <extend val="0"/>
        <color indexed="41"/>
      </font>
    </dxf>
    <dxf>
      <font>
        <condense val="0"/>
        <extend val="0"/>
        <color indexed="9"/>
      </font>
    </dxf>
    <dxf>
      <font>
        <b/>
        <i val="0"/>
        <condense val="0"/>
        <extend val="0"/>
        <color indexed="17"/>
      </font>
    </dxf>
    <dxf>
      <font>
        <strike/>
        <condense val="0"/>
        <extend val="0"/>
      </font>
    </dxf>
    <dxf>
      <font>
        <strike/>
        <condense val="0"/>
        <extend val="0"/>
      </font>
    </dxf>
    <dxf>
      <font>
        <strike/>
        <condense val="0"/>
        <extend val="0"/>
      </font>
    </dxf>
    <dxf>
      <font>
        <b/>
        <i/>
        <condense val="0"/>
        <extend val="0"/>
        <color indexed="10"/>
      </font>
    </dxf>
    <dxf>
      <font>
        <b/>
        <i val="0"/>
        <condense val="0"/>
        <extend val="0"/>
        <color indexed="17"/>
      </font>
    </dxf>
    <dxf>
      <font>
        <b/>
        <i val="0"/>
        <condense val="0"/>
        <extend val="0"/>
        <color indexed="10"/>
      </font>
      <fill>
        <patternFill>
          <bgColor indexed="13"/>
        </patternFill>
      </fill>
    </dxf>
    <dxf>
      <font>
        <condense val="0"/>
        <extend val="0"/>
        <color indexed="17"/>
      </font>
    </dxf>
    <dxf>
      <font>
        <b/>
        <i val="0"/>
        <condense val="0"/>
        <extend val="0"/>
        <color indexed="10"/>
      </font>
    </dxf>
    <dxf>
      <font>
        <condense val="0"/>
        <extend val="0"/>
        <color indexed="17"/>
      </font>
    </dxf>
    <dxf>
      <font>
        <b/>
        <i val="0"/>
        <condense val="0"/>
        <extend val="0"/>
        <color indexed="17"/>
      </font>
    </dxf>
    <dxf>
      <font>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0"/>
      </font>
    </dxf>
    <dxf>
      <font>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0"/>
      </font>
    </dxf>
    <dxf>
      <font>
        <b/>
        <i val="0"/>
        <condense val="0"/>
        <extend val="0"/>
        <color indexed="10"/>
      </font>
    </dxf>
    <dxf>
      <font>
        <condense val="0"/>
        <extend val="0"/>
        <color indexed="9"/>
      </font>
    </dxf>
    <dxf>
      <font>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border>
        <left/>
        <right/>
        <top/>
        <bottom/>
      </border>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ill>
        <patternFill patternType="none">
          <bgColor indexed="65"/>
        </patternFill>
      </fill>
      <border>
        <left/>
        <right/>
        <top/>
        <bottom/>
      </border>
    </dxf>
    <dxf>
      <fill>
        <patternFill patternType="none">
          <bgColor indexed="65"/>
        </patternFill>
      </fill>
      <border>
        <left/>
        <right/>
        <top/>
        <bottom/>
      </border>
    </dxf>
    <dxf>
      <font>
        <b/>
        <i val="0"/>
        <condense val="0"/>
        <extend val="0"/>
        <color indexed="10"/>
      </font>
      <fill>
        <patternFill>
          <bgColor indexed="13"/>
        </patternFill>
      </fill>
    </dxf>
    <dxf>
      <font>
        <condense val="0"/>
        <extend val="0"/>
      </font>
      <fill>
        <patternFill patternType="none">
          <bgColor indexed="65"/>
        </patternFill>
      </fill>
      <border>
        <left/>
        <right/>
        <top/>
        <bottom/>
      </border>
    </dxf>
    <dxf>
      <font>
        <b/>
        <i val="0"/>
        <condense val="0"/>
        <extend val="0"/>
        <color indexed="10"/>
      </font>
      <fill>
        <patternFill>
          <bgColor indexed="13"/>
        </patternFill>
      </fill>
    </dxf>
    <dxf>
      <font>
        <condense val="0"/>
        <extend val="0"/>
      </font>
      <fill>
        <patternFill patternType="none">
          <bgColor indexed="65"/>
        </patternFill>
      </fill>
      <border>
        <left/>
        <right/>
        <top/>
        <bottom/>
      </border>
    </dxf>
    <dxf>
      <border>
        <left/>
        <right/>
        <top/>
        <bottom/>
      </border>
    </dxf>
    <dxf>
      <font>
        <b/>
        <i val="0"/>
        <condense val="0"/>
        <extend val="0"/>
        <color indexed="10"/>
      </font>
    </dxf>
    <dxf>
      <font>
        <condense val="0"/>
        <extend val="0"/>
        <color indexed="13"/>
      </font>
      <fill>
        <patternFill>
          <bgColor indexed="10"/>
        </patternFill>
      </fill>
    </dxf>
    <dxf>
      <fill>
        <patternFill patternType="none">
          <bgColor indexed="65"/>
        </patternFill>
      </fill>
      <border>
        <left/>
        <right/>
        <top/>
        <bottom/>
      </border>
    </dxf>
    <dxf>
      <font>
        <b val="0"/>
        <i val="0"/>
        <condense val="0"/>
        <extend val="0"/>
      </font>
      <fill>
        <patternFill patternType="none">
          <bgColor indexed="65"/>
        </patternFill>
      </fill>
      <border>
        <left/>
        <right/>
        <top/>
        <bottom/>
      </border>
    </dxf>
    <dxf>
      <font>
        <b val="0"/>
        <i val="0"/>
        <condense val="0"/>
        <extend val="0"/>
        <color auto="1"/>
      </font>
      <fill>
        <patternFill patternType="none">
          <bgColor indexed="65"/>
        </patternFill>
      </fill>
      <border>
        <left/>
        <right/>
        <top/>
        <bottom/>
      </border>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7"/>
      </font>
    </dxf>
    <dxf>
      <font>
        <b/>
        <i val="0"/>
        <condense val="0"/>
        <extend val="0"/>
        <color indexed="10"/>
      </font>
    </dxf>
    <dxf>
      <font>
        <condense val="0"/>
        <extend val="0"/>
        <color indexed="8"/>
      </font>
    </dxf>
    <dxf>
      <font>
        <b/>
        <i val="0"/>
        <condense val="0"/>
        <extend val="0"/>
        <color indexed="10"/>
      </font>
      <fill>
        <patternFill patternType="none">
          <bgColor indexed="65"/>
        </patternFill>
      </fill>
    </dxf>
    <dxf>
      <font>
        <b/>
        <i val="0"/>
        <condense val="0"/>
        <extend val="0"/>
        <color indexed="10"/>
      </font>
      <fill>
        <patternFill>
          <bgColor indexed="13"/>
        </patternFill>
      </fill>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3"/>
        </patternFill>
      </fill>
    </dxf>
    <dxf>
      <font>
        <condense val="0"/>
        <extend val="0"/>
        <color auto="1"/>
      </font>
      <fill>
        <patternFill patternType="none">
          <bgColor indexed="65"/>
        </patternFill>
      </fill>
      <border>
        <left/>
        <right/>
      </border>
    </dxf>
    <dxf>
      <font>
        <condense val="0"/>
        <extend val="0"/>
        <color indexed="9"/>
      </font>
    </dxf>
    <dxf>
      <font>
        <b/>
        <i val="0"/>
        <condense val="0"/>
        <extend val="0"/>
        <color indexed="10"/>
      </font>
    </dxf>
    <dxf>
      <font>
        <b/>
        <i val="0"/>
        <condense val="0"/>
        <extend val="0"/>
        <color indexed="8"/>
      </font>
      <fill>
        <patternFill>
          <bgColor indexed="13"/>
        </patternFill>
      </fill>
    </dxf>
    <dxf>
      <font>
        <b/>
        <i val="0"/>
        <condense val="0"/>
        <extend val="0"/>
        <color indexed="8"/>
      </font>
      <fill>
        <patternFill>
          <bgColor indexed="13"/>
        </patternFill>
      </fill>
    </dxf>
    <dxf>
      <font>
        <b/>
        <i val="0"/>
        <condense val="0"/>
        <extend val="0"/>
        <color indexed="10"/>
      </font>
      <fill>
        <patternFill>
          <bgColor indexed="13"/>
        </patternFill>
      </fill>
    </dxf>
    <dxf>
      <fill>
        <patternFill patternType="none">
          <bgColor indexed="65"/>
        </patternFill>
      </fill>
    </dxf>
    <dxf>
      <font>
        <b/>
        <i val="0"/>
        <condense val="0"/>
        <extend val="0"/>
        <color indexed="8"/>
      </font>
      <fill>
        <patternFill>
          <bgColor indexed="13"/>
        </patternFill>
      </fill>
    </dxf>
    <dxf>
      <font>
        <condense val="0"/>
        <extend val="0"/>
        <color auto="1"/>
      </font>
      <fill>
        <patternFill patternType="none">
          <bgColor indexed="65"/>
        </patternFill>
      </fill>
      <border>
        <left/>
        <right/>
        <top/>
        <bottom/>
      </border>
    </dxf>
    <dxf>
      <font>
        <b/>
        <i val="0"/>
        <condense val="0"/>
        <extend val="0"/>
        <color indexed="17"/>
      </font>
    </dxf>
    <dxf>
      <font>
        <b/>
        <i val="0"/>
        <condense val="0"/>
        <extend val="0"/>
        <color indexed="10"/>
      </font>
      <fill>
        <patternFill patternType="none">
          <bgColor indexed="65"/>
        </patternFill>
      </fill>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ill>
        <patternFill patternType="none">
          <bgColor indexed="65"/>
        </patternFill>
      </fill>
      <border>
        <left/>
        <right/>
        <top/>
        <bottom/>
      </border>
    </dxf>
  </dxfs>
  <tableStyles count="0" defaultTableStyle="TableStyleMedium9" defaultPivotStyle="PivotStyleLight16"/>
  <colors>
    <mruColors>
      <color rgb="FF8000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worksheet" Target="worksheets/sheet24.xml"/><Relationship Id="rId3" Type="http://schemas.openxmlformats.org/officeDocument/2006/relationships/worksheet" Target="worksheets/sheet3.xml"/><Relationship Id="rId21" Type="http://schemas.openxmlformats.org/officeDocument/2006/relationships/worksheet" Target="worksheets/sheet19.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3.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hartsheet" Target="chartsheets/sheet2.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openxmlformats.org/officeDocument/2006/relationships/worksheet" Target="worksheets/sheet22.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1.xml"/><Relationship Id="rId28" Type="http://schemas.openxmlformats.org/officeDocument/2006/relationships/worksheet" Target="worksheets/sheet26.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theme" Target="theme/theme1.xml"/><Relationship Id="rId8" Type="http://schemas.openxmlformats.org/officeDocument/2006/relationships/worksheet" Target="worksheets/sheet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819890493031591E-2"/>
          <c:y val="3.5450516986706058E-2"/>
          <c:w val="0.9402177477412148"/>
          <c:h val="0.89069423929099634"/>
        </c:manualLayout>
      </c:layout>
      <c:scatterChart>
        <c:scatterStyle val="lineMarker"/>
        <c:varyColors val="0"/>
        <c:ser>
          <c:idx val="0"/>
          <c:order val="0"/>
          <c:tx>
            <c:strRef>
              <c:f>'CAP18 Out(1)'!$E$10</c:f>
              <c:strCache>
                <c:ptCount val="1"/>
                <c:pt idx="0">
                  <c:v>MDL</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'CAP18 Out(1)'!$D$12:$D$500</c:f>
            </c:numRef>
          </c:xVal>
          <c:yVal>
            <c:numRef>
              <c:f>'CAP18 Out(1)'!$E$12:$E$500</c:f>
              <c:numCache>
                <c:formatCode>0</c:formatCode>
                <c:ptCount val="4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0-63B7-4A66-BED5-950F55D8526C}"/>
            </c:ext>
          </c:extLst>
        </c:ser>
        <c:ser>
          <c:idx val="1"/>
          <c:order val="1"/>
          <c:tx>
            <c:strRef>
              <c:f>'CAP18 Out(1)'!$F$10</c:f>
              <c:strCache>
                <c:ptCount val="1"/>
                <c:pt idx="0">
                  <c:v>VDL</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'CAP18 Out(1)'!$D$12:$D$500</c:f>
            </c:numRef>
          </c:xVal>
          <c:yVal>
            <c:numRef>
              <c:f>'CAP18 Out(1)'!$F$12:$F$500</c:f>
              <c:numCache>
                <c:formatCode>0</c:formatCode>
                <c:ptCount val="4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1-63B7-4A66-BED5-950F55D8526C}"/>
            </c:ext>
          </c:extLst>
        </c:ser>
        <c:ser>
          <c:idx val="2"/>
          <c:order val="2"/>
          <c:tx>
            <c:strRef>
              <c:f>'CAP18 Out(1)'!$G$10</c:f>
              <c:strCache>
                <c:ptCount val="1"/>
                <c:pt idx="0">
                  <c:v>+Mws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'CAP18 Out(1)'!$D$12:$D$500</c:f>
            </c:numRef>
          </c:xVal>
          <c:yVal>
            <c:numRef>
              <c:f>'CAP18 Out(1)'!$G$12:$G$500</c:f>
              <c:numCache>
                <c:formatCode>0</c:formatCode>
                <c:ptCount val="4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2-63B7-4A66-BED5-950F55D8526C}"/>
            </c:ext>
          </c:extLst>
        </c:ser>
        <c:ser>
          <c:idx val="3"/>
          <c:order val="3"/>
          <c:tx>
            <c:strRef>
              <c:f>'CAP18 Out(1)'!$H$10</c:f>
              <c:strCache>
                <c:ptCount val="1"/>
                <c:pt idx="0">
                  <c:v>-Mws</c:v>
                </c:pt>
              </c:strCache>
            </c:strRef>
          </c:tx>
          <c:spPr>
            <a:ln w="12700">
              <a:solidFill>
                <a:srgbClr val="00FFFF"/>
              </a:solidFill>
              <a:prstDash val="solid"/>
            </a:ln>
          </c:spPr>
          <c:marker>
            <c:symbol val="x"/>
            <c:size val="5"/>
            <c:spPr>
              <a:noFill/>
              <a:ln>
                <a:solidFill>
                  <a:srgbClr val="00FFFF"/>
                </a:solidFill>
                <a:prstDash val="solid"/>
              </a:ln>
            </c:spPr>
          </c:marker>
          <c:xVal>
            <c:numRef>
              <c:f>'CAP18 Out(1)'!$D$12:$D$500</c:f>
            </c:numRef>
          </c:xVal>
          <c:yVal>
            <c:numRef>
              <c:f>'CAP18 Out(1)'!$H$12:$H$500</c:f>
              <c:numCache>
                <c:formatCode>0</c:formatCode>
                <c:ptCount val="4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3-63B7-4A66-BED5-950F55D8526C}"/>
            </c:ext>
          </c:extLst>
        </c:ser>
        <c:ser>
          <c:idx val="4"/>
          <c:order val="4"/>
          <c:tx>
            <c:strRef>
              <c:f>'CAP18 Out(1)'!$I$10</c:f>
              <c:strCache>
                <c:ptCount val="1"/>
                <c:pt idx="0">
                  <c:v>+Mu</c:v>
                </c:pt>
              </c:strCache>
            </c:strRef>
          </c:tx>
          <c:spPr>
            <a:ln w="12700">
              <a:solidFill>
                <a:srgbClr val="800080"/>
              </a:solidFill>
              <a:prstDash val="solid"/>
            </a:ln>
          </c:spPr>
          <c:marker>
            <c:symbol val="star"/>
            <c:size val="5"/>
            <c:spPr>
              <a:noFill/>
              <a:ln>
                <a:solidFill>
                  <a:srgbClr val="800080"/>
                </a:solidFill>
                <a:prstDash val="solid"/>
              </a:ln>
            </c:spPr>
          </c:marker>
          <c:xVal>
            <c:numRef>
              <c:f>'CAP18 Out(1)'!$D$12:$D$500</c:f>
            </c:numRef>
          </c:xVal>
          <c:yVal>
            <c:numRef>
              <c:f>'CAP18 Out(1)'!$I$12:$I$500</c:f>
              <c:numCache>
                <c:formatCode>0</c:formatCode>
                <c:ptCount val="4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4-63B7-4A66-BED5-950F55D8526C}"/>
            </c:ext>
          </c:extLst>
        </c:ser>
        <c:ser>
          <c:idx val="5"/>
          <c:order val="5"/>
          <c:tx>
            <c:strRef>
              <c:f>'CAP18 Out(1)'!$J$10</c:f>
              <c:strCache>
                <c:ptCount val="1"/>
                <c:pt idx="0">
                  <c:v>-Mu</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'CAP18 Out(1)'!$D$12:$D$500</c:f>
            </c:numRef>
          </c:xVal>
          <c:yVal>
            <c:numRef>
              <c:f>'CAP18 Out(1)'!$J$12:$J$500</c:f>
              <c:numCache>
                <c:formatCode>0</c:formatCode>
                <c:ptCount val="4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5-63B7-4A66-BED5-950F55D8526C}"/>
            </c:ext>
          </c:extLst>
        </c:ser>
        <c:ser>
          <c:idx val="6"/>
          <c:order val="6"/>
          <c:tx>
            <c:strRef>
              <c:f>'CAP18 Out(1)'!$K$10</c:f>
              <c:strCache>
                <c:ptCount val="1"/>
                <c:pt idx="0">
                  <c:v>+Vu</c:v>
                </c:pt>
              </c:strCache>
            </c:strRef>
          </c:tx>
          <c:spPr>
            <a:ln w="12700">
              <a:solidFill>
                <a:srgbClr val="008080"/>
              </a:solidFill>
              <a:prstDash val="solid"/>
            </a:ln>
          </c:spPr>
          <c:marker>
            <c:symbol val="plus"/>
            <c:size val="5"/>
            <c:spPr>
              <a:noFill/>
              <a:ln>
                <a:solidFill>
                  <a:srgbClr val="008080"/>
                </a:solidFill>
                <a:prstDash val="solid"/>
              </a:ln>
            </c:spPr>
          </c:marker>
          <c:xVal>
            <c:numRef>
              <c:f>'CAP18 Out(1)'!$D$12:$D$500</c:f>
            </c:numRef>
          </c:xVal>
          <c:yVal>
            <c:numRef>
              <c:f>'CAP18 Out(1)'!$K$12:$K$500</c:f>
              <c:numCache>
                <c:formatCode>0</c:formatCode>
                <c:ptCount val="4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6-63B7-4A66-BED5-950F55D8526C}"/>
            </c:ext>
          </c:extLst>
        </c:ser>
        <c:ser>
          <c:idx val="7"/>
          <c:order val="7"/>
          <c:tx>
            <c:strRef>
              <c:f>'CAP18 Out(1)'!$L$10</c:f>
              <c:strCache>
                <c:ptCount val="1"/>
                <c:pt idx="0">
                  <c:v>-Vu</c:v>
                </c:pt>
              </c:strCache>
            </c:strRef>
          </c:tx>
          <c:spPr>
            <a:ln w="12700">
              <a:solidFill>
                <a:srgbClr val="0000FF"/>
              </a:solidFill>
              <a:prstDash val="solid"/>
            </a:ln>
          </c:spPr>
          <c:marker>
            <c:symbol val="dot"/>
            <c:size val="5"/>
            <c:spPr>
              <a:noFill/>
              <a:ln>
                <a:solidFill>
                  <a:srgbClr val="0000FF"/>
                </a:solidFill>
                <a:prstDash val="solid"/>
              </a:ln>
            </c:spPr>
          </c:marker>
          <c:xVal>
            <c:numRef>
              <c:f>'CAP18 Out(1)'!$D$12:$D$500</c:f>
            </c:numRef>
          </c:xVal>
          <c:yVal>
            <c:numRef>
              <c:f>'CAP18 Out(1)'!$L$12:$L$500</c:f>
              <c:numCache>
                <c:formatCode>0</c:formatCode>
                <c:ptCount val="4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7-63B7-4A66-BED5-950F55D8526C}"/>
            </c:ext>
          </c:extLst>
        </c:ser>
        <c:dLbls>
          <c:showLegendKey val="0"/>
          <c:showVal val="0"/>
          <c:showCatName val="0"/>
          <c:showSerName val="0"/>
          <c:showPercent val="0"/>
          <c:showBubbleSize val="0"/>
        </c:dLbls>
        <c:axId val="464386736"/>
        <c:axId val="464386344"/>
      </c:scatterChart>
      <c:valAx>
        <c:axId val="464386736"/>
        <c:scaling>
          <c:orientation val="minMax"/>
          <c:max val="50.5"/>
          <c:min val="0"/>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464386344"/>
        <c:crosses val="autoZero"/>
        <c:crossBetween val="midCat"/>
      </c:valAx>
      <c:valAx>
        <c:axId val="464386344"/>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464386736"/>
        <c:crosses val="autoZero"/>
        <c:crossBetween val="midCat"/>
      </c:valAx>
      <c:spPr>
        <a:solidFill>
          <a:srgbClr val="C0C0C0"/>
        </a:solidFill>
        <a:ln w="12700">
          <a:solidFill>
            <a:srgbClr val="808080"/>
          </a:solidFill>
          <a:prstDash val="solid"/>
        </a:ln>
      </c:spPr>
    </c:plotArea>
    <c:legend>
      <c:legendPos val="r"/>
      <c:layout>
        <c:manualLayout>
          <c:xMode val="edge"/>
          <c:yMode val="edge"/>
          <c:x val="0.89751586819888973"/>
          <c:y val="2.5110782865583457E-2"/>
          <c:w val="6.5217416028293132E-2"/>
          <c:h val="0.28508124076809455"/>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611" r="0.75000000000000611"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0-00B6-4A00-BFDD-DBC741AACD75}"/>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1-00B6-4A00-BFDD-DBC741AACD75}"/>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2-00B6-4A00-BFDD-DBC741AACD75}"/>
            </c:ext>
          </c:extLst>
        </c:ser>
        <c:ser>
          <c:idx val="3"/>
          <c:order val="3"/>
          <c:spPr>
            <a:ln w="12700">
              <a:solidFill>
                <a:srgbClr val="00FFFF"/>
              </a:solidFill>
              <a:prstDash val="solid"/>
            </a:ln>
          </c:spPr>
          <c:marker>
            <c:symbol val="x"/>
            <c:size val="5"/>
            <c:spPr>
              <a:noFill/>
              <a:ln>
                <a:solidFill>
                  <a:srgbClr val="00FF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3-00B6-4A00-BFDD-DBC741AACD75}"/>
            </c:ext>
          </c:extLst>
        </c:ser>
        <c:ser>
          <c:idx val="4"/>
          <c:order val="4"/>
          <c:spPr>
            <a:ln w="12700">
              <a:solidFill>
                <a:srgbClr val="800080"/>
              </a:solidFill>
              <a:prstDash val="solid"/>
            </a:ln>
          </c:spPr>
          <c:marker>
            <c:symbol val="star"/>
            <c:size val="5"/>
            <c:spPr>
              <a:noFill/>
              <a:ln>
                <a:solidFill>
                  <a:srgbClr val="800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4-00B6-4A00-BFDD-DBC741AACD75}"/>
            </c:ext>
          </c:extLst>
        </c:ser>
        <c:ser>
          <c:idx val="5"/>
          <c:order val="5"/>
          <c:spPr>
            <a:ln w="12700">
              <a:solidFill>
                <a:srgbClr val="800000"/>
              </a:solidFill>
              <a:prstDash val="solid"/>
            </a:ln>
          </c:spPr>
          <c:marker>
            <c:symbol val="circle"/>
            <c:size val="5"/>
            <c:spPr>
              <a:solidFill>
                <a:srgbClr val="800000"/>
              </a:solidFill>
              <a:ln>
                <a:solidFill>
                  <a:srgbClr val="80000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5-00B6-4A00-BFDD-DBC741AACD75}"/>
            </c:ext>
          </c:extLst>
        </c:ser>
        <c:ser>
          <c:idx val="6"/>
          <c:order val="6"/>
          <c:spPr>
            <a:ln w="12700">
              <a:solidFill>
                <a:srgbClr val="008080"/>
              </a:solidFill>
              <a:prstDash val="solid"/>
            </a:ln>
          </c:spPr>
          <c:marker>
            <c:symbol val="plus"/>
            <c:size val="5"/>
            <c:spPr>
              <a:noFill/>
              <a:ln>
                <a:solidFill>
                  <a:srgbClr val="008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6-00B6-4A00-BFDD-DBC741AACD75}"/>
            </c:ext>
          </c:extLst>
        </c:ser>
        <c:ser>
          <c:idx val="7"/>
          <c:order val="7"/>
          <c:spPr>
            <a:ln w="12700">
              <a:solidFill>
                <a:srgbClr val="0000FF"/>
              </a:solidFill>
              <a:prstDash val="solid"/>
            </a:ln>
          </c:spPr>
          <c:marker>
            <c:symbol val="dot"/>
            <c:size val="5"/>
            <c:spPr>
              <a:noFill/>
              <a:ln>
                <a:solidFill>
                  <a:srgbClr val="0000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7-00B6-4A00-BFDD-DBC741AACD75}"/>
            </c:ext>
          </c:extLst>
        </c:ser>
        <c:dLbls>
          <c:showLegendKey val="0"/>
          <c:showVal val="0"/>
          <c:showCatName val="0"/>
          <c:showSerName val="0"/>
          <c:showPercent val="0"/>
          <c:showBubbleSize val="0"/>
        </c:dLbls>
        <c:axId val="464383208"/>
        <c:axId val="464385168"/>
      </c:scatterChart>
      <c:valAx>
        <c:axId val="464383208"/>
        <c:scaling>
          <c:orientation val="minMax"/>
          <c:max val="69.5"/>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64385168"/>
        <c:crosses val="autoZero"/>
        <c:crossBetween val="midCat"/>
      </c:valAx>
      <c:valAx>
        <c:axId val="46438516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643832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611" r="0.750000000000006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200" b="1" i="0" u="none" strike="noStrike" baseline="0">
                <a:solidFill>
                  <a:srgbClr val="000000"/>
                </a:solidFill>
                <a:latin typeface="Arial"/>
                <a:ea typeface="Arial"/>
                <a:cs typeface="Arial"/>
              </a:defRPr>
            </a:pPr>
            <a:r>
              <a:rPr lang="en-US"/>
              <a:t>Moment Diagram</a:t>
            </a:r>
          </a:p>
        </c:rich>
      </c:tx>
      <c:layout>
        <c:manualLayout>
          <c:xMode val="edge"/>
          <c:yMode val="edge"/>
          <c:x val="0.42887249736565863"/>
          <c:y val="2.0437956204379933E-2"/>
        </c:manualLayout>
      </c:layout>
      <c:overlay val="0"/>
      <c:spPr>
        <a:noFill/>
        <a:ln w="25400">
          <a:noFill/>
        </a:ln>
      </c:spPr>
    </c:title>
    <c:autoTitleDeleted val="0"/>
    <c:plotArea>
      <c:layout>
        <c:manualLayout>
          <c:layoutTarget val="inner"/>
          <c:xMode val="edge"/>
          <c:yMode val="edge"/>
          <c:x val="6.3224446786090627E-2"/>
          <c:y val="7.153284671532846E-2"/>
          <c:w val="0.90305584826132768"/>
          <c:h val="0.83357664233576645"/>
        </c:manualLayout>
      </c:layout>
      <c:scatterChart>
        <c:scatterStyle val="lineMarker"/>
        <c:varyColors val="0"/>
        <c:ser>
          <c:idx val="4"/>
          <c:order val="0"/>
          <c:tx>
            <c:strRef>
              <c:f>'CAP18 Out(1)'!$I$10</c:f>
              <c:strCache>
                <c:ptCount val="1"/>
                <c:pt idx="0">
                  <c:v>+Mu</c:v>
                </c:pt>
              </c:strCache>
            </c:strRef>
          </c:tx>
          <c:spPr>
            <a:ln w="25400">
              <a:solidFill>
                <a:srgbClr val="000000"/>
              </a:solidFill>
              <a:prstDash val="solid"/>
            </a:ln>
          </c:spPr>
          <c:marker>
            <c:symbol val="none"/>
          </c:marker>
          <c:xVal>
            <c:numRef>
              <c:f>'CAP18 Out(1)'!$D$12:$D$3000</c:f>
            </c:numRef>
          </c:xVal>
          <c:yVal>
            <c:numRef>
              <c:f>'CAP18 Out(1)'!$I$12:$I$3000</c:f>
              <c:numCache>
                <c:formatCode>0</c:formatCode>
                <c:ptCount val="29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0-CB10-44A7-8FA4-F8E3712FC17F}"/>
            </c:ext>
          </c:extLst>
        </c:ser>
        <c:ser>
          <c:idx val="5"/>
          <c:order val="1"/>
          <c:tx>
            <c:strRef>
              <c:f>'CAP18 Out(1)'!$J$10</c:f>
              <c:strCache>
                <c:ptCount val="1"/>
                <c:pt idx="0">
                  <c:v>-Mu</c:v>
                </c:pt>
              </c:strCache>
            </c:strRef>
          </c:tx>
          <c:spPr>
            <a:ln w="25400">
              <a:solidFill>
                <a:srgbClr val="000000"/>
              </a:solidFill>
              <a:prstDash val="lgDash"/>
            </a:ln>
          </c:spPr>
          <c:marker>
            <c:symbol val="none"/>
          </c:marker>
          <c:xVal>
            <c:numRef>
              <c:f>'CAP18 Out(1)'!$D$12:$D$3000</c:f>
            </c:numRef>
          </c:xVal>
          <c:yVal>
            <c:numRef>
              <c:f>'CAP18 Out(1)'!$J$12:$J$3000</c:f>
              <c:numCache>
                <c:formatCode>0</c:formatCode>
                <c:ptCount val="29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1-CB10-44A7-8FA4-F8E3712FC17F}"/>
            </c:ext>
          </c:extLst>
        </c:ser>
        <c:ser>
          <c:idx val="2"/>
          <c:order val="2"/>
          <c:tx>
            <c:strRef>
              <c:f>'CAP18 Out(1)'!$G$10</c:f>
              <c:strCache>
                <c:ptCount val="1"/>
                <c:pt idx="0">
                  <c:v>+Mws</c:v>
                </c:pt>
              </c:strCache>
            </c:strRef>
          </c:tx>
          <c:spPr>
            <a:ln w="12700">
              <a:solidFill>
                <a:srgbClr val="000080"/>
              </a:solidFill>
              <a:prstDash val="solid"/>
            </a:ln>
          </c:spPr>
          <c:marker>
            <c:symbol val="none"/>
          </c:marker>
          <c:xVal>
            <c:numRef>
              <c:f>'CAP18 Out(1)'!$D$12:$D$3000</c:f>
            </c:numRef>
          </c:xVal>
          <c:yVal>
            <c:numRef>
              <c:f>'CAP18 Out(1)'!$G$12:$G$3000</c:f>
              <c:numCache>
                <c:formatCode>0</c:formatCode>
                <c:ptCount val="29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2-CB10-44A7-8FA4-F8E3712FC17F}"/>
            </c:ext>
          </c:extLst>
        </c:ser>
        <c:ser>
          <c:idx val="3"/>
          <c:order val="3"/>
          <c:tx>
            <c:strRef>
              <c:f>'CAP18 Out(1)'!$H$10</c:f>
              <c:strCache>
                <c:ptCount val="1"/>
                <c:pt idx="0">
                  <c:v>-Mws</c:v>
                </c:pt>
              </c:strCache>
            </c:strRef>
          </c:tx>
          <c:spPr>
            <a:ln w="12700">
              <a:solidFill>
                <a:srgbClr val="000080"/>
              </a:solidFill>
              <a:prstDash val="lgDash"/>
            </a:ln>
          </c:spPr>
          <c:marker>
            <c:symbol val="none"/>
          </c:marker>
          <c:xVal>
            <c:numRef>
              <c:f>'CAP18 Out(1)'!$D$12:$D$3000</c:f>
            </c:numRef>
          </c:xVal>
          <c:yVal>
            <c:numRef>
              <c:f>'CAP18 Out(1)'!$H$12:$H$3000</c:f>
              <c:numCache>
                <c:formatCode>0</c:formatCode>
                <c:ptCount val="29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3-CB10-44A7-8FA4-F8E3712FC17F}"/>
            </c:ext>
          </c:extLst>
        </c:ser>
        <c:ser>
          <c:idx val="0"/>
          <c:order val="4"/>
          <c:tx>
            <c:strRef>
              <c:f>'CAP18 Out(1)'!$E$10</c:f>
              <c:strCache>
                <c:ptCount val="1"/>
                <c:pt idx="0">
                  <c:v>MDL</c:v>
                </c:pt>
              </c:strCache>
            </c:strRef>
          </c:tx>
          <c:spPr>
            <a:ln w="25400">
              <a:solidFill>
                <a:srgbClr val="FF0000"/>
              </a:solidFill>
              <a:prstDash val="sysDash"/>
            </a:ln>
          </c:spPr>
          <c:marker>
            <c:symbol val="none"/>
          </c:marker>
          <c:xVal>
            <c:numRef>
              <c:f>'CAP18 Out(1)'!$D$12:$D$3000</c:f>
            </c:numRef>
          </c:xVal>
          <c:yVal>
            <c:numRef>
              <c:f>'CAP18 Out(1)'!$E$12:$E$3000</c:f>
              <c:numCache>
                <c:formatCode>0</c:formatCode>
                <c:ptCount val="29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4-CB10-44A7-8FA4-F8E3712FC17F}"/>
            </c:ext>
          </c:extLst>
        </c:ser>
        <c:ser>
          <c:idx val="7"/>
          <c:order val="5"/>
          <c:tx>
            <c:v>Columns</c:v>
          </c:tx>
          <c:spPr>
            <a:ln w="3175">
              <a:solidFill>
                <a:srgbClr val="000000"/>
              </a:solidFill>
              <a:prstDash val="solid"/>
            </a:ln>
          </c:spPr>
          <c:marker>
            <c:symbol val="none"/>
          </c:marker>
          <c:xVal>
            <c:numRef>
              <c:f>'Shear(M)'!$C$55:$C$3000</c:f>
            </c:numRef>
          </c:xVal>
          <c:yVal>
            <c:numRef>
              <c:f>'Shear(M)'!$BP$55:$BP$3000</c:f>
              <c:numCache>
                <c:formatCode>General</c:formatCode>
                <c:ptCount val="29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CB10-44A7-8FA4-F8E3712FC17F}"/>
            </c:ext>
          </c:extLst>
        </c:ser>
        <c:dLbls>
          <c:showLegendKey val="0"/>
          <c:showVal val="0"/>
          <c:showCatName val="0"/>
          <c:showSerName val="0"/>
          <c:showPercent val="0"/>
          <c:showBubbleSize val="0"/>
        </c:dLbls>
        <c:axId val="464383600"/>
        <c:axId val="464388304"/>
      </c:scatterChart>
      <c:valAx>
        <c:axId val="464383600"/>
        <c:scaling>
          <c:orientation val="minMax"/>
          <c:min val="0"/>
        </c:scaling>
        <c:delete val="0"/>
        <c:axPos val="b"/>
        <c:title>
          <c:tx>
            <c:rich>
              <a:bodyPr/>
              <a:lstStyle/>
              <a:p>
                <a:pPr>
                  <a:defRPr sz="1050" b="1" i="0" u="none" strike="noStrike" baseline="0">
                    <a:solidFill>
                      <a:srgbClr val="000000"/>
                    </a:solidFill>
                    <a:latin typeface="Arial"/>
                    <a:ea typeface="Arial"/>
                    <a:cs typeface="Arial"/>
                  </a:defRPr>
                </a:pPr>
                <a:r>
                  <a:rPr lang="en-US"/>
                  <a:t>Distance Along Cap (ft)</a:t>
                </a:r>
              </a:p>
            </c:rich>
          </c:tx>
          <c:layout>
            <c:manualLayout>
              <c:xMode val="edge"/>
              <c:yMode val="edge"/>
              <c:x val="0.42781875658588436"/>
              <c:y val="0.951824817518259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464388304"/>
        <c:crosses val="autoZero"/>
        <c:crossBetween val="midCat"/>
      </c:valAx>
      <c:valAx>
        <c:axId val="464388304"/>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en-US"/>
                  <a:t>Moment (K-ft)</a:t>
                </a:r>
              </a:p>
            </c:rich>
          </c:tx>
          <c:layout>
            <c:manualLayout>
              <c:xMode val="edge"/>
              <c:yMode val="edge"/>
              <c:x val="1.2644889357218393E-2"/>
              <c:y val="0.4145985401459854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464383600"/>
        <c:crosses val="autoZero"/>
        <c:crossBetween val="midCat"/>
      </c:valAx>
      <c:spPr>
        <a:noFill/>
        <a:ln w="12700">
          <a:solidFill>
            <a:srgbClr val="808080"/>
          </a:solidFill>
          <a:prstDash val="solid"/>
        </a:ln>
      </c:spPr>
    </c:plotArea>
    <c:legend>
      <c:legendPos val="r"/>
      <c:layout>
        <c:manualLayout>
          <c:xMode val="edge"/>
          <c:yMode val="edge"/>
          <c:x val="0.85353003161222341"/>
          <c:y val="7.5912408759124139E-2"/>
          <c:w val="0.11591148577449947"/>
          <c:h val="0.19416058394160585"/>
        </c:manualLayout>
      </c:layout>
      <c:overlay val="0"/>
      <c:spPr>
        <a:solidFill>
          <a:srgbClr val="FFFFFF"/>
        </a:solidFill>
        <a:ln w="3175">
          <a:solidFill>
            <a:srgbClr val="000000"/>
          </a:solidFill>
          <a:prstDash val="solid"/>
        </a:ln>
      </c:spPr>
      <c:txPr>
        <a:bodyPr/>
        <a:lstStyle/>
        <a:p>
          <a:pPr>
            <a:defRPr sz="9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200" b="1" i="0" u="none" strike="noStrike" baseline="0">
                <a:solidFill>
                  <a:srgbClr val="000000"/>
                </a:solidFill>
                <a:latin typeface="Arial"/>
                <a:ea typeface="Arial"/>
                <a:cs typeface="Arial"/>
              </a:defRPr>
            </a:pPr>
            <a:r>
              <a:rPr lang="en-US"/>
              <a:t>Shear Diagram</a:t>
            </a:r>
          </a:p>
        </c:rich>
      </c:tx>
      <c:layout>
        <c:manualLayout>
          <c:xMode val="edge"/>
          <c:yMode val="edge"/>
          <c:x val="0.43730242360379684"/>
          <c:y val="2.0437956204379933E-2"/>
        </c:manualLayout>
      </c:layout>
      <c:overlay val="0"/>
      <c:spPr>
        <a:noFill/>
        <a:ln w="25400">
          <a:noFill/>
        </a:ln>
      </c:spPr>
    </c:title>
    <c:autoTitleDeleted val="0"/>
    <c:plotArea>
      <c:layout>
        <c:manualLayout>
          <c:layoutTarget val="inner"/>
          <c:xMode val="edge"/>
          <c:yMode val="edge"/>
          <c:x val="6.2170706006322463E-2"/>
          <c:y val="7.153284671532846E-2"/>
          <c:w val="0.91043203371970449"/>
          <c:h val="0.83065693430656962"/>
        </c:manualLayout>
      </c:layout>
      <c:scatterChart>
        <c:scatterStyle val="lineMarker"/>
        <c:varyColors val="0"/>
        <c:ser>
          <c:idx val="0"/>
          <c:order val="0"/>
          <c:tx>
            <c:v>|Vu|</c:v>
          </c:tx>
          <c:spPr>
            <a:ln w="38100">
              <a:solidFill>
                <a:srgbClr val="000080"/>
              </a:solidFill>
              <a:prstDash val="solid"/>
            </a:ln>
          </c:spPr>
          <c:marker>
            <c:symbol val="none"/>
          </c:marker>
          <c:dLbls>
            <c:dLbl>
              <c:idx val="0"/>
              <c:layout>
                <c:manualLayout>
                  <c:x val="-5.8800394945363894E-3"/>
                  <c:y val="-2.9123972642105811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'CAP18 Out(1)'!$D$12:$D$988</c:f>
            </c:numRef>
          </c:xVal>
          <c:yVal>
            <c:numRef>
              <c:f>'CAP18 Out(1)'!$M$12:$M$988</c:f>
              <c:numCache>
                <c:formatCode>0</c:formatCode>
                <c:ptCount val="9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1-F512-4478-A003-518599EF6969}"/>
            </c:ext>
          </c:extLst>
        </c:ser>
        <c:ser>
          <c:idx val="1"/>
          <c:order val="1"/>
          <c:tx>
            <c:strRef>
              <c:f>'Shear(M)'!$BL$52</c:f>
              <c:strCache>
                <c:ptCount val="1"/>
                <c:pt idx="0">
                  <c:v>ΦVn 6''</c:v>
                </c:pt>
              </c:strCache>
            </c:strRef>
          </c:tx>
          <c:spPr>
            <a:ln w="25400">
              <a:solidFill>
                <a:srgbClr val="FF00FF"/>
              </a:solidFill>
              <a:prstDash val="lgDash"/>
            </a:ln>
          </c:spPr>
          <c:marker>
            <c:symbol val="none"/>
          </c:marker>
          <c:dLbls>
            <c:dLbl>
              <c:idx val="0"/>
              <c:layout>
                <c:manualLayout>
                  <c:x val="-6.1133559569543738E-4"/>
                  <c:y val="-1.3065578481521905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'Shear(M)'!$C$55:$C$3000</c:f>
            </c:numRef>
          </c:xVal>
          <c:yVal>
            <c:numRef>
              <c:f>'Shear(M)'!$BL$55:$BL$3000</c:f>
              <c:numCache>
                <c:formatCode>0</c:formatCode>
                <c:ptCount val="29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3-F512-4478-A003-518599EF6969}"/>
            </c:ext>
          </c:extLst>
        </c:ser>
        <c:ser>
          <c:idx val="2"/>
          <c:order val="2"/>
          <c:tx>
            <c:strRef>
              <c:f>'Shear(M)'!$BM$52</c:f>
              <c:strCache>
                <c:ptCount val="1"/>
                <c:pt idx="0">
                  <c:v>ΦVn 12''</c:v>
                </c:pt>
              </c:strCache>
            </c:strRef>
          </c:tx>
          <c:spPr>
            <a:ln w="25400">
              <a:solidFill>
                <a:srgbClr val="FF0000"/>
              </a:solidFill>
              <a:prstDash val="lgDashDot"/>
            </a:ln>
          </c:spPr>
          <c:marker>
            <c:symbol val="none"/>
          </c:marker>
          <c:dLbls>
            <c:dLbl>
              <c:idx val="0"/>
              <c:layout>
                <c:manualLayout>
                  <c:x val="-6.1133559569542925E-4"/>
                  <c:y val="-1.3065578481521905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'Shear(M)'!$C$55:$C$3000</c:f>
            </c:numRef>
          </c:xVal>
          <c:yVal>
            <c:numRef>
              <c:f>'Shear(M)'!$BM$55:$BM$3000</c:f>
              <c:numCache>
                <c:formatCode>0</c:formatCode>
                <c:ptCount val="29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F512-4478-A003-518599EF6969}"/>
            </c:ext>
          </c:extLst>
        </c:ser>
        <c:ser>
          <c:idx val="5"/>
          <c:order val="3"/>
          <c:tx>
            <c:v>Columns</c:v>
          </c:tx>
          <c:spPr>
            <a:ln w="12700">
              <a:solidFill>
                <a:srgbClr val="000000"/>
              </a:solidFill>
              <a:prstDash val="sysDash"/>
            </a:ln>
          </c:spPr>
          <c:marker>
            <c:symbol val="none"/>
          </c:marker>
          <c:xVal>
            <c:numRef>
              <c:f>'Shear(M)'!$C$55:$C$3000</c:f>
            </c:numRef>
          </c:xVal>
          <c:yVal>
            <c:numRef>
              <c:f>'Shear(M)'!$BP$55:$BP$3000</c:f>
              <c:numCache>
                <c:formatCode>General</c:formatCode>
                <c:ptCount val="29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F512-4478-A003-518599EF6969}"/>
            </c:ext>
          </c:extLst>
        </c:ser>
        <c:dLbls>
          <c:showLegendKey val="0"/>
          <c:showVal val="0"/>
          <c:showCatName val="0"/>
          <c:showSerName val="0"/>
          <c:showPercent val="0"/>
          <c:showBubbleSize val="0"/>
        </c:dLbls>
        <c:axId val="544922936"/>
        <c:axId val="544918232"/>
      </c:scatterChart>
      <c:valAx>
        <c:axId val="544922936"/>
        <c:scaling>
          <c:orientation val="minMax"/>
          <c:min val="0"/>
        </c:scaling>
        <c:delete val="0"/>
        <c:axPos val="b"/>
        <c:title>
          <c:tx>
            <c:rich>
              <a:bodyPr/>
              <a:lstStyle/>
              <a:p>
                <a:pPr>
                  <a:defRPr sz="1025" b="1" i="0" u="none" strike="noStrike" baseline="0">
                    <a:solidFill>
                      <a:srgbClr val="000000"/>
                    </a:solidFill>
                    <a:latin typeface="Arial"/>
                    <a:ea typeface="Arial"/>
                    <a:cs typeface="Arial"/>
                  </a:defRPr>
                </a:pPr>
                <a:r>
                  <a:rPr lang="en-US"/>
                  <a:t>Distance Along Cap (ft)</a:t>
                </a:r>
              </a:p>
            </c:rich>
          </c:tx>
          <c:layout>
            <c:manualLayout>
              <c:xMode val="edge"/>
              <c:yMode val="edge"/>
              <c:x val="0.43097997892518847"/>
              <c:y val="0.9489051094890510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544918232"/>
        <c:crosses val="autoZero"/>
        <c:crossBetween val="midCat"/>
      </c:valAx>
      <c:valAx>
        <c:axId val="544918232"/>
        <c:scaling>
          <c:orientation val="minMax"/>
          <c:min val="0"/>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Shear Force/Resistance (Kips)</a:t>
                </a:r>
              </a:p>
            </c:rich>
          </c:tx>
          <c:layout>
            <c:manualLayout>
              <c:xMode val="edge"/>
              <c:yMode val="edge"/>
              <c:x val="1.1591148577449938E-2"/>
              <c:y val="0.328467153284678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544922936"/>
        <c:crosses val="autoZero"/>
        <c:crossBetween val="midCat"/>
      </c:valAx>
      <c:spPr>
        <a:noFill/>
        <a:ln w="12700">
          <a:solidFill>
            <a:srgbClr val="808080"/>
          </a:solidFill>
          <a:prstDash val="solid"/>
        </a:ln>
      </c:spPr>
    </c:plotArea>
    <c:legend>
      <c:legendPos val="r"/>
      <c:layout>
        <c:manualLayout>
          <c:xMode val="edge"/>
          <c:yMode val="edge"/>
          <c:x val="0.85458377239199168"/>
          <c:y val="7.8832116788321194E-2"/>
          <c:w val="0.11801896733403486"/>
          <c:h val="0.19416058394160585"/>
        </c:manualLayout>
      </c:layout>
      <c:overlay val="0"/>
      <c:spPr>
        <a:solidFill>
          <a:srgbClr val="FFFFFF"/>
        </a:solidFill>
        <a:ln w="3175">
          <a:solidFill>
            <a:srgbClr val="000000"/>
          </a:solidFill>
          <a:prstDash val="solid"/>
        </a:ln>
      </c:spPr>
      <c:txPr>
        <a:bodyPr/>
        <a:lstStyle/>
        <a:p>
          <a:pPr>
            <a:defRPr sz="9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
    <tabColor indexed="47"/>
  </sheetPr>
  <sheetViews>
    <sheetView workbookViewId="0"/>
  </sheetViews>
  <sheetProtection algorithmName="SHA-512" hashValue="sN34F7UTm+SpwhzQ4q6O+v+5LchGPSDf8HDtuSFMx40vvORdVB/vqBaBHyeX006UW2gP49Y5DR7iD0p3Wuahog==" saltValue="wjOxy3kMagAC2pEvYYpV3w==" spinCount="100000" content="1" objects="1"/>
  <pageMargins left="0.5" right="0.5" top="0.75" bottom="0.5" header="0.5" footer="0.25"/>
  <pageSetup orientation="landscape" r:id="rId1"/>
  <headerFooter alignWithMargins="0">
    <oddFooter>&amp;L&amp;D&amp;T&amp;C&amp;8Rev. 7.1</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200-000000000000}">
  <sheetPr codeName="Chart2">
    <tabColor indexed="47"/>
  </sheetPr>
  <sheetViews>
    <sheetView workbookViewId="0"/>
  </sheetViews>
  <sheetProtection algorithmName="SHA-512" hashValue="ikd+NZa740mfNG2lOM04CEI/gwUgSs23A6Mj7bYkynqgI17aHuCuonlA+EEmGF6J1cbaRmAwvL3bCZdbsZGn4g==" saltValue="HDJAWfTWqYLuNDg+cEv2PA==" spinCount="100000" content="1" objects="1"/>
  <pageMargins left="0.5" right="0.5" top="0.75" bottom="0.5" header="0.5" footer="0.25"/>
  <pageSetup orientation="landscape" r:id="rId1"/>
  <headerFooter alignWithMargins="0">
    <oddFooter>&amp;L&amp;D&amp;T&amp;C&amp;8Rev. 7.1</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O$53" lockText="1" noThreeD="1"/>
</file>

<file path=xl/ctrlProps/ctrlProp4.xml><?xml version="1.0" encoding="utf-8"?>
<formControlPr xmlns="http://schemas.microsoft.com/office/spreadsheetml/2009/9/main" objectType="CheckBox" checked="Checked" fmlaLink="$O$56" lockText="1" noThreeD="1"/>
</file>

<file path=xl/ctrlProps/ctrlProp5.xml><?xml version="1.0" encoding="utf-8"?>
<formControlPr xmlns="http://schemas.microsoft.com/office/spreadsheetml/2009/9/main" objectType="CheckBox" fmlaLink="J95" lockText="1" noThreeD="1"/>
</file>

<file path=xl/ctrlProps/ctrlProp6.xml><?xml version="1.0" encoding="utf-8"?>
<formControlPr xmlns="http://schemas.microsoft.com/office/spreadsheetml/2009/9/main" objectType="CheckBox" fmlaLink="$O$58" lockText="1" noThreeD="1"/>
</file>

<file path=xl/ctrlProps/ctrlProp7.xml><?xml version="1.0" encoding="utf-8"?>
<formControlPr xmlns="http://schemas.microsoft.com/office/spreadsheetml/2009/9/main" objectType="CheckBox" fmlaLink="$O$48"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O$88"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N$337" lockText="1" noThreeD="1"/>
</file>

<file path=xl/ctrlProps/ctrlProp15.xml><?xml version="1.0" encoding="utf-8"?>
<formControlPr xmlns="http://schemas.microsoft.com/office/spreadsheetml/2009/9/main" objectType="CheckBox" checked="Checked" fmlaLink="INTBMLLDFMC" lockText="1" noThreeD="1"/>
</file>

<file path=xl/ctrlProps/ctrlProp16.xml><?xml version="1.0" encoding="utf-8"?>
<formControlPr xmlns="http://schemas.microsoft.com/office/spreadsheetml/2009/9/main" objectType="Drop" dropLines="3" dropStyle="combo" dx="16" fmlaLink="$O$35" fmlaRange="$O$32:$O$34" noThreeD="1" sel="1" val="0"/>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104775</xdr:colOff>
      <xdr:row>4</xdr:row>
      <xdr:rowOff>47625</xdr:rowOff>
    </xdr:from>
    <xdr:to>
      <xdr:col>0</xdr:col>
      <xdr:colOff>1524000</xdr:colOff>
      <xdr:row>9</xdr:row>
      <xdr:rowOff>0</xdr:rowOff>
    </xdr:to>
    <xdr:sp macro="" textlink="">
      <xdr:nvSpPr>
        <xdr:cNvPr id="34820" name="Rectangle 1028">
          <a:extLst>
            <a:ext uri="{FF2B5EF4-FFF2-40B4-BE49-F238E27FC236}">
              <a16:creationId xmlns:a16="http://schemas.microsoft.com/office/drawing/2014/main" id="{00000000-0008-0000-0000-000004880000}"/>
            </a:ext>
          </a:extLst>
        </xdr:cNvPr>
        <xdr:cNvSpPr>
          <a:spLocks noChangeArrowheads="1"/>
        </xdr:cNvSpPr>
      </xdr:nvSpPr>
      <xdr:spPr bwMode="auto">
        <a:xfrm>
          <a:off x="104775" y="809625"/>
          <a:ext cx="1419225" cy="762000"/>
        </a:xfrm>
        <a:prstGeom prst="rect">
          <a:avLst/>
        </a:prstGeom>
        <a:solidFill>
          <a:srgbClr val="FF9900"/>
        </a:solidFill>
        <a:ln w="9525">
          <a:solidFill>
            <a:srgbClr val="000000"/>
          </a:solidFill>
          <a:miter lim="800000"/>
          <a:headEnd/>
          <a:tailEnd/>
        </a:ln>
      </xdr:spPr>
    </xdr:sp>
    <xdr:clientData fPrintsWithSheet="0"/>
  </xdr:twoCellAnchor>
  <mc:AlternateContent xmlns:mc="http://schemas.openxmlformats.org/markup-compatibility/2006">
    <mc:Choice xmlns:a14="http://schemas.microsoft.com/office/drawing/2010/main" Requires="a14">
      <xdr:twoCellAnchor>
        <xdr:from>
          <xdr:col>0</xdr:col>
          <xdr:colOff>228600</xdr:colOff>
          <xdr:row>5</xdr:row>
          <xdr:rowOff>0</xdr:rowOff>
        </xdr:from>
        <xdr:to>
          <xdr:col>0</xdr:col>
          <xdr:colOff>1371600</xdr:colOff>
          <xdr:row>8</xdr:row>
          <xdr:rowOff>76200</xdr:rowOff>
        </xdr:to>
        <xdr:sp macro="" textlink="">
          <xdr:nvSpPr>
            <xdr:cNvPr id="34821" name="Button 1029" hidden="1">
              <a:extLst>
                <a:ext uri="{63B3BB69-23CF-44E3-9099-C40C66FF867C}">
                  <a14:compatExt spid="_x0000_s34821"/>
                </a:ext>
                <a:ext uri="{FF2B5EF4-FFF2-40B4-BE49-F238E27FC236}">
                  <a16:creationId xmlns:a16="http://schemas.microsoft.com/office/drawing/2014/main" id="{00000000-0008-0000-0000-000005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Initialize Design Project</a:t>
              </a:r>
            </a:p>
          </xdr:txBody>
        </xdr:sp>
        <xdr:clientData fPrintsWithSheet="0"/>
      </xdr:twoCellAnchor>
    </mc:Choice>
    <mc:Fallback/>
  </mc:AlternateContent>
  <xdr:twoCellAnchor>
    <xdr:from>
      <xdr:col>1</xdr:col>
      <xdr:colOff>257175</xdr:colOff>
      <xdr:row>141</xdr:row>
      <xdr:rowOff>88900</xdr:rowOff>
    </xdr:from>
    <xdr:to>
      <xdr:col>11</xdr:col>
      <xdr:colOff>206375</xdr:colOff>
      <xdr:row>157</xdr:row>
      <xdr:rowOff>38100</xdr:rowOff>
    </xdr:to>
    <xdr:grpSp>
      <xdr:nvGrpSpPr>
        <xdr:cNvPr id="34824" name="bent1">
          <a:extLst>
            <a:ext uri="{FF2B5EF4-FFF2-40B4-BE49-F238E27FC236}">
              <a16:creationId xmlns:a16="http://schemas.microsoft.com/office/drawing/2014/main" id="{00000000-0008-0000-0000-000008880000}"/>
            </a:ext>
          </a:extLst>
        </xdr:cNvPr>
        <xdr:cNvGrpSpPr/>
      </xdr:nvGrpSpPr>
      <xdr:grpSpPr>
        <a:xfrm>
          <a:off x="1905000" y="25873075"/>
          <a:ext cx="5969000" cy="2540000"/>
          <a:chOff x="1905000" y="25387300"/>
          <a:chExt cx="5969000" cy="2540000"/>
        </a:xfrm>
      </xdr:grpSpPr>
      <xdr:sp macro="" textlink="">
        <xdr:nvSpPr>
          <xdr:cNvPr id="2" name="ledge">
            <a:extLst>
              <a:ext uri="{FF2B5EF4-FFF2-40B4-BE49-F238E27FC236}">
                <a16:creationId xmlns:a16="http://schemas.microsoft.com/office/drawing/2014/main" id="{00000000-0008-0000-0000-000002000000}"/>
              </a:ext>
            </a:extLst>
          </xdr:cNvPr>
          <xdr:cNvSpPr/>
        </xdr:nvSpPr>
        <xdr:spPr>
          <a:xfrm>
            <a:off x="3307522" y="26392256"/>
            <a:ext cx="3036956" cy="530085"/>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stem">
            <a:extLst>
              <a:ext uri="{FF2B5EF4-FFF2-40B4-BE49-F238E27FC236}">
                <a16:creationId xmlns:a16="http://schemas.microsoft.com/office/drawing/2014/main" id="{00000000-0008-0000-0000-000003000000}"/>
              </a:ext>
            </a:extLst>
          </xdr:cNvPr>
          <xdr:cNvSpPr/>
        </xdr:nvSpPr>
        <xdr:spPr>
          <a:xfrm>
            <a:off x="3307522" y="26524778"/>
            <a:ext cx="3036956" cy="265044"/>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Draw_Col1">
            <a:extLst>
              <a:ext uri="{FF2B5EF4-FFF2-40B4-BE49-F238E27FC236}">
                <a16:creationId xmlns:a16="http://schemas.microsoft.com/office/drawing/2014/main" id="{00000000-0008-0000-0000-000004000000}"/>
              </a:ext>
            </a:extLst>
          </xdr:cNvPr>
          <xdr:cNvSpPr/>
        </xdr:nvSpPr>
        <xdr:spPr>
          <a:xfrm>
            <a:off x="3376544"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Draw_Col2">
            <a:extLst>
              <a:ext uri="{FF2B5EF4-FFF2-40B4-BE49-F238E27FC236}">
                <a16:creationId xmlns:a16="http://schemas.microsoft.com/office/drawing/2014/main" id="{00000000-0008-0000-0000-000005000000}"/>
              </a:ext>
            </a:extLst>
          </xdr:cNvPr>
          <xdr:cNvSpPr/>
        </xdr:nvSpPr>
        <xdr:spPr>
          <a:xfrm>
            <a:off x="4039152" y="26546866"/>
            <a:ext cx="248479"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Draw_Col3">
            <a:extLst>
              <a:ext uri="{FF2B5EF4-FFF2-40B4-BE49-F238E27FC236}">
                <a16:creationId xmlns:a16="http://schemas.microsoft.com/office/drawing/2014/main" id="{00000000-0008-0000-0000-000006000000}"/>
              </a:ext>
            </a:extLst>
          </xdr:cNvPr>
          <xdr:cNvSpPr/>
        </xdr:nvSpPr>
        <xdr:spPr>
          <a:xfrm>
            <a:off x="4701761"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Draw_Col4">
            <a:extLst>
              <a:ext uri="{FF2B5EF4-FFF2-40B4-BE49-F238E27FC236}">
                <a16:creationId xmlns:a16="http://schemas.microsoft.com/office/drawing/2014/main" id="{00000000-0008-0000-0000-000007000000}"/>
              </a:ext>
            </a:extLst>
          </xdr:cNvPr>
          <xdr:cNvSpPr/>
        </xdr:nvSpPr>
        <xdr:spPr>
          <a:xfrm>
            <a:off x="5364369" y="26546866"/>
            <a:ext cx="248479"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Draw_Col5">
            <a:extLst>
              <a:ext uri="{FF2B5EF4-FFF2-40B4-BE49-F238E27FC236}">
                <a16:creationId xmlns:a16="http://schemas.microsoft.com/office/drawing/2014/main" id="{00000000-0008-0000-0000-000008000000}"/>
              </a:ext>
            </a:extLst>
          </xdr:cNvPr>
          <xdr:cNvSpPr/>
        </xdr:nvSpPr>
        <xdr:spPr>
          <a:xfrm>
            <a:off x="6026978"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 name="clbent">
            <a:extLst>
              <a:ext uri="{FF2B5EF4-FFF2-40B4-BE49-F238E27FC236}">
                <a16:creationId xmlns:a16="http://schemas.microsoft.com/office/drawing/2014/main" id="{00000000-0008-0000-0000-000009000000}"/>
              </a:ext>
            </a:extLst>
          </xdr:cNvPr>
          <xdr:cNvCxnSpPr/>
        </xdr:nvCxnSpPr>
        <xdr:spPr>
          <a:xfrm>
            <a:off x="1905000" y="26657300"/>
            <a:ext cx="5969000" cy="0"/>
          </a:xfrm>
          <a:prstGeom prst="line">
            <a:avLst/>
          </a:prstGeom>
          <a:ln w="9525">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10" name="Draw_Bm_bk1">
            <a:extLst>
              <a:ext uri="{FF2B5EF4-FFF2-40B4-BE49-F238E27FC236}">
                <a16:creationId xmlns:a16="http://schemas.microsoft.com/office/drawing/2014/main" id="{00000000-0008-0000-0000-00000A000000}"/>
              </a:ext>
            </a:extLst>
          </xdr:cNvPr>
          <xdr:cNvCxnSpPr/>
        </xdr:nvCxnSpPr>
        <xdr:spPr>
          <a:xfrm>
            <a:off x="2451652"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1" name="Draw_Bm_bk2">
            <a:extLst>
              <a:ext uri="{FF2B5EF4-FFF2-40B4-BE49-F238E27FC236}">
                <a16:creationId xmlns:a16="http://schemas.microsoft.com/office/drawing/2014/main" id="{00000000-0008-0000-0000-00000B000000}"/>
              </a:ext>
            </a:extLst>
          </xdr:cNvPr>
          <xdr:cNvCxnSpPr/>
        </xdr:nvCxnSpPr>
        <xdr:spPr>
          <a:xfrm>
            <a:off x="2816936"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2" name="Draw_Bm_bk3">
            <a:extLst>
              <a:ext uri="{FF2B5EF4-FFF2-40B4-BE49-F238E27FC236}">
                <a16:creationId xmlns:a16="http://schemas.microsoft.com/office/drawing/2014/main" id="{00000000-0008-0000-0000-00000C000000}"/>
              </a:ext>
            </a:extLst>
          </xdr:cNvPr>
          <xdr:cNvCxnSpPr/>
        </xdr:nvCxnSpPr>
        <xdr:spPr>
          <a:xfrm>
            <a:off x="3182221"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3" name="Draw_Bm_bk4">
            <a:extLst>
              <a:ext uri="{FF2B5EF4-FFF2-40B4-BE49-F238E27FC236}">
                <a16:creationId xmlns:a16="http://schemas.microsoft.com/office/drawing/2014/main" id="{00000000-0008-0000-0000-00000D000000}"/>
              </a:ext>
            </a:extLst>
          </xdr:cNvPr>
          <xdr:cNvCxnSpPr/>
        </xdr:nvCxnSpPr>
        <xdr:spPr>
          <a:xfrm>
            <a:off x="3547505"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4" name="Draw_Bm_bk5">
            <a:extLst>
              <a:ext uri="{FF2B5EF4-FFF2-40B4-BE49-F238E27FC236}">
                <a16:creationId xmlns:a16="http://schemas.microsoft.com/office/drawing/2014/main" id="{00000000-0008-0000-0000-00000E000000}"/>
              </a:ext>
            </a:extLst>
          </xdr:cNvPr>
          <xdr:cNvCxnSpPr/>
        </xdr:nvCxnSpPr>
        <xdr:spPr>
          <a:xfrm>
            <a:off x="3912789"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5" name="Draw_Bm_bk6">
            <a:extLst>
              <a:ext uri="{FF2B5EF4-FFF2-40B4-BE49-F238E27FC236}">
                <a16:creationId xmlns:a16="http://schemas.microsoft.com/office/drawing/2014/main" id="{00000000-0008-0000-0000-00000F000000}"/>
              </a:ext>
            </a:extLst>
          </xdr:cNvPr>
          <xdr:cNvCxnSpPr/>
        </xdr:nvCxnSpPr>
        <xdr:spPr>
          <a:xfrm>
            <a:off x="4278074"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6" name="Draw_Bm_bk7">
            <a:extLst>
              <a:ext uri="{FF2B5EF4-FFF2-40B4-BE49-F238E27FC236}">
                <a16:creationId xmlns:a16="http://schemas.microsoft.com/office/drawing/2014/main" id="{00000000-0008-0000-0000-000010000000}"/>
              </a:ext>
            </a:extLst>
          </xdr:cNvPr>
          <xdr:cNvCxnSpPr/>
        </xdr:nvCxnSpPr>
        <xdr:spPr>
          <a:xfrm>
            <a:off x="4643358"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7" name="Draw_Bm_bk8">
            <a:extLst>
              <a:ext uri="{FF2B5EF4-FFF2-40B4-BE49-F238E27FC236}">
                <a16:creationId xmlns:a16="http://schemas.microsoft.com/office/drawing/2014/main" id="{00000000-0008-0000-0000-000011000000}"/>
              </a:ext>
            </a:extLst>
          </xdr:cNvPr>
          <xdr:cNvCxnSpPr/>
        </xdr:nvCxnSpPr>
        <xdr:spPr>
          <a:xfrm>
            <a:off x="5008642"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8" name="Draw_Bm_bk9">
            <a:extLst>
              <a:ext uri="{FF2B5EF4-FFF2-40B4-BE49-F238E27FC236}">
                <a16:creationId xmlns:a16="http://schemas.microsoft.com/office/drawing/2014/main" id="{00000000-0008-0000-0000-000012000000}"/>
              </a:ext>
            </a:extLst>
          </xdr:cNvPr>
          <xdr:cNvCxnSpPr/>
        </xdr:nvCxnSpPr>
        <xdr:spPr>
          <a:xfrm>
            <a:off x="5373926"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9" name="Draw_Bm_bk10">
            <a:extLst>
              <a:ext uri="{FF2B5EF4-FFF2-40B4-BE49-F238E27FC236}">
                <a16:creationId xmlns:a16="http://schemas.microsoft.com/office/drawing/2014/main" id="{00000000-0008-0000-0000-000013000000}"/>
              </a:ext>
            </a:extLst>
          </xdr:cNvPr>
          <xdr:cNvCxnSpPr/>
        </xdr:nvCxnSpPr>
        <xdr:spPr>
          <a:xfrm>
            <a:off x="5739211"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0" name="Draw_Bm_bk11">
            <a:extLst>
              <a:ext uri="{FF2B5EF4-FFF2-40B4-BE49-F238E27FC236}">
                <a16:creationId xmlns:a16="http://schemas.microsoft.com/office/drawing/2014/main" id="{00000000-0008-0000-0000-000014000000}"/>
              </a:ext>
            </a:extLst>
          </xdr:cNvPr>
          <xdr:cNvCxnSpPr/>
        </xdr:nvCxnSpPr>
        <xdr:spPr>
          <a:xfrm>
            <a:off x="6104495"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1" name="Draw_Bm_bk12">
            <a:extLst>
              <a:ext uri="{FF2B5EF4-FFF2-40B4-BE49-F238E27FC236}">
                <a16:creationId xmlns:a16="http://schemas.microsoft.com/office/drawing/2014/main" id="{00000000-0008-0000-0000-000015000000}"/>
              </a:ext>
            </a:extLst>
          </xdr:cNvPr>
          <xdr:cNvCxnSpPr/>
        </xdr:nvCxnSpPr>
        <xdr:spPr>
          <a:xfrm>
            <a:off x="6469779"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2" name="Draw_Bm_bk13">
            <a:extLst>
              <a:ext uri="{FF2B5EF4-FFF2-40B4-BE49-F238E27FC236}">
                <a16:creationId xmlns:a16="http://schemas.microsoft.com/office/drawing/2014/main" id="{00000000-0008-0000-0000-000016000000}"/>
              </a:ext>
            </a:extLst>
          </xdr:cNvPr>
          <xdr:cNvCxnSpPr/>
        </xdr:nvCxnSpPr>
        <xdr:spPr>
          <a:xfrm>
            <a:off x="6835063"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3" name="Draw_Bm_bk14">
            <a:extLst>
              <a:ext uri="{FF2B5EF4-FFF2-40B4-BE49-F238E27FC236}">
                <a16:creationId xmlns:a16="http://schemas.microsoft.com/office/drawing/2014/main" id="{00000000-0008-0000-0000-000017000000}"/>
              </a:ext>
            </a:extLst>
          </xdr:cNvPr>
          <xdr:cNvCxnSpPr/>
        </xdr:nvCxnSpPr>
        <xdr:spPr>
          <a:xfrm>
            <a:off x="7200348"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4" name="Draw_Bm_fd1">
            <a:extLst>
              <a:ext uri="{FF2B5EF4-FFF2-40B4-BE49-F238E27FC236}">
                <a16:creationId xmlns:a16="http://schemas.microsoft.com/office/drawing/2014/main" id="{00000000-0008-0000-0000-000018000000}"/>
              </a:ext>
            </a:extLst>
          </xdr:cNvPr>
          <xdr:cNvCxnSpPr/>
        </xdr:nvCxnSpPr>
        <xdr:spPr>
          <a:xfrm flipV="1">
            <a:off x="24516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5" name="Draw_Bm_fd2">
            <a:extLst>
              <a:ext uri="{FF2B5EF4-FFF2-40B4-BE49-F238E27FC236}">
                <a16:creationId xmlns:a16="http://schemas.microsoft.com/office/drawing/2014/main" id="{00000000-0008-0000-0000-000019000000}"/>
              </a:ext>
            </a:extLst>
          </xdr:cNvPr>
          <xdr:cNvCxnSpPr/>
        </xdr:nvCxnSpPr>
        <xdr:spPr>
          <a:xfrm flipV="1">
            <a:off x="28833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6" name="Draw_Bm_fd3">
            <a:extLst>
              <a:ext uri="{FF2B5EF4-FFF2-40B4-BE49-F238E27FC236}">
                <a16:creationId xmlns:a16="http://schemas.microsoft.com/office/drawing/2014/main" id="{00000000-0008-0000-0000-00001A000000}"/>
              </a:ext>
            </a:extLst>
          </xdr:cNvPr>
          <xdr:cNvCxnSpPr/>
        </xdr:nvCxnSpPr>
        <xdr:spPr>
          <a:xfrm flipV="1">
            <a:off x="33150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7" name="Draw_Bm_fd4">
            <a:extLst>
              <a:ext uri="{FF2B5EF4-FFF2-40B4-BE49-F238E27FC236}">
                <a16:creationId xmlns:a16="http://schemas.microsoft.com/office/drawing/2014/main" id="{00000000-0008-0000-0000-00001B000000}"/>
              </a:ext>
            </a:extLst>
          </xdr:cNvPr>
          <xdr:cNvCxnSpPr/>
        </xdr:nvCxnSpPr>
        <xdr:spPr>
          <a:xfrm flipV="1">
            <a:off x="3746751"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8" name="Draw_Bm_fd5">
            <a:extLst>
              <a:ext uri="{FF2B5EF4-FFF2-40B4-BE49-F238E27FC236}">
                <a16:creationId xmlns:a16="http://schemas.microsoft.com/office/drawing/2014/main" id="{00000000-0008-0000-0000-00001C000000}"/>
              </a:ext>
            </a:extLst>
          </xdr:cNvPr>
          <xdr:cNvCxnSpPr/>
        </xdr:nvCxnSpPr>
        <xdr:spPr>
          <a:xfrm flipV="1">
            <a:off x="4178451"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9" name="Draw_Bm_fd6">
            <a:extLst>
              <a:ext uri="{FF2B5EF4-FFF2-40B4-BE49-F238E27FC236}">
                <a16:creationId xmlns:a16="http://schemas.microsoft.com/office/drawing/2014/main" id="{00000000-0008-0000-0000-00001D000000}"/>
              </a:ext>
            </a:extLst>
          </xdr:cNvPr>
          <xdr:cNvCxnSpPr/>
        </xdr:nvCxnSpPr>
        <xdr:spPr>
          <a:xfrm flipV="1">
            <a:off x="4610150"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0" name="Draw_Bm_fd7">
            <a:extLst>
              <a:ext uri="{FF2B5EF4-FFF2-40B4-BE49-F238E27FC236}">
                <a16:creationId xmlns:a16="http://schemas.microsoft.com/office/drawing/2014/main" id="{00000000-0008-0000-0000-00001E000000}"/>
              </a:ext>
            </a:extLst>
          </xdr:cNvPr>
          <xdr:cNvCxnSpPr/>
        </xdr:nvCxnSpPr>
        <xdr:spPr>
          <a:xfrm flipV="1">
            <a:off x="5041850"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1" name="Draw_Bm_fd8">
            <a:extLst>
              <a:ext uri="{FF2B5EF4-FFF2-40B4-BE49-F238E27FC236}">
                <a16:creationId xmlns:a16="http://schemas.microsoft.com/office/drawing/2014/main" id="{00000000-0008-0000-0000-00001F000000}"/>
              </a:ext>
            </a:extLst>
          </xdr:cNvPr>
          <xdr:cNvCxnSpPr/>
        </xdr:nvCxnSpPr>
        <xdr:spPr>
          <a:xfrm flipV="1">
            <a:off x="5473549"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6" name="Draw_Bm_fd9">
            <a:extLst>
              <a:ext uri="{FF2B5EF4-FFF2-40B4-BE49-F238E27FC236}">
                <a16:creationId xmlns:a16="http://schemas.microsoft.com/office/drawing/2014/main" id="{00000000-0008-0000-0000-000000880000}"/>
              </a:ext>
            </a:extLst>
          </xdr:cNvPr>
          <xdr:cNvCxnSpPr/>
        </xdr:nvCxnSpPr>
        <xdr:spPr>
          <a:xfrm flipV="1">
            <a:off x="5905249"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7" name="Draw_Bm_fd10">
            <a:extLst>
              <a:ext uri="{FF2B5EF4-FFF2-40B4-BE49-F238E27FC236}">
                <a16:creationId xmlns:a16="http://schemas.microsoft.com/office/drawing/2014/main" id="{00000000-0008-0000-0000-000001880000}"/>
              </a:ext>
            </a:extLst>
          </xdr:cNvPr>
          <xdr:cNvCxnSpPr/>
        </xdr:nvCxnSpPr>
        <xdr:spPr>
          <a:xfrm flipV="1">
            <a:off x="63369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8" name="Draw_Bm_fd11">
            <a:extLst>
              <a:ext uri="{FF2B5EF4-FFF2-40B4-BE49-F238E27FC236}">
                <a16:creationId xmlns:a16="http://schemas.microsoft.com/office/drawing/2014/main" id="{00000000-0008-0000-0000-000002880000}"/>
              </a:ext>
            </a:extLst>
          </xdr:cNvPr>
          <xdr:cNvCxnSpPr/>
        </xdr:nvCxnSpPr>
        <xdr:spPr>
          <a:xfrm flipV="1">
            <a:off x="67686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9" name="Draw_Bm_fd12">
            <a:extLst>
              <a:ext uri="{FF2B5EF4-FFF2-40B4-BE49-F238E27FC236}">
                <a16:creationId xmlns:a16="http://schemas.microsoft.com/office/drawing/2014/main" id="{00000000-0008-0000-0000-000003880000}"/>
              </a:ext>
            </a:extLst>
          </xdr:cNvPr>
          <xdr:cNvCxnSpPr/>
        </xdr:nvCxnSpPr>
        <xdr:spPr>
          <a:xfrm flipV="1">
            <a:off x="72003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22" name="Draw_LeftDeck">
            <a:extLst>
              <a:ext uri="{FF2B5EF4-FFF2-40B4-BE49-F238E27FC236}">
                <a16:creationId xmlns:a16="http://schemas.microsoft.com/office/drawing/2014/main" id="{00000000-0008-0000-0000-000006880000}"/>
              </a:ext>
            </a:extLst>
          </xdr:cNvPr>
          <xdr:cNvCxnSpPr/>
        </xdr:nvCxnSpPr>
        <xdr:spPr>
          <a:xfrm flipV="1">
            <a:off x="2286000" y="253873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34823" name="Draw_RightDeck">
            <a:extLst>
              <a:ext uri="{FF2B5EF4-FFF2-40B4-BE49-F238E27FC236}">
                <a16:creationId xmlns:a16="http://schemas.microsoft.com/office/drawing/2014/main" id="{00000000-0008-0000-0000-000007880000}"/>
              </a:ext>
            </a:extLst>
          </xdr:cNvPr>
          <xdr:cNvCxnSpPr/>
        </xdr:nvCxnSpPr>
        <xdr:spPr>
          <a:xfrm flipV="1">
            <a:off x="7366000" y="253873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12</xdr:col>
      <xdr:colOff>66675</xdr:colOff>
      <xdr:row>6</xdr:row>
      <xdr:rowOff>0</xdr:rowOff>
    </xdr:to>
    <xdr:grpSp>
      <xdr:nvGrpSpPr>
        <xdr:cNvPr id="64513" name="Group 1">
          <a:extLst>
            <a:ext uri="{FF2B5EF4-FFF2-40B4-BE49-F238E27FC236}">
              <a16:creationId xmlns:a16="http://schemas.microsoft.com/office/drawing/2014/main" id="{00000000-0008-0000-0100-000001FC0000}"/>
            </a:ext>
          </a:extLst>
        </xdr:cNvPr>
        <xdr:cNvGrpSpPr>
          <a:grpSpLocks/>
        </xdr:cNvGrpSpPr>
      </xdr:nvGrpSpPr>
      <xdr:grpSpPr bwMode="auto">
        <a:xfrm>
          <a:off x="1666875" y="0"/>
          <a:ext cx="6429375" cy="971550"/>
          <a:chOff x="65" y="4"/>
          <a:chExt cx="675" cy="101"/>
        </a:xfrm>
      </xdr:grpSpPr>
      <xdr:grpSp>
        <xdr:nvGrpSpPr>
          <xdr:cNvPr id="64514" name="Group 2">
            <a:extLst>
              <a:ext uri="{FF2B5EF4-FFF2-40B4-BE49-F238E27FC236}">
                <a16:creationId xmlns:a16="http://schemas.microsoft.com/office/drawing/2014/main" id="{00000000-0008-0000-0100-000002FC0000}"/>
              </a:ext>
            </a:extLst>
          </xdr:cNvPr>
          <xdr:cNvGrpSpPr>
            <a:grpSpLocks/>
          </xdr:cNvGrpSpPr>
        </xdr:nvGrpSpPr>
        <xdr:grpSpPr bwMode="auto">
          <a:xfrm>
            <a:off x="65" y="7"/>
            <a:ext cx="675" cy="98"/>
            <a:chOff x="65" y="7"/>
            <a:chExt cx="675" cy="98"/>
          </a:xfrm>
        </xdr:grpSpPr>
        <xdr:grpSp>
          <xdr:nvGrpSpPr>
            <xdr:cNvPr id="64516" name="Group 4">
              <a:extLst>
                <a:ext uri="{FF2B5EF4-FFF2-40B4-BE49-F238E27FC236}">
                  <a16:creationId xmlns:a16="http://schemas.microsoft.com/office/drawing/2014/main" id="{00000000-0008-0000-0100-000004FC0000}"/>
                </a:ext>
              </a:extLst>
            </xdr:cNvPr>
            <xdr:cNvGrpSpPr>
              <a:grpSpLocks/>
            </xdr:cNvGrpSpPr>
          </xdr:nvGrpSpPr>
          <xdr:grpSpPr bwMode="auto">
            <a:xfrm>
              <a:off x="232" y="7"/>
              <a:ext cx="433" cy="93"/>
              <a:chOff x="168" y="7"/>
              <a:chExt cx="433" cy="93"/>
            </a:xfrm>
          </xdr:grpSpPr>
          <xdr:sp macro="" textlink="">
            <xdr:nvSpPr>
              <xdr:cNvPr id="64517" name="Text Box 5">
                <a:extLst>
                  <a:ext uri="{FF2B5EF4-FFF2-40B4-BE49-F238E27FC236}">
                    <a16:creationId xmlns:a16="http://schemas.microsoft.com/office/drawing/2014/main" id="{00000000-0008-0000-0100-000005F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64518" name="Text Box 6">
                <a:extLst>
                  <a:ext uri="{FF2B5EF4-FFF2-40B4-BE49-F238E27FC236}">
                    <a16:creationId xmlns:a16="http://schemas.microsoft.com/office/drawing/2014/main" id="{00000000-0008-0000-0100-000006F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64519" name="Text Box 7">
                <a:extLst>
                  <a:ext uri="{FF2B5EF4-FFF2-40B4-BE49-F238E27FC236}">
                    <a16:creationId xmlns:a16="http://schemas.microsoft.com/office/drawing/2014/main" id="{00000000-0008-0000-0100-000007F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64520" name="Text Box 8">
                <a:extLst>
                  <a:ext uri="{FF2B5EF4-FFF2-40B4-BE49-F238E27FC236}">
                    <a16:creationId xmlns:a16="http://schemas.microsoft.com/office/drawing/2014/main" id="{00000000-0008-0000-0100-000008F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64521" name="Text Box 9">
                <a:extLst>
                  <a:ext uri="{FF2B5EF4-FFF2-40B4-BE49-F238E27FC236}">
                    <a16:creationId xmlns:a16="http://schemas.microsoft.com/office/drawing/2014/main" id="{00000000-0008-0000-0100-000009F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64522" name="Text Box 10">
                <a:extLst>
                  <a:ext uri="{FF2B5EF4-FFF2-40B4-BE49-F238E27FC236}">
                    <a16:creationId xmlns:a16="http://schemas.microsoft.com/office/drawing/2014/main" id="{00000000-0008-0000-0100-00000AF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4523" name="Text Box 11">
                <a:extLst>
                  <a:ext uri="{FF2B5EF4-FFF2-40B4-BE49-F238E27FC236}">
                    <a16:creationId xmlns:a16="http://schemas.microsoft.com/office/drawing/2014/main" id="{00000000-0008-0000-0100-00000BF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4524" name="Text Box 12">
                <a:extLst>
                  <a:ext uri="{FF2B5EF4-FFF2-40B4-BE49-F238E27FC236}">
                    <a16:creationId xmlns:a16="http://schemas.microsoft.com/office/drawing/2014/main" id="{00000000-0008-0000-0100-00000CF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64525" name="Text Box 13">
                <a:extLst>
                  <a:ext uri="{FF2B5EF4-FFF2-40B4-BE49-F238E27FC236}">
                    <a16:creationId xmlns:a16="http://schemas.microsoft.com/office/drawing/2014/main" id="{00000000-0008-0000-0100-00000DF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64526" name="Text Box 14">
                <a:extLst>
                  <a:ext uri="{FF2B5EF4-FFF2-40B4-BE49-F238E27FC236}">
                    <a16:creationId xmlns:a16="http://schemas.microsoft.com/office/drawing/2014/main" id="{00000000-0008-0000-0100-00000EF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64527" name="Text Box 15">
                <a:extLst>
                  <a:ext uri="{FF2B5EF4-FFF2-40B4-BE49-F238E27FC236}">
                    <a16:creationId xmlns:a16="http://schemas.microsoft.com/office/drawing/2014/main" id="{00000000-0008-0000-0100-00000FF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64528" name="Line 16">
              <a:extLst>
                <a:ext uri="{FF2B5EF4-FFF2-40B4-BE49-F238E27FC236}">
                  <a16:creationId xmlns:a16="http://schemas.microsoft.com/office/drawing/2014/main" id="{00000000-0008-0000-0100-000010F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64529" name="Line 17">
              <a:extLst>
                <a:ext uri="{FF2B5EF4-FFF2-40B4-BE49-F238E27FC236}">
                  <a16:creationId xmlns:a16="http://schemas.microsoft.com/office/drawing/2014/main" id="{00000000-0008-0000-0100-000011F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64530" name="Line 18">
              <a:extLst>
                <a:ext uri="{FF2B5EF4-FFF2-40B4-BE49-F238E27FC236}">
                  <a16:creationId xmlns:a16="http://schemas.microsoft.com/office/drawing/2014/main" id="{00000000-0008-0000-0100-000012F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64531" name="Line 19">
              <a:extLst>
                <a:ext uri="{FF2B5EF4-FFF2-40B4-BE49-F238E27FC236}">
                  <a16:creationId xmlns:a16="http://schemas.microsoft.com/office/drawing/2014/main" id="{00000000-0008-0000-0100-000013F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64532" name="Group 20">
            <a:extLst>
              <a:ext uri="{FF2B5EF4-FFF2-40B4-BE49-F238E27FC236}">
                <a16:creationId xmlns:a16="http://schemas.microsoft.com/office/drawing/2014/main" id="{00000000-0008-0000-0100-000014FC0000}"/>
              </a:ext>
            </a:extLst>
          </xdr:cNvPr>
          <xdr:cNvGrpSpPr>
            <a:grpSpLocks/>
          </xdr:cNvGrpSpPr>
        </xdr:nvGrpSpPr>
        <xdr:grpSpPr bwMode="auto">
          <a:xfrm>
            <a:off x="272" y="4"/>
            <a:ext cx="457" cy="98"/>
            <a:chOff x="208" y="4"/>
            <a:chExt cx="457" cy="98"/>
          </a:xfrm>
        </xdr:grpSpPr>
        <xdr:sp macro="" textlink="'Cover Sheet'!E5:U5">
          <xdr:nvSpPr>
            <xdr:cNvPr id="64533" name="Text Box 21">
              <a:extLst>
                <a:ext uri="{FF2B5EF4-FFF2-40B4-BE49-F238E27FC236}">
                  <a16:creationId xmlns:a16="http://schemas.microsoft.com/office/drawing/2014/main" id="{00000000-0008-0000-0100-000015F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5F1D9CBF-04FA-489C-B70E-C3E5E1352199}"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64534" name="Text Box 22">
              <a:extLst>
                <a:ext uri="{FF2B5EF4-FFF2-40B4-BE49-F238E27FC236}">
                  <a16:creationId xmlns:a16="http://schemas.microsoft.com/office/drawing/2014/main" id="{00000000-0008-0000-0100-000016F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DC35592E-1474-47D6-B3EB-BB6A17FCB7F2}"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64535" name="Text Box 23">
              <a:extLst>
                <a:ext uri="{FF2B5EF4-FFF2-40B4-BE49-F238E27FC236}">
                  <a16:creationId xmlns:a16="http://schemas.microsoft.com/office/drawing/2014/main" id="{00000000-0008-0000-0100-000017F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Geometry &amp; Loads</a:t>
              </a:r>
            </a:p>
          </xdr:txBody>
        </xdr:sp>
        <xdr:sp macro="" textlink="'Cover Sheet'!E4:U4">
          <xdr:nvSpPr>
            <xdr:cNvPr id="64536" name="Text Box 24">
              <a:extLst>
                <a:ext uri="{FF2B5EF4-FFF2-40B4-BE49-F238E27FC236}">
                  <a16:creationId xmlns:a16="http://schemas.microsoft.com/office/drawing/2014/main" id="{00000000-0008-0000-0100-000018F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EC5AAD4B-EBCB-4D9F-9A07-E67E5676B722}"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64537" name="Text Box 25">
              <a:extLst>
                <a:ext uri="{FF2B5EF4-FFF2-40B4-BE49-F238E27FC236}">
                  <a16:creationId xmlns:a16="http://schemas.microsoft.com/office/drawing/2014/main" id="{00000000-0008-0000-0100-000019F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26B7AF75-9263-47F4-BEC2-9D431D022EEA}"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64538" name="Text Box 26">
              <a:extLst>
                <a:ext uri="{FF2B5EF4-FFF2-40B4-BE49-F238E27FC236}">
                  <a16:creationId xmlns:a16="http://schemas.microsoft.com/office/drawing/2014/main" id="{00000000-0008-0000-0100-00001AF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A43BD37-045E-4ADA-8EC9-5E28DF85CFA0}"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64539" name="Text Box 27">
              <a:extLst>
                <a:ext uri="{FF2B5EF4-FFF2-40B4-BE49-F238E27FC236}">
                  <a16:creationId xmlns:a16="http://schemas.microsoft.com/office/drawing/2014/main" id="{00000000-0008-0000-0100-00001BF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0C4B98F4-1C36-4FF2-918C-9F7AEC6CBBB9}" type="TxLink">
                <a:rPr lang="en-US"/>
                <a:pPr/>
                <a:t> </a:t>
              </a:fld>
              <a:endParaRPr lang="en-US"/>
            </a:p>
          </xdr:txBody>
        </xdr:sp>
        <xdr:sp macro="" textlink="'Cover Sheet'!U37:Y37">
          <xdr:nvSpPr>
            <xdr:cNvPr id="64540" name="Text Box 28">
              <a:extLst>
                <a:ext uri="{FF2B5EF4-FFF2-40B4-BE49-F238E27FC236}">
                  <a16:creationId xmlns:a16="http://schemas.microsoft.com/office/drawing/2014/main" id="{00000000-0008-0000-0100-00001CF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252D94EB-445A-48E9-ACDB-0B220E21A4EA}" type="TxLink">
                <a:rPr lang="en-US"/>
                <a:pPr/>
                <a:t> </a:t>
              </a:fld>
              <a:endParaRPr lang="en-US"/>
            </a:p>
          </xdr:txBody>
        </xdr:sp>
      </xdr:grpSp>
    </xdr:grpSp>
    <xdr:clientData/>
  </xdr:twoCellAnchor>
  <xdr:twoCellAnchor editAs="oneCell">
    <xdr:from>
      <xdr:col>1</xdr:col>
      <xdr:colOff>19050</xdr:colOff>
      <xdr:row>0</xdr:row>
      <xdr:rowOff>19050</xdr:rowOff>
    </xdr:from>
    <xdr:to>
      <xdr:col>3</xdr:col>
      <xdr:colOff>67512</xdr:colOff>
      <xdr:row>4</xdr:row>
      <xdr:rowOff>133350</xdr:rowOff>
    </xdr:to>
    <xdr:pic>
      <xdr:nvPicPr>
        <xdr:cNvPr id="31" name="headerlogo">
          <a:extLst>
            <a:ext uri="{FF2B5EF4-FFF2-40B4-BE49-F238E27FC236}">
              <a16:creationId xmlns:a16="http://schemas.microsoft.com/office/drawing/2014/main" id="{00000000-0008-0000-01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19050"/>
          <a:ext cx="1210512"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29</xdr:col>
      <xdr:colOff>57150</xdr:colOff>
      <xdr:row>0</xdr:row>
      <xdr:rowOff>38101</xdr:rowOff>
    </xdr:from>
    <xdr:to>
      <xdr:col>32</xdr:col>
      <xdr:colOff>333375</xdr:colOff>
      <xdr:row>2</xdr:row>
      <xdr:rowOff>19050</xdr:rowOff>
    </xdr:to>
    <xdr:pic>
      <xdr:nvPicPr>
        <xdr:cNvPr id="3" name="headerlogo">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6550" y="38101"/>
          <a:ext cx="819150" cy="5143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133350</xdr:colOff>
      <xdr:row>5</xdr:row>
      <xdr:rowOff>38100</xdr:rowOff>
    </xdr:from>
    <xdr:to>
      <xdr:col>0</xdr:col>
      <xdr:colOff>1539240</xdr:colOff>
      <xdr:row>9</xdr:row>
      <xdr:rowOff>53340</xdr:rowOff>
    </xdr:to>
    <xdr:sp macro="" textlink="">
      <xdr:nvSpPr>
        <xdr:cNvPr id="95252" name="Rectangle 13332">
          <a:extLst>
            <a:ext uri="{FF2B5EF4-FFF2-40B4-BE49-F238E27FC236}">
              <a16:creationId xmlns:a16="http://schemas.microsoft.com/office/drawing/2014/main" id="{00000000-0008-0000-0300-000014740100}"/>
            </a:ext>
          </a:extLst>
        </xdr:cNvPr>
        <xdr:cNvSpPr>
          <a:spLocks noChangeArrowheads="1"/>
        </xdr:cNvSpPr>
      </xdr:nvSpPr>
      <xdr:spPr bwMode="auto">
        <a:xfrm>
          <a:off x="123825" y="847725"/>
          <a:ext cx="1419225" cy="752475"/>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1</xdr:col>
      <xdr:colOff>19050</xdr:colOff>
      <xdr:row>0</xdr:row>
      <xdr:rowOff>0</xdr:rowOff>
    </xdr:from>
    <xdr:to>
      <xdr:col>12</xdr:col>
      <xdr:colOff>57150</xdr:colOff>
      <xdr:row>5</xdr:row>
      <xdr:rowOff>152400</xdr:rowOff>
    </xdr:to>
    <xdr:grpSp>
      <xdr:nvGrpSpPr>
        <xdr:cNvPr id="95224" name="Group 13304">
          <a:extLst>
            <a:ext uri="{FF2B5EF4-FFF2-40B4-BE49-F238E27FC236}">
              <a16:creationId xmlns:a16="http://schemas.microsoft.com/office/drawing/2014/main" id="{00000000-0008-0000-0300-0000F8730100}"/>
            </a:ext>
          </a:extLst>
        </xdr:cNvPr>
        <xdr:cNvGrpSpPr>
          <a:grpSpLocks/>
        </xdr:cNvGrpSpPr>
      </xdr:nvGrpSpPr>
      <xdr:grpSpPr bwMode="auto">
        <a:xfrm>
          <a:off x="1664277" y="0"/>
          <a:ext cx="6445828" cy="975014"/>
          <a:chOff x="65" y="4"/>
          <a:chExt cx="675" cy="101"/>
        </a:xfrm>
      </xdr:grpSpPr>
      <xdr:grpSp>
        <xdr:nvGrpSpPr>
          <xdr:cNvPr id="95225" name="Group 13305">
            <a:extLst>
              <a:ext uri="{FF2B5EF4-FFF2-40B4-BE49-F238E27FC236}">
                <a16:creationId xmlns:a16="http://schemas.microsoft.com/office/drawing/2014/main" id="{00000000-0008-0000-0300-0000F9730100}"/>
              </a:ext>
            </a:extLst>
          </xdr:cNvPr>
          <xdr:cNvGrpSpPr>
            <a:grpSpLocks/>
          </xdr:cNvGrpSpPr>
        </xdr:nvGrpSpPr>
        <xdr:grpSpPr bwMode="auto">
          <a:xfrm>
            <a:off x="65" y="7"/>
            <a:ext cx="675" cy="98"/>
            <a:chOff x="65" y="7"/>
            <a:chExt cx="675" cy="98"/>
          </a:xfrm>
        </xdr:grpSpPr>
        <xdr:grpSp>
          <xdr:nvGrpSpPr>
            <xdr:cNvPr id="95227" name="Group 13307">
              <a:extLst>
                <a:ext uri="{FF2B5EF4-FFF2-40B4-BE49-F238E27FC236}">
                  <a16:creationId xmlns:a16="http://schemas.microsoft.com/office/drawing/2014/main" id="{00000000-0008-0000-0300-0000FB730100}"/>
                </a:ext>
              </a:extLst>
            </xdr:cNvPr>
            <xdr:cNvGrpSpPr>
              <a:grpSpLocks/>
            </xdr:cNvGrpSpPr>
          </xdr:nvGrpSpPr>
          <xdr:grpSpPr bwMode="auto">
            <a:xfrm>
              <a:off x="232" y="7"/>
              <a:ext cx="433" cy="93"/>
              <a:chOff x="168" y="7"/>
              <a:chExt cx="433" cy="93"/>
            </a:xfrm>
          </xdr:grpSpPr>
          <xdr:sp macro="" textlink="">
            <xdr:nvSpPr>
              <xdr:cNvPr id="95228" name="Text Box 13308">
                <a:extLst>
                  <a:ext uri="{FF2B5EF4-FFF2-40B4-BE49-F238E27FC236}">
                    <a16:creationId xmlns:a16="http://schemas.microsoft.com/office/drawing/2014/main" id="{00000000-0008-0000-0300-0000FC73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95229" name="Text Box 13309">
                <a:extLst>
                  <a:ext uri="{FF2B5EF4-FFF2-40B4-BE49-F238E27FC236}">
                    <a16:creationId xmlns:a16="http://schemas.microsoft.com/office/drawing/2014/main" id="{00000000-0008-0000-0300-0000FD73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95230" name="Text Box 13310">
                <a:extLst>
                  <a:ext uri="{FF2B5EF4-FFF2-40B4-BE49-F238E27FC236}">
                    <a16:creationId xmlns:a16="http://schemas.microsoft.com/office/drawing/2014/main" id="{00000000-0008-0000-0300-0000FE73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95231" name="Text Box 13311">
                <a:extLst>
                  <a:ext uri="{FF2B5EF4-FFF2-40B4-BE49-F238E27FC236}">
                    <a16:creationId xmlns:a16="http://schemas.microsoft.com/office/drawing/2014/main" id="{00000000-0008-0000-0300-0000FF73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95232" name="Text Box 13312">
                <a:extLst>
                  <a:ext uri="{FF2B5EF4-FFF2-40B4-BE49-F238E27FC236}">
                    <a16:creationId xmlns:a16="http://schemas.microsoft.com/office/drawing/2014/main" id="{00000000-0008-0000-0300-00000074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95233" name="Text Box 13313">
                <a:extLst>
                  <a:ext uri="{FF2B5EF4-FFF2-40B4-BE49-F238E27FC236}">
                    <a16:creationId xmlns:a16="http://schemas.microsoft.com/office/drawing/2014/main" id="{00000000-0008-0000-0300-00000174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95234" name="Text Box 13314">
                <a:extLst>
                  <a:ext uri="{FF2B5EF4-FFF2-40B4-BE49-F238E27FC236}">
                    <a16:creationId xmlns:a16="http://schemas.microsoft.com/office/drawing/2014/main" id="{00000000-0008-0000-0300-00000274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95235" name="Text Box 13315">
                <a:extLst>
                  <a:ext uri="{FF2B5EF4-FFF2-40B4-BE49-F238E27FC236}">
                    <a16:creationId xmlns:a16="http://schemas.microsoft.com/office/drawing/2014/main" id="{00000000-0008-0000-0300-00000374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95236" name="Text Box 13316">
                <a:extLst>
                  <a:ext uri="{FF2B5EF4-FFF2-40B4-BE49-F238E27FC236}">
                    <a16:creationId xmlns:a16="http://schemas.microsoft.com/office/drawing/2014/main" id="{00000000-0008-0000-0300-00000474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95237" name="Text Box 13317">
                <a:extLst>
                  <a:ext uri="{FF2B5EF4-FFF2-40B4-BE49-F238E27FC236}">
                    <a16:creationId xmlns:a16="http://schemas.microsoft.com/office/drawing/2014/main" id="{00000000-0008-0000-0300-00000574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95238" name="Text Box 13318">
                <a:extLst>
                  <a:ext uri="{FF2B5EF4-FFF2-40B4-BE49-F238E27FC236}">
                    <a16:creationId xmlns:a16="http://schemas.microsoft.com/office/drawing/2014/main" id="{00000000-0008-0000-0300-00000674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95239" name="Line 13319">
              <a:extLst>
                <a:ext uri="{FF2B5EF4-FFF2-40B4-BE49-F238E27FC236}">
                  <a16:creationId xmlns:a16="http://schemas.microsoft.com/office/drawing/2014/main" id="{00000000-0008-0000-0300-00000774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95240" name="Line 13320">
              <a:extLst>
                <a:ext uri="{FF2B5EF4-FFF2-40B4-BE49-F238E27FC236}">
                  <a16:creationId xmlns:a16="http://schemas.microsoft.com/office/drawing/2014/main" id="{00000000-0008-0000-0300-00000874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95241" name="Line 13321">
              <a:extLst>
                <a:ext uri="{FF2B5EF4-FFF2-40B4-BE49-F238E27FC236}">
                  <a16:creationId xmlns:a16="http://schemas.microsoft.com/office/drawing/2014/main" id="{00000000-0008-0000-0300-00000974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95242" name="Line 13322">
              <a:extLst>
                <a:ext uri="{FF2B5EF4-FFF2-40B4-BE49-F238E27FC236}">
                  <a16:creationId xmlns:a16="http://schemas.microsoft.com/office/drawing/2014/main" id="{00000000-0008-0000-0300-00000A74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95243" name="Group 13323">
            <a:extLst>
              <a:ext uri="{FF2B5EF4-FFF2-40B4-BE49-F238E27FC236}">
                <a16:creationId xmlns:a16="http://schemas.microsoft.com/office/drawing/2014/main" id="{00000000-0008-0000-0300-00000B740100}"/>
              </a:ext>
            </a:extLst>
          </xdr:cNvPr>
          <xdr:cNvGrpSpPr>
            <a:grpSpLocks/>
          </xdr:cNvGrpSpPr>
        </xdr:nvGrpSpPr>
        <xdr:grpSpPr bwMode="auto">
          <a:xfrm>
            <a:off x="272" y="4"/>
            <a:ext cx="457" cy="98"/>
            <a:chOff x="208" y="4"/>
            <a:chExt cx="457" cy="98"/>
          </a:xfrm>
        </xdr:grpSpPr>
        <xdr:sp macro="" textlink="'Cover Sheet'!E5:U5">
          <xdr:nvSpPr>
            <xdr:cNvPr id="95244" name="Text Box 13324">
              <a:extLst>
                <a:ext uri="{FF2B5EF4-FFF2-40B4-BE49-F238E27FC236}">
                  <a16:creationId xmlns:a16="http://schemas.microsoft.com/office/drawing/2014/main" id="{00000000-0008-0000-0300-00000C74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19B1B7F-D116-45BA-B07F-F1BE9F746CBA}"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95245" name="Text Box 13325">
              <a:extLst>
                <a:ext uri="{FF2B5EF4-FFF2-40B4-BE49-F238E27FC236}">
                  <a16:creationId xmlns:a16="http://schemas.microsoft.com/office/drawing/2014/main" id="{00000000-0008-0000-0300-00000D74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EA7B99E4-5993-47E4-BDC3-3607C23C3CD9}"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95246" name="Text Box 13326">
              <a:extLst>
                <a:ext uri="{FF2B5EF4-FFF2-40B4-BE49-F238E27FC236}">
                  <a16:creationId xmlns:a16="http://schemas.microsoft.com/office/drawing/2014/main" id="{00000000-0008-0000-0300-00000E74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Geometry and Loads</a:t>
              </a:r>
            </a:p>
          </xdr:txBody>
        </xdr:sp>
        <xdr:sp macro="" textlink="'Cover Sheet'!E4:U4">
          <xdr:nvSpPr>
            <xdr:cNvPr id="95247" name="Text Box 13327">
              <a:extLst>
                <a:ext uri="{FF2B5EF4-FFF2-40B4-BE49-F238E27FC236}">
                  <a16:creationId xmlns:a16="http://schemas.microsoft.com/office/drawing/2014/main" id="{00000000-0008-0000-0300-00000F74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312120A-6165-4EB9-B746-487CE1CCADB1}"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95248" name="Text Box 13328">
              <a:extLst>
                <a:ext uri="{FF2B5EF4-FFF2-40B4-BE49-F238E27FC236}">
                  <a16:creationId xmlns:a16="http://schemas.microsoft.com/office/drawing/2014/main" id="{00000000-0008-0000-0300-00001074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1D8E26A1-D3CC-4967-867E-FCB105CD13A0}"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95249" name="Text Box 13329">
              <a:extLst>
                <a:ext uri="{FF2B5EF4-FFF2-40B4-BE49-F238E27FC236}">
                  <a16:creationId xmlns:a16="http://schemas.microsoft.com/office/drawing/2014/main" id="{00000000-0008-0000-0300-00001174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AAAD6A0E-EA96-4FEC-A319-24BC69A16179}"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95250" name="Text Box 13330">
              <a:extLst>
                <a:ext uri="{FF2B5EF4-FFF2-40B4-BE49-F238E27FC236}">
                  <a16:creationId xmlns:a16="http://schemas.microsoft.com/office/drawing/2014/main" id="{00000000-0008-0000-0300-00001274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003F47B3-2717-4CB9-8F57-6425F98F0766}" type="TxLink">
                <a:rPr lang="en-US"/>
                <a:pPr/>
                <a:t> </a:t>
              </a:fld>
              <a:endParaRPr lang="en-US"/>
            </a:p>
          </xdr:txBody>
        </xdr:sp>
        <xdr:sp macro="" textlink="'Cover Sheet'!U37:Y37">
          <xdr:nvSpPr>
            <xdr:cNvPr id="95251" name="Text Box 13331">
              <a:extLst>
                <a:ext uri="{FF2B5EF4-FFF2-40B4-BE49-F238E27FC236}">
                  <a16:creationId xmlns:a16="http://schemas.microsoft.com/office/drawing/2014/main" id="{00000000-0008-0000-0300-00001374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3866C49E-C655-426E-9B06-3D83757F4AEA}" type="TxLink">
                <a:rPr lang="en-US"/>
                <a:pPr/>
                <a:t> </a:t>
              </a:fld>
              <a:endParaRPr lang="en-US"/>
            </a:p>
          </xdr:txBody>
        </xdr:sp>
      </xdr:grpSp>
    </xdr:grpSp>
    <xdr:clientData/>
  </xdr:twoCellAnchor>
  <xdr:twoCellAnchor editAs="oneCell">
    <xdr:from>
      <xdr:col>0</xdr:col>
      <xdr:colOff>200025</xdr:colOff>
      <xdr:row>92</xdr:row>
      <xdr:rowOff>76200</xdr:rowOff>
    </xdr:from>
    <xdr:to>
      <xdr:col>0</xdr:col>
      <xdr:colOff>1463040</xdr:colOff>
      <xdr:row>95</xdr:row>
      <xdr:rowOff>22339</xdr:rowOff>
    </xdr:to>
    <xdr:sp macro="[0]!Edit_Aesthetic_DB" textlink="">
      <xdr:nvSpPr>
        <xdr:cNvPr id="105750" name="Text Box 23830">
          <a:extLst>
            <a:ext uri="{FF2B5EF4-FFF2-40B4-BE49-F238E27FC236}">
              <a16:creationId xmlns:a16="http://schemas.microsoft.com/office/drawing/2014/main" id="{00000000-0008-0000-0300-0000169D0100}"/>
            </a:ext>
          </a:extLst>
        </xdr:cNvPr>
        <xdr:cNvSpPr txBox="1">
          <a:spLocks noChangeArrowheads="1"/>
        </xdr:cNvSpPr>
      </xdr:nvSpPr>
      <xdr:spPr bwMode="auto">
        <a:xfrm>
          <a:off x="200025" y="14868525"/>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Edit Aesthetic Column Database</a:t>
          </a:r>
        </a:p>
      </xdr:txBody>
    </xdr:sp>
    <xdr:clientData fPrintsWithSheet="0"/>
  </xdr:twoCellAnchor>
  <xdr:twoCellAnchor>
    <xdr:from>
      <xdr:col>1</xdr:col>
      <xdr:colOff>257175</xdr:colOff>
      <xdr:row>150</xdr:row>
      <xdr:rowOff>47625</xdr:rowOff>
    </xdr:from>
    <xdr:to>
      <xdr:col>11</xdr:col>
      <xdr:colOff>419100</xdr:colOff>
      <xdr:row>176</xdr:row>
      <xdr:rowOff>28575</xdr:rowOff>
    </xdr:to>
    <xdr:grpSp>
      <xdr:nvGrpSpPr>
        <xdr:cNvPr id="126224" name="bent" hidden="1">
          <a:extLst>
            <a:ext uri="{FF2B5EF4-FFF2-40B4-BE49-F238E27FC236}">
              <a16:creationId xmlns:a16="http://schemas.microsoft.com/office/drawing/2014/main" id="{00000000-0008-0000-0300-000010ED0100}"/>
            </a:ext>
          </a:extLst>
        </xdr:cNvPr>
        <xdr:cNvGrpSpPr>
          <a:grpSpLocks/>
        </xdr:cNvGrpSpPr>
      </xdr:nvGrpSpPr>
      <xdr:grpSpPr bwMode="auto">
        <a:xfrm>
          <a:off x="1902402" y="20812125"/>
          <a:ext cx="6006812" cy="1574223"/>
          <a:chOff x="200" y="2369"/>
          <a:chExt cx="627" cy="251"/>
        </a:xfrm>
      </xdr:grpSpPr>
      <xdr:sp macro="" textlink="">
        <xdr:nvSpPr>
          <xdr:cNvPr id="126207" name="cap" hidden="1">
            <a:extLst>
              <a:ext uri="{FF2B5EF4-FFF2-40B4-BE49-F238E27FC236}">
                <a16:creationId xmlns:a16="http://schemas.microsoft.com/office/drawing/2014/main" id="{00000000-0008-0000-0300-0000FFEC0100}"/>
              </a:ext>
            </a:extLst>
          </xdr:cNvPr>
          <xdr:cNvSpPr>
            <a:spLocks noChangeArrowheads="1"/>
          </xdr:cNvSpPr>
        </xdr:nvSpPr>
        <xdr:spPr bwMode="auto">
          <a:xfrm>
            <a:off x="240" y="2462"/>
            <a:ext cx="533" cy="64"/>
          </a:xfrm>
          <a:prstGeom prst="rect">
            <a:avLst/>
          </a:prstGeom>
          <a:solidFill>
            <a:srgbClr val="FFFFFF"/>
          </a:solidFill>
          <a:ln w="9525">
            <a:solidFill>
              <a:srgbClr val="000000"/>
            </a:solidFill>
            <a:miter lim="800000"/>
            <a:headEnd/>
            <a:tailEnd/>
          </a:ln>
        </xdr:spPr>
      </xdr:sp>
      <xdr:sp macro="" textlink="">
        <xdr:nvSpPr>
          <xdr:cNvPr id="126208" name="ColSpa1" hidden="1">
            <a:extLst>
              <a:ext uri="{FF2B5EF4-FFF2-40B4-BE49-F238E27FC236}">
                <a16:creationId xmlns:a16="http://schemas.microsoft.com/office/drawing/2014/main" id="{00000000-0008-0000-0300-000000ED0100}"/>
              </a:ext>
            </a:extLst>
          </xdr:cNvPr>
          <xdr:cNvSpPr>
            <a:spLocks noChangeArrowheads="1"/>
          </xdr:cNvSpPr>
        </xdr:nvSpPr>
        <xdr:spPr bwMode="auto">
          <a:xfrm>
            <a:off x="280" y="2474"/>
            <a:ext cx="40" cy="40"/>
          </a:xfrm>
          <a:prstGeom prst="rect">
            <a:avLst/>
          </a:prstGeom>
          <a:solidFill>
            <a:srgbClr val="FFFFFF"/>
          </a:solidFill>
          <a:ln w="12700">
            <a:solidFill>
              <a:srgbClr val="000000"/>
            </a:solidFill>
            <a:prstDash val="dash"/>
            <a:miter lim="800000"/>
            <a:headEnd/>
            <a:tailEnd/>
          </a:ln>
        </xdr:spPr>
      </xdr:sp>
      <xdr:sp macro="" textlink="">
        <xdr:nvSpPr>
          <xdr:cNvPr id="126209" name="ColSpa2" hidden="1">
            <a:extLst>
              <a:ext uri="{FF2B5EF4-FFF2-40B4-BE49-F238E27FC236}">
                <a16:creationId xmlns:a16="http://schemas.microsoft.com/office/drawing/2014/main" id="{00000000-0008-0000-0300-000001ED0100}"/>
              </a:ext>
            </a:extLst>
          </xdr:cNvPr>
          <xdr:cNvSpPr>
            <a:spLocks noChangeArrowheads="1"/>
          </xdr:cNvSpPr>
        </xdr:nvSpPr>
        <xdr:spPr bwMode="auto">
          <a:xfrm>
            <a:off x="487" y="2474"/>
            <a:ext cx="40" cy="40"/>
          </a:xfrm>
          <a:prstGeom prst="rect">
            <a:avLst/>
          </a:prstGeom>
          <a:solidFill>
            <a:srgbClr val="FFFFFF"/>
          </a:solidFill>
          <a:ln w="12700">
            <a:solidFill>
              <a:srgbClr val="000000"/>
            </a:solidFill>
            <a:prstDash val="dash"/>
            <a:miter lim="800000"/>
            <a:headEnd/>
            <a:tailEnd/>
          </a:ln>
        </xdr:spPr>
      </xdr:sp>
      <xdr:sp macro="" textlink="">
        <xdr:nvSpPr>
          <xdr:cNvPr id="126210" name="ColSpa3" hidden="1">
            <a:extLst>
              <a:ext uri="{FF2B5EF4-FFF2-40B4-BE49-F238E27FC236}">
                <a16:creationId xmlns:a16="http://schemas.microsoft.com/office/drawing/2014/main" id="{00000000-0008-0000-0300-000002ED0100}"/>
              </a:ext>
            </a:extLst>
          </xdr:cNvPr>
          <xdr:cNvSpPr>
            <a:spLocks noChangeArrowheads="1"/>
          </xdr:cNvSpPr>
        </xdr:nvSpPr>
        <xdr:spPr bwMode="auto">
          <a:xfrm>
            <a:off x="693" y="2474"/>
            <a:ext cx="40" cy="40"/>
          </a:xfrm>
          <a:prstGeom prst="rect">
            <a:avLst/>
          </a:prstGeom>
          <a:solidFill>
            <a:srgbClr val="FFFFFF"/>
          </a:solidFill>
          <a:ln w="12700">
            <a:solidFill>
              <a:srgbClr val="000000"/>
            </a:solidFill>
            <a:prstDash val="dash"/>
            <a:miter lim="800000"/>
            <a:headEnd/>
            <a:tailEnd/>
          </a:ln>
        </xdr:spPr>
      </xdr:sp>
      <xdr:sp macro="" textlink="">
        <xdr:nvSpPr>
          <xdr:cNvPr id="126211" name="centerline" hidden="1">
            <a:extLst>
              <a:ext uri="{FF2B5EF4-FFF2-40B4-BE49-F238E27FC236}">
                <a16:creationId xmlns:a16="http://schemas.microsoft.com/office/drawing/2014/main" id="{00000000-0008-0000-0300-000003ED0100}"/>
              </a:ext>
            </a:extLst>
          </xdr:cNvPr>
          <xdr:cNvSpPr>
            <a:spLocks noChangeShapeType="1"/>
          </xdr:cNvSpPr>
        </xdr:nvSpPr>
        <xdr:spPr bwMode="auto">
          <a:xfrm>
            <a:off x="200" y="2494"/>
            <a:ext cx="627" cy="0"/>
          </a:xfrm>
          <a:prstGeom prst="line">
            <a:avLst/>
          </a:prstGeom>
          <a:noFill/>
          <a:ln w="9525">
            <a:solidFill>
              <a:srgbClr val="000000"/>
            </a:solidFill>
            <a:prstDash val="lgDashDot"/>
            <a:round/>
            <a:headEnd/>
            <a:tailEnd/>
          </a:ln>
        </xdr:spPr>
      </xdr:sp>
      <xdr:sp macro="" textlink="">
        <xdr:nvSpPr>
          <xdr:cNvPr id="126212" name="BBSPA1" hidden="1">
            <a:extLst>
              <a:ext uri="{FF2B5EF4-FFF2-40B4-BE49-F238E27FC236}">
                <a16:creationId xmlns:a16="http://schemas.microsoft.com/office/drawing/2014/main" id="{00000000-0008-0000-0300-000004ED0100}"/>
              </a:ext>
            </a:extLst>
          </xdr:cNvPr>
          <xdr:cNvSpPr>
            <a:spLocks noChangeShapeType="1"/>
          </xdr:cNvSpPr>
        </xdr:nvSpPr>
        <xdr:spPr bwMode="auto">
          <a:xfrm flipH="1">
            <a:off x="268" y="2494"/>
            <a:ext cx="46" cy="126"/>
          </a:xfrm>
          <a:prstGeom prst="line">
            <a:avLst/>
          </a:prstGeom>
          <a:noFill/>
          <a:ln w="9525">
            <a:solidFill>
              <a:srgbClr val="000000"/>
            </a:solidFill>
            <a:prstDash val="dashDot"/>
            <a:round/>
            <a:headEnd/>
            <a:tailEnd/>
          </a:ln>
        </xdr:spPr>
      </xdr:sp>
      <xdr:sp macro="" textlink="">
        <xdr:nvSpPr>
          <xdr:cNvPr id="126213" name="BBSPA2" hidden="1">
            <a:extLst>
              <a:ext uri="{FF2B5EF4-FFF2-40B4-BE49-F238E27FC236}">
                <a16:creationId xmlns:a16="http://schemas.microsoft.com/office/drawing/2014/main" id="{00000000-0008-0000-0300-000005ED0100}"/>
              </a:ext>
            </a:extLst>
          </xdr:cNvPr>
          <xdr:cNvSpPr>
            <a:spLocks noChangeShapeType="1"/>
          </xdr:cNvSpPr>
        </xdr:nvSpPr>
        <xdr:spPr bwMode="auto">
          <a:xfrm flipH="1">
            <a:off x="365" y="2494"/>
            <a:ext cx="45" cy="126"/>
          </a:xfrm>
          <a:prstGeom prst="line">
            <a:avLst/>
          </a:prstGeom>
          <a:noFill/>
          <a:ln w="9525">
            <a:solidFill>
              <a:srgbClr val="000000"/>
            </a:solidFill>
            <a:prstDash val="dashDot"/>
            <a:round/>
            <a:headEnd/>
            <a:tailEnd/>
          </a:ln>
        </xdr:spPr>
      </xdr:sp>
      <xdr:sp macro="" textlink="">
        <xdr:nvSpPr>
          <xdr:cNvPr id="126214" name="BBSPA3" hidden="1">
            <a:extLst>
              <a:ext uri="{FF2B5EF4-FFF2-40B4-BE49-F238E27FC236}">
                <a16:creationId xmlns:a16="http://schemas.microsoft.com/office/drawing/2014/main" id="{00000000-0008-0000-0300-000006ED0100}"/>
              </a:ext>
            </a:extLst>
          </xdr:cNvPr>
          <xdr:cNvSpPr>
            <a:spLocks noChangeShapeType="1"/>
          </xdr:cNvSpPr>
        </xdr:nvSpPr>
        <xdr:spPr bwMode="auto">
          <a:xfrm flipH="1">
            <a:off x="461" y="2494"/>
            <a:ext cx="46" cy="126"/>
          </a:xfrm>
          <a:prstGeom prst="line">
            <a:avLst/>
          </a:prstGeom>
          <a:noFill/>
          <a:ln w="9525">
            <a:solidFill>
              <a:srgbClr val="000000"/>
            </a:solidFill>
            <a:prstDash val="dashDot"/>
            <a:round/>
            <a:headEnd/>
            <a:tailEnd/>
          </a:ln>
        </xdr:spPr>
      </xdr:sp>
      <xdr:sp macro="" textlink="">
        <xdr:nvSpPr>
          <xdr:cNvPr id="126215" name="BBSPA4" hidden="1">
            <a:extLst>
              <a:ext uri="{FF2B5EF4-FFF2-40B4-BE49-F238E27FC236}">
                <a16:creationId xmlns:a16="http://schemas.microsoft.com/office/drawing/2014/main" id="{00000000-0008-0000-0300-000007ED0100}"/>
              </a:ext>
            </a:extLst>
          </xdr:cNvPr>
          <xdr:cNvSpPr>
            <a:spLocks noChangeShapeType="1"/>
          </xdr:cNvSpPr>
        </xdr:nvSpPr>
        <xdr:spPr bwMode="auto">
          <a:xfrm flipH="1">
            <a:off x="558" y="2494"/>
            <a:ext cx="45" cy="126"/>
          </a:xfrm>
          <a:prstGeom prst="line">
            <a:avLst/>
          </a:prstGeom>
          <a:noFill/>
          <a:ln w="9525">
            <a:solidFill>
              <a:srgbClr val="000000"/>
            </a:solidFill>
            <a:prstDash val="dashDot"/>
            <a:round/>
            <a:headEnd/>
            <a:tailEnd/>
          </a:ln>
        </xdr:spPr>
      </xdr:sp>
      <xdr:sp macro="" textlink="">
        <xdr:nvSpPr>
          <xdr:cNvPr id="126216" name="BBSPA5" hidden="1">
            <a:extLst>
              <a:ext uri="{FF2B5EF4-FFF2-40B4-BE49-F238E27FC236}">
                <a16:creationId xmlns:a16="http://schemas.microsoft.com/office/drawing/2014/main" id="{00000000-0008-0000-0300-000008ED0100}"/>
              </a:ext>
            </a:extLst>
          </xdr:cNvPr>
          <xdr:cNvSpPr>
            <a:spLocks noChangeShapeType="1"/>
          </xdr:cNvSpPr>
        </xdr:nvSpPr>
        <xdr:spPr bwMode="auto">
          <a:xfrm flipH="1">
            <a:off x="654" y="2494"/>
            <a:ext cx="46" cy="126"/>
          </a:xfrm>
          <a:prstGeom prst="line">
            <a:avLst/>
          </a:prstGeom>
          <a:noFill/>
          <a:ln w="9525">
            <a:solidFill>
              <a:srgbClr val="000000"/>
            </a:solidFill>
            <a:prstDash val="dashDot"/>
            <a:round/>
            <a:headEnd/>
            <a:tailEnd/>
          </a:ln>
        </xdr:spPr>
      </xdr:sp>
      <xdr:sp macro="" textlink="">
        <xdr:nvSpPr>
          <xdr:cNvPr id="126217" name="BBSPA6" hidden="1">
            <a:extLst>
              <a:ext uri="{FF2B5EF4-FFF2-40B4-BE49-F238E27FC236}">
                <a16:creationId xmlns:a16="http://schemas.microsoft.com/office/drawing/2014/main" id="{00000000-0008-0000-0300-000009ED0100}"/>
              </a:ext>
            </a:extLst>
          </xdr:cNvPr>
          <xdr:cNvSpPr>
            <a:spLocks noChangeShapeType="1"/>
          </xdr:cNvSpPr>
        </xdr:nvSpPr>
        <xdr:spPr bwMode="auto">
          <a:xfrm flipH="1">
            <a:off x="750" y="2494"/>
            <a:ext cx="46" cy="126"/>
          </a:xfrm>
          <a:prstGeom prst="line">
            <a:avLst/>
          </a:prstGeom>
          <a:noFill/>
          <a:ln w="9525">
            <a:solidFill>
              <a:srgbClr val="000000"/>
            </a:solidFill>
            <a:prstDash val="dashDot"/>
            <a:round/>
            <a:headEnd/>
            <a:tailEnd/>
          </a:ln>
        </xdr:spPr>
      </xdr:sp>
      <xdr:sp macro="" textlink="">
        <xdr:nvSpPr>
          <xdr:cNvPr id="126218" name="FBSPA1" hidden="1">
            <a:extLst>
              <a:ext uri="{FF2B5EF4-FFF2-40B4-BE49-F238E27FC236}">
                <a16:creationId xmlns:a16="http://schemas.microsoft.com/office/drawing/2014/main" id="{00000000-0008-0000-0300-00000AED0100}"/>
              </a:ext>
            </a:extLst>
          </xdr:cNvPr>
          <xdr:cNvSpPr>
            <a:spLocks noChangeShapeType="1"/>
          </xdr:cNvSpPr>
        </xdr:nvSpPr>
        <xdr:spPr bwMode="auto">
          <a:xfrm flipV="1">
            <a:off x="314" y="2369"/>
            <a:ext cx="45" cy="125"/>
          </a:xfrm>
          <a:prstGeom prst="line">
            <a:avLst/>
          </a:prstGeom>
          <a:noFill/>
          <a:ln w="9525">
            <a:solidFill>
              <a:srgbClr val="000000"/>
            </a:solidFill>
            <a:prstDash val="dashDot"/>
            <a:round/>
            <a:headEnd/>
            <a:tailEnd/>
          </a:ln>
        </xdr:spPr>
      </xdr:sp>
      <xdr:sp macro="" textlink="">
        <xdr:nvSpPr>
          <xdr:cNvPr id="126219" name="FBSPA2" hidden="1">
            <a:extLst>
              <a:ext uri="{FF2B5EF4-FFF2-40B4-BE49-F238E27FC236}">
                <a16:creationId xmlns:a16="http://schemas.microsoft.com/office/drawing/2014/main" id="{00000000-0008-0000-0300-00000BED0100}"/>
              </a:ext>
            </a:extLst>
          </xdr:cNvPr>
          <xdr:cNvSpPr>
            <a:spLocks noChangeShapeType="1"/>
          </xdr:cNvSpPr>
        </xdr:nvSpPr>
        <xdr:spPr bwMode="auto">
          <a:xfrm flipV="1">
            <a:off x="399" y="2369"/>
            <a:ext cx="45" cy="125"/>
          </a:xfrm>
          <a:prstGeom prst="line">
            <a:avLst/>
          </a:prstGeom>
          <a:noFill/>
          <a:ln w="9525">
            <a:solidFill>
              <a:srgbClr val="000000"/>
            </a:solidFill>
            <a:prstDash val="dashDot"/>
            <a:round/>
            <a:headEnd/>
            <a:tailEnd/>
          </a:ln>
        </xdr:spPr>
      </xdr:sp>
      <xdr:sp macro="" textlink="">
        <xdr:nvSpPr>
          <xdr:cNvPr id="126220" name="FBSPA3" hidden="1">
            <a:extLst>
              <a:ext uri="{FF2B5EF4-FFF2-40B4-BE49-F238E27FC236}">
                <a16:creationId xmlns:a16="http://schemas.microsoft.com/office/drawing/2014/main" id="{00000000-0008-0000-0300-00000CED0100}"/>
              </a:ext>
            </a:extLst>
          </xdr:cNvPr>
          <xdr:cNvSpPr>
            <a:spLocks noChangeShapeType="1"/>
          </xdr:cNvSpPr>
        </xdr:nvSpPr>
        <xdr:spPr bwMode="auto">
          <a:xfrm flipV="1">
            <a:off x="484" y="2369"/>
            <a:ext cx="46" cy="125"/>
          </a:xfrm>
          <a:prstGeom prst="line">
            <a:avLst/>
          </a:prstGeom>
          <a:noFill/>
          <a:ln w="9525">
            <a:solidFill>
              <a:srgbClr val="000000"/>
            </a:solidFill>
            <a:prstDash val="dashDot"/>
            <a:round/>
            <a:headEnd/>
            <a:tailEnd/>
          </a:ln>
        </xdr:spPr>
      </xdr:sp>
      <xdr:sp macro="" textlink="">
        <xdr:nvSpPr>
          <xdr:cNvPr id="126221" name="FBSPA4" hidden="1">
            <a:extLst>
              <a:ext uri="{FF2B5EF4-FFF2-40B4-BE49-F238E27FC236}">
                <a16:creationId xmlns:a16="http://schemas.microsoft.com/office/drawing/2014/main" id="{00000000-0008-0000-0300-00000DED0100}"/>
              </a:ext>
            </a:extLst>
          </xdr:cNvPr>
          <xdr:cNvSpPr>
            <a:spLocks noChangeShapeType="1"/>
          </xdr:cNvSpPr>
        </xdr:nvSpPr>
        <xdr:spPr bwMode="auto">
          <a:xfrm flipV="1">
            <a:off x="569" y="2369"/>
            <a:ext cx="46" cy="125"/>
          </a:xfrm>
          <a:prstGeom prst="line">
            <a:avLst/>
          </a:prstGeom>
          <a:noFill/>
          <a:ln w="9525">
            <a:solidFill>
              <a:srgbClr val="000000"/>
            </a:solidFill>
            <a:prstDash val="dashDot"/>
            <a:round/>
            <a:headEnd/>
            <a:tailEnd/>
          </a:ln>
        </xdr:spPr>
      </xdr:sp>
      <xdr:sp macro="" textlink="">
        <xdr:nvSpPr>
          <xdr:cNvPr id="126222" name="LeftDeck" hidden="1">
            <a:extLst>
              <a:ext uri="{FF2B5EF4-FFF2-40B4-BE49-F238E27FC236}">
                <a16:creationId xmlns:a16="http://schemas.microsoft.com/office/drawing/2014/main" id="{00000000-0008-0000-0300-00000EED0100}"/>
              </a:ext>
            </a:extLst>
          </xdr:cNvPr>
          <xdr:cNvSpPr>
            <a:spLocks noChangeShapeType="1"/>
          </xdr:cNvSpPr>
        </xdr:nvSpPr>
        <xdr:spPr bwMode="auto">
          <a:xfrm flipV="1">
            <a:off x="225" y="2369"/>
            <a:ext cx="92" cy="251"/>
          </a:xfrm>
          <a:prstGeom prst="line">
            <a:avLst/>
          </a:prstGeom>
          <a:noFill/>
          <a:ln w="19050">
            <a:solidFill>
              <a:srgbClr val="000000"/>
            </a:solidFill>
            <a:round/>
            <a:headEnd/>
            <a:tailEnd/>
          </a:ln>
        </xdr:spPr>
      </xdr:sp>
      <xdr:sp macro="" textlink="">
        <xdr:nvSpPr>
          <xdr:cNvPr id="126223" name="RightDeck" hidden="1">
            <a:extLst>
              <a:ext uri="{FF2B5EF4-FFF2-40B4-BE49-F238E27FC236}">
                <a16:creationId xmlns:a16="http://schemas.microsoft.com/office/drawing/2014/main" id="{00000000-0008-0000-0300-00000FED0100}"/>
              </a:ext>
            </a:extLst>
          </xdr:cNvPr>
          <xdr:cNvSpPr>
            <a:spLocks noChangeShapeType="1"/>
          </xdr:cNvSpPr>
        </xdr:nvSpPr>
        <xdr:spPr bwMode="auto">
          <a:xfrm flipV="1">
            <a:off x="580" y="2369"/>
            <a:ext cx="91" cy="251"/>
          </a:xfrm>
          <a:prstGeom prst="line">
            <a:avLst/>
          </a:prstGeom>
          <a:noFill/>
          <a:ln w="19050">
            <a:solidFill>
              <a:srgbClr val="000000"/>
            </a:solidFill>
            <a:round/>
            <a:headEnd/>
            <a:tailEnd/>
          </a:ln>
        </xdr:spPr>
      </xdr:sp>
    </xdr:grpSp>
    <xdr:clientData/>
  </xdr:twoCellAnchor>
  <xdr:twoCellAnchor editAs="oneCell">
    <xdr:from>
      <xdr:col>1</xdr:col>
      <xdr:colOff>38100</xdr:colOff>
      <xdr:row>0</xdr:row>
      <xdr:rowOff>38100</xdr:rowOff>
    </xdr:from>
    <xdr:to>
      <xdr:col>3</xdr:col>
      <xdr:colOff>288492</xdr:colOff>
      <xdr:row>4</xdr:row>
      <xdr:rowOff>152400</xdr:rowOff>
    </xdr:to>
    <xdr:pic>
      <xdr:nvPicPr>
        <xdr:cNvPr id="82" name="headerlogo">
          <a:extLst>
            <a:ext uri="{FF2B5EF4-FFF2-40B4-BE49-F238E27FC236}">
              <a16:creationId xmlns:a16="http://schemas.microsoft.com/office/drawing/2014/main" id="{00000000-0008-0000-0300-00005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38100"/>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6</xdr:row>
          <xdr:rowOff>0</xdr:rowOff>
        </xdr:from>
        <xdr:to>
          <xdr:col>0</xdr:col>
          <xdr:colOff>1476375</xdr:colOff>
          <xdr:row>8</xdr:row>
          <xdr:rowOff>95250</xdr:rowOff>
        </xdr:to>
        <xdr:sp macro="" textlink="">
          <xdr:nvSpPr>
            <xdr:cNvPr id="95193" name="Button 13273" hidden="1">
              <a:extLst>
                <a:ext uri="{63B3BB69-23CF-44E3-9099-C40C66FF867C}">
                  <a14:compatExt spid="_x0000_s95193"/>
                </a:ext>
                <a:ext uri="{FF2B5EF4-FFF2-40B4-BE49-F238E27FC236}">
                  <a16:creationId xmlns:a16="http://schemas.microsoft.com/office/drawing/2014/main" id="{00000000-0008-0000-0300-0000D97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Initialize Design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51</xdr:row>
          <xdr:rowOff>66675</xdr:rowOff>
        </xdr:from>
        <xdr:to>
          <xdr:col>16</xdr:col>
          <xdr:colOff>419100</xdr:colOff>
          <xdr:row>52</xdr:row>
          <xdr:rowOff>133350</xdr:rowOff>
        </xdr:to>
        <xdr:sp macro="" textlink="">
          <xdr:nvSpPr>
            <xdr:cNvPr id="95194" name="Check Box 101" descr="Generate Cap Design Data Sheets" hidden="1">
              <a:extLst>
                <a:ext uri="{63B3BB69-23CF-44E3-9099-C40C66FF867C}">
                  <a14:compatExt spid="_x0000_s95194"/>
                </a:ext>
                <a:ext uri="{FF2B5EF4-FFF2-40B4-BE49-F238E27FC236}">
                  <a16:creationId xmlns:a16="http://schemas.microsoft.com/office/drawing/2014/main" id="{00000000-0008-0000-0300-0000DA73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 Cap Design Data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54</xdr:row>
          <xdr:rowOff>57150</xdr:rowOff>
        </xdr:from>
        <xdr:to>
          <xdr:col>16</xdr:col>
          <xdr:colOff>428625</xdr:colOff>
          <xdr:row>55</xdr:row>
          <xdr:rowOff>133350</xdr:rowOff>
        </xdr:to>
        <xdr:sp macro="" textlink="">
          <xdr:nvSpPr>
            <xdr:cNvPr id="95195" name="Check Box 102" descr="Generate Column Design Data Sheets" hidden="1">
              <a:extLst>
                <a:ext uri="{63B3BB69-23CF-44E3-9099-C40C66FF867C}">
                  <a14:compatExt spid="_x0000_s95195"/>
                </a:ext>
                <a:ext uri="{FF2B5EF4-FFF2-40B4-BE49-F238E27FC236}">
                  <a16:creationId xmlns:a16="http://schemas.microsoft.com/office/drawing/2014/main" id="{00000000-0008-0000-0300-0000DB73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 Column Design Data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93</xdr:row>
          <xdr:rowOff>95250</xdr:rowOff>
        </xdr:from>
        <xdr:to>
          <xdr:col>11</xdr:col>
          <xdr:colOff>66675</xdr:colOff>
          <xdr:row>95</xdr:row>
          <xdr:rowOff>9525</xdr:rowOff>
        </xdr:to>
        <xdr:sp macro="" textlink="">
          <xdr:nvSpPr>
            <xdr:cNvPr id="105263" name="Check Box 23343" descr="Generate Column Design Data Sheets" hidden="1">
              <a:extLst>
                <a:ext uri="{63B3BB69-23CF-44E3-9099-C40C66FF867C}">
                  <a14:compatExt spid="_x0000_s105263"/>
                </a:ext>
                <a:ext uri="{FF2B5EF4-FFF2-40B4-BE49-F238E27FC236}">
                  <a16:creationId xmlns:a16="http://schemas.microsoft.com/office/drawing/2014/main" id="{00000000-0008-0000-0300-00002F9B0100}"/>
                </a:ext>
              </a:extLst>
            </xdr:cNvPr>
            <xdr:cNvSpPr/>
          </xdr:nvSpPr>
          <xdr:spPr bwMode="auto">
            <a:xfrm>
              <a:off x="0" y="0"/>
              <a:ext cx="0" cy="0"/>
            </a:xfrm>
            <a:prstGeom prst="rect">
              <a:avLst/>
            </a:prstGeom>
            <a:solidFill>
              <a:srgbClr val="FFCC99" mc:Ignorable="a14" a14:legacySpreadsheetColorIndex="47"/>
            </a:solidFill>
            <a:ln>
              <a:noFill/>
            </a:ln>
            <a:extLst>
              <a:ext uri="{91240B29-F687-4F45-9708-019B960494DF}">
                <a14:hiddenLine w="19050">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Project Specific Aesthetic Column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57</xdr:row>
          <xdr:rowOff>28575</xdr:rowOff>
        </xdr:from>
        <xdr:to>
          <xdr:col>16</xdr:col>
          <xdr:colOff>428625</xdr:colOff>
          <xdr:row>58</xdr:row>
          <xdr:rowOff>66675</xdr:rowOff>
        </xdr:to>
        <xdr:sp macro="" textlink="">
          <xdr:nvSpPr>
            <xdr:cNvPr id="117994" name="Drilled Shaft Loads" descr="Generate Cap Design Data Sheets" hidden="1">
              <a:extLst>
                <a:ext uri="{63B3BB69-23CF-44E3-9099-C40C66FF867C}">
                  <a14:compatExt spid="_x0000_s117994"/>
                </a:ext>
                <a:ext uri="{FF2B5EF4-FFF2-40B4-BE49-F238E27FC236}">
                  <a16:creationId xmlns:a16="http://schemas.microsoft.com/office/drawing/2014/main" id="{00000000-0008-0000-0300-0000EACC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Calculate Drilled Shaft Loads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47</xdr:row>
          <xdr:rowOff>19050</xdr:rowOff>
        </xdr:from>
        <xdr:to>
          <xdr:col>16</xdr:col>
          <xdr:colOff>428625</xdr:colOff>
          <xdr:row>48</xdr:row>
          <xdr:rowOff>76200</xdr:rowOff>
        </xdr:to>
        <xdr:sp macro="" textlink="">
          <xdr:nvSpPr>
            <xdr:cNvPr id="121960" name="DistributeRail" hidden="1">
              <a:extLst>
                <a:ext uri="{63B3BB69-23CF-44E3-9099-C40C66FF867C}">
                  <a14:compatExt spid="_x0000_s121960"/>
                </a:ext>
                <a:ext uri="{FF2B5EF4-FFF2-40B4-BE49-F238E27FC236}">
                  <a16:creationId xmlns:a16="http://schemas.microsoft.com/office/drawing/2014/main" id="{00000000-0008-0000-0300-000068DC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Distribute outside rail loads to all bms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123825</xdr:colOff>
          <xdr:row>189</xdr:row>
          <xdr:rowOff>19050</xdr:rowOff>
        </xdr:from>
        <xdr:to>
          <xdr:col>13</xdr:col>
          <xdr:colOff>561975</xdr:colOff>
          <xdr:row>190</xdr:row>
          <xdr:rowOff>152400</xdr:rowOff>
        </xdr:to>
        <xdr:sp macro="" textlink="">
          <xdr:nvSpPr>
            <xdr:cNvPr id="146614" name="Button 52406" hidden="1">
              <a:extLst>
                <a:ext uri="{63B3BB69-23CF-44E3-9099-C40C66FF867C}">
                  <a14:compatExt spid="_x0000_s146614"/>
                </a:ext>
                <a:ext uri="{FF2B5EF4-FFF2-40B4-BE49-F238E27FC236}">
                  <a16:creationId xmlns:a16="http://schemas.microsoft.com/office/drawing/2014/main" id="{00000000-0008-0000-0300-0000B63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86</xdr:row>
          <xdr:rowOff>114300</xdr:rowOff>
        </xdr:from>
        <xdr:to>
          <xdr:col>16</xdr:col>
          <xdr:colOff>428625</xdr:colOff>
          <xdr:row>88</xdr:row>
          <xdr:rowOff>28575</xdr:rowOff>
        </xdr:to>
        <xdr:sp macro="" textlink="">
          <xdr:nvSpPr>
            <xdr:cNvPr id="2" name="Check Box 52407" descr="Generate Column Design Data Sheets" hidden="1">
              <a:extLst>
                <a:ext uri="{63B3BB69-23CF-44E3-9099-C40C66FF867C}">
                  <a14:compatExt spid="_x0000_s146615"/>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Increased Clear Cover (+ 0.5")</a:t>
              </a:r>
            </a:p>
          </xdr:txBody>
        </xdr:sp>
        <xdr:clientData fPrintsWithSheet="0"/>
      </xdr:twoCellAnchor>
    </mc:Choice>
    <mc:Fallback/>
  </mc:AlternateContent>
  <xdr:twoCellAnchor>
    <xdr:from>
      <xdr:col>1</xdr:col>
      <xdr:colOff>132045</xdr:colOff>
      <xdr:row>176</xdr:row>
      <xdr:rowOff>43107</xdr:rowOff>
    </xdr:from>
    <xdr:to>
      <xdr:col>11</xdr:col>
      <xdr:colOff>440494</xdr:colOff>
      <xdr:row>193</xdr:row>
      <xdr:rowOff>147670</xdr:rowOff>
    </xdr:to>
    <xdr:grpSp>
      <xdr:nvGrpSpPr>
        <xdr:cNvPr id="105728" name="drawing1">
          <a:extLst>
            <a:ext uri="{FF2B5EF4-FFF2-40B4-BE49-F238E27FC236}">
              <a16:creationId xmlns:a16="http://schemas.microsoft.com/office/drawing/2014/main" id="{00000000-0008-0000-0300-0000009D0100}"/>
            </a:ext>
          </a:extLst>
        </xdr:cNvPr>
        <xdr:cNvGrpSpPr/>
      </xdr:nvGrpSpPr>
      <xdr:grpSpPr>
        <a:xfrm>
          <a:off x="1777272" y="22400880"/>
          <a:ext cx="6153336" cy="2901449"/>
          <a:chOff x="1779870" y="22826907"/>
          <a:chExt cx="6147274" cy="2857288"/>
        </a:xfrm>
      </xdr:grpSpPr>
      <xdr:grpSp>
        <xdr:nvGrpSpPr>
          <xdr:cNvPr id="146608" name="background">
            <a:extLst>
              <a:ext uri="{FF2B5EF4-FFF2-40B4-BE49-F238E27FC236}">
                <a16:creationId xmlns:a16="http://schemas.microsoft.com/office/drawing/2014/main" id="{00000000-0008-0000-0300-0000B03C0200}"/>
              </a:ext>
            </a:extLst>
          </xdr:cNvPr>
          <xdr:cNvGrpSpPr>
            <a:grpSpLocks/>
          </xdr:cNvGrpSpPr>
        </xdr:nvGrpSpPr>
        <xdr:grpSpPr bwMode="auto">
          <a:xfrm>
            <a:off x="1779870" y="22826907"/>
            <a:ext cx="6147274" cy="2857288"/>
            <a:chOff x="194" y="2313"/>
            <a:chExt cx="640" cy="275"/>
          </a:xfrm>
        </xdr:grpSpPr>
        <xdr:sp macro="[0]!drawing" textlink="">
          <xdr:nvSpPr>
            <xdr:cNvPr id="146609" name="Rectangle 52401">
              <a:extLst>
                <a:ext uri="{FF2B5EF4-FFF2-40B4-BE49-F238E27FC236}">
                  <a16:creationId xmlns:a16="http://schemas.microsoft.com/office/drawing/2014/main" id="{00000000-0008-0000-0300-0000B13C0200}"/>
                </a:ext>
              </a:extLst>
            </xdr:cNvPr>
            <xdr:cNvSpPr>
              <a:spLocks noChangeArrowheads="1"/>
            </xdr:cNvSpPr>
          </xdr:nvSpPr>
          <xdr:spPr bwMode="auto">
            <a:xfrm>
              <a:off x="194" y="2313"/>
              <a:ext cx="640" cy="275"/>
            </a:xfrm>
            <a:prstGeom prst="rect">
              <a:avLst/>
            </a:prstGeom>
            <a:solidFill>
              <a:srgbClr val="CCFFCC"/>
            </a:solidFill>
            <a:ln w="9525">
              <a:solidFill>
                <a:srgbClr val="000000"/>
              </a:solidFill>
              <a:miter lim="800000"/>
              <a:headEnd/>
              <a:tailEnd/>
            </a:ln>
          </xdr:spPr>
        </xdr:sp>
        <xdr:sp macro="[0]!drawing" textlink="">
          <xdr:nvSpPr>
            <xdr:cNvPr id="146610" name="Line 52402">
              <a:extLst>
                <a:ext uri="{FF2B5EF4-FFF2-40B4-BE49-F238E27FC236}">
                  <a16:creationId xmlns:a16="http://schemas.microsoft.com/office/drawing/2014/main" id="{00000000-0008-0000-0300-0000B23C0200}"/>
                </a:ext>
              </a:extLst>
            </xdr:cNvPr>
            <xdr:cNvSpPr>
              <a:spLocks noChangeShapeType="1"/>
            </xdr:cNvSpPr>
          </xdr:nvSpPr>
          <xdr:spPr bwMode="auto">
            <a:xfrm flipV="1">
              <a:off x="814" y="2354"/>
              <a:ext cx="0" cy="105"/>
            </a:xfrm>
            <a:prstGeom prst="line">
              <a:avLst/>
            </a:prstGeom>
            <a:noFill/>
            <a:ln w="9525">
              <a:solidFill>
                <a:srgbClr val="000000"/>
              </a:solidFill>
              <a:round/>
              <a:headEnd/>
              <a:tailEnd type="triangle" w="med" len="med"/>
            </a:ln>
          </xdr:spPr>
        </xdr:sp>
        <xdr:sp macro="[0]!drawing" textlink="">
          <xdr:nvSpPr>
            <xdr:cNvPr id="146611" name="Line 52403">
              <a:extLst>
                <a:ext uri="{FF2B5EF4-FFF2-40B4-BE49-F238E27FC236}">
                  <a16:creationId xmlns:a16="http://schemas.microsoft.com/office/drawing/2014/main" id="{00000000-0008-0000-0300-0000B33C0200}"/>
                </a:ext>
              </a:extLst>
            </xdr:cNvPr>
            <xdr:cNvSpPr>
              <a:spLocks noChangeShapeType="1"/>
            </xdr:cNvSpPr>
          </xdr:nvSpPr>
          <xdr:spPr bwMode="auto">
            <a:xfrm>
              <a:off x="814" y="2459"/>
              <a:ext cx="0" cy="114"/>
            </a:xfrm>
            <a:prstGeom prst="line">
              <a:avLst/>
            </a:prstGeom>
            <a:noFill/>
            <a:ln w="9525">
              <a:solidFill>
                <a:srgbClr val="000000"/>
              </a:solidFill>
              <a:round/>
              <a:headEnd/>
              <a:tailEnd type="triangle" w="med" len="med"/>
            </a:ln>
          </xdr:spPr>
        </xdr:sp>
        <xdr:sp macro="[0]!drawing" textlink="">
          <xdr:nvSpPr>
            <xdr:cNvPr id="146612" name="Text Box 52404">
              <a:extLst>
                <a:ext uri="{FF2B5EF4-FFF2-40B4-BE49-F238E27FC236}">
                  <a16:creationId xmlns:a16="http://schemas.microsoft.com/office/drawing/2014/main" id="{00000000-0008-0000-0300-0000B43C0200}"/>
                </a:ext>
              </a:extLst>
            </xdr:cNvPr>
            <xdr:cNvSpPr txBox="1">
              <a:spLocks noChangeArrowheads="1"/>
            </xdr:cNvSpPr>
          </xdr:nvSpPr>
          <xdr:spPr bwMode="auto">
            <a:xfrm>
              <a:off x="795" y="2464"/>
              <a:ext cx="18" cy="105"/>
            </a:xfrm>
            <a:prstGeom prst="rect">
              <a:avLst/>
            </a:prstGeom>
            <a:noFill/>
            <a:ln w="9525">
              <a:noFill/>
              <a:miter lim="800000"/>
              <a:headEnd/>
              <a:tailEnd/>
            </a:ln>
          </xdr:spPr>
          <xdr:txBody>
            <a:bodyPr vertOverflow="clip" vert="vert270" wrap="square" lIns="27432" tIns="22860" rIns="27432" bIns="22860" anchor="ctr" upright="1"/>
            <a:lstStyle/>
            <a:p>
              <a:pPr algn="ctr" rtl="1">
                <a:defRPr sz="1000"/>
              </a:pPr>
              <a:r>
                <a:rPr lang="en-US" sz="1000" b="0" i="0" strike="noStrike">
                  <a:solidFill>
                    <a:srgbClr val="000000"/>
                  </a:solidFill>
                  <a:latin typeface="Arial"/>
                  <a:cs typeface="Arial"/>
                </a:rPr>
                <a:t>Backward Span</a:t>
              </a:r>
            </a:p>
          </xdr:txBody>
        </xdr:sp>
        <xdr:sp macro="[0]!drawing" textlink="">
          <xdr:nvSpPr>
            <xdr:cNvPr id="146613" name="Text Box 52405">
              <a:extLst>
                <a:ext uri="{FF2B5EF4-FFF2-40B4-BE49-F238E27FC236}">
                  <a16:creationId xmlns:a16="http://schemas.microsoft.com/office/drawing/2014/main" id="{00000000-0008-0000-0300-0000B53C0200}"/>
                </a:ext>
              </a:extLst>
            </xdr:cNvPr>
            <xdr:cNvSpPr txBox="1">
              <a:spLocks noChangeArrowheads="1"/>
            </xdr:cNvSpPr>
          </xdr:nvSpPr>
          <xdr:spPr bwMode="auto">
            <a:xfrm>
              <a:off x="794" y="2355"/>
              <a:ext cx="19" cy="106"/>
            </a:xfrm>
            <a:prstGeom prst="rect">
              <a:avLst/>
            </a:prstGeom>
            <a:noFill/>
            <a:ln w="9525">
              <a:noFill/>
              <a:miter lim="800000"/>
              <a:headEnd/>
              <a:tailEnd/>
            </a:ln>
          </xdr:spPr>
          <xdr:txBody>
            <a:bodyPr vertOverflow="clip" vert="vert270" wrap="square" lIns="27432" tIns="22860" rIns="27432" bIns="22860" anchor="ctr" upright="1"/>
            <a:lstStyle/>
            <a:p>
              <a:pPr algn="ctr" rtl="1">
                <a:defRPr sz="1000"/>
              </a:pPr>
              <a:r>
                <a:rPr lang="en-US" sz="1000" b="0" i="0" strike="noStrike">
                  <a:solidFill>
                    <a:srgbClr val="000000"/>
                  </a:solidFill>
                  <a:latin typeface="Arial"/>
                  <a:cs typeface="Arial"/>
                </a:rPr>
                <a:t>Forward Span</a:t>
              </a:r>
            </a:p>
          </xdr:txBody>
        </xdr:sp>
        <xdr:sp macro="[0]!drawing" textlink="">
          <xdr:nvSpPr>
            <xdr:cNvPr id="146615" name="Text Box 52407">
              <a:extLst>
                <a:ext uri="{FF2B5EF4-FFF2-40B4-BE49-F238E27FC236}">
                  <a16:creationId xmlns:a16="http://schemas.microsoft.com/office/drawing/2014/main" id="{00000000-0008-0000-0300-0000B73C0200}"/>
                </a:ext>
              </a:extLst>
            </xdr:cNvPr>
            <xdr:cNvSpPr txBox="1">
              <a:spLocks noChangeArrowheads="1"/>
            </xdr:cNvSpPr>
          </xdr:nvSpPr>
          <xdr:spPr bwMode="auto">
            <a:xfrm>
              <a:off x="342" y="2319"/>
              <a:ext cx="358" cy="21"/>
            </a:xfrm>
            <a:prstGeom prst="rect">
              <a:avLst/>
            </a:prstGeom>
            <a:solidFill>
              <a:srgbClr val="CCFFCC"/>
            </a:solidFill>
            <a:ln w="9525">
              <a:noFill/>
              <a:miter lim="800000"/>
              <a:headEnd/>
              <a:tailEnd/>
            </a:ln>
          </xdr:spPr>
          <xdr:txBody>
            <a:bodyPr vertOverflow="clip" wrap="square" lIns="27432" tIns="22860" rIns="27432" bIns="0" anchor="t" upright="1"/>
            <a:lstStyle/>
            <a:p>
              <a:pPr algn="ctr" rtl="1">
                <a:defRPr sz="1000"/>
              </a:pPr>
              <a:r>
                <a:rPr lang="en-US" sz="1000" b="0" i="0" u="sng" strike="noStrike">
                  <a:solidFill>
                    <a:srgbClr val="000000"/>
                  </a:solidFill>
                  <a:latin typeface="Arial"/>
                  <a:cs typeface="Arial"/>
                </a:rPr>
                <a:t>Bent Cap Plan View (For Visualization Only)</a:t>
              </a:r>
            </a:p>
          </xdr:txBody>
        </xdr:sp>
      </xdr:grpSp>
      <xdr:grpSp>
        <xdr:nvGrpSpPr>
          <xdr:cNvPr id="63" name="bent1">
            <a:extLst>
              <a:ext uri="{FF2B5EF4-FFF2-40B4-BE49-F238E27FC236}">
                <a16:creationId xmlns:a16="http://schemas.microsoft.com/office/drawing/2014/main" id="{00000000-0008-0000-0300-00003F000000}"/>
              </a:ext>
            </a:extLst>
          </xdr:cNvPr>
          <xdr:cNvGrpSpPr/>
        </xdr:nvGrpSpPr>
        <xdr:grpSpPr>
          <a:xfrm>
            <a:off x="1905000" y="23126700"/>
            <a:ext cx="5969000" cy="2540000"/>
            <a:chOff x="1905000" y="23126700"/>
            <a:chExt cx="5969000" cy="2540000"/>
          </a:xfrm>
        </xdr:grpSpPr>
        <xdr:sp macro="" textlink="">
          <xdr:nvSpPr>
            <xdr:cNvPr id="45" name="stem">
              <a:extLst>
                <a:ext uri="{FF2B5EF4-FFF2-40B4-BE49-F238E27FC236}">
                  <a16:creationId xmlns:a16="http://schemas.microsoft.com/office/drawing/2014/main" id="{00000000-0008-0000-0300-00002D000000}"/>
                </a:ext>
              </a:extLst>
            </xdr:cNvPr>
            <xdr:cNvSpPr/>
          </xdr:nvSpPr>
          <xdr:spPr>
            <a:xfrm>
              <a:off x="2387600" y="24122380"/>
              <a:ext cx="4876800" cy="548640"/>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Draw_Col1">
              <a:extLst>
                <a:ext uri="{FF2B5EF4-FFF2-40B4-BE49-F238E27FC236}">
                  <a16:creationId xmlns:a16="http://schemas.microsoft.com/office/drawing/2014/main" id="{00000000-0008-0000-0300-00002E000000}"/>
                </a:ext>
              </a:extLst>
            </xdr:cNvPr>
            <xdr:cNvSpPr/>
          </xdr:nvSpPr>
          <xdr:spPr>
            <a:xfrm>
              <a:off x="2590800" y="24193500"/>
              <a:ext cx="609600" cy="406400"/>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Draw_Col2">
              <a:extLst>
                <a:ext uri="{FF2B5EF4-FFF2-40B4-BE49-F238E27FC236}">
                  <a16:creationId xmlns:a16="http://schemas.microsoft.com/office/drawing/2014/main" id="{00000000-0008-0000-0300-00002F000000}"/>
                </a:ext>
              </a:extLst>
            </xdr:cNvPr>
            <xdr:cNvSpPr/>
          </xdr:nvSpPr>
          <xdr:spPr>
            <a:xfrm>
              <a:off x="6451600" y="24193500"/>
              <a:ext cx="609600" cy="406400"/>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8" name="clbent">
              <a:extLst>
                <a:ext uri="{FF2B5EF4-FFF2-40B4-BE49-F238E27FC236}">
                  <a16:creationId xmlns:a16="http://schemas.microsoft.com/office/drawing/2014/main" id="{00000000-0008-0000-0300-000030000000}"/>
                </a:ext>
              </a:extLst>
            </xdr:cNvPr>
            <xdr:cNvCxnSpPr/>
          </xdr:nvCxnSpPr>
          <xdr:spPr>
            <a:xfrm>
              <a:off x="1905000" y="24396700"/>
              <a:ext cx="5969000" cy="0"/>
            </a:xfrm>
            <a:prstGeom prst="line">
              <a:avLst/>
            </a:prstGeom>
            <a:ln w="9525">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49" name="Draw_Bm_bk1">
              <a:extLst>
                <a:ext uri="{FF2B5EF4-FFF2-40B4-BE49-F238E27FC236}">
                  <a16:creationId xmlns:a16="http://schemas.microsoft.com/office/drawing/2014/main" id="{00000000-0008-0000-0300-000031000000}"/>
                </a:ext>
              </a:extLst>
            </xdr:cNvPr>
            <xdr:cNvCxnSpPr/>
          </xdr:nvCxnSpPr>
          <xdr:spPr>
            <a:xfrm>
              <a:off x="2590800" y="2451862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0" name="Draw_Bm_bk2">
              <a:extLst>
                <a:ext uri="{FF2B5EF4-FFF2-40B4-BE49-F238E27FC236}">
                  <a16:creationId xmlns:a16="http://schemas.microsoft.com/office/drawing/2014/main" id="{00000000-0008-0000-0300-000032000000}"/>
                </a:ext>
              </a:extLst>
            </xdr:cNvPr>
            <xdr:cNvCxnSpPr/>
          </xdr:nvCxnSpPr>
          <xdr:spPr>
            <a:xfrm>
              <a:off x="3484880" y="2451862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1" name="Draw_Bm_bk3">
              <a:extLst>
                <a:ext uri="{FF2B5EF4-FFF2-40B4-BE49-F238E27FC236}">
                  <a16:creationId xmlns:a16="http://schemas.microsoft.com/office/drawing/2014/main" id="{00000000-0008-0000-0300-000033000000}"/>
                </a:ext>
              </a:extLst>
            </xdr:cNvPr>
            <xdr:cNvCxnSpPr/>
          </xdr:nvCxnSpPr>
          <xdr:spPr>
            <a:xfrm>
              <a:off x="4378960" y="2451862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2" name="Draw_Bm_bk4">
              <a:extLst>
                <a:ext uri="{FF2B5EF4-FFF2-40B4-BE49-F238E27FC236}">
                  <a16:creationId xmlns:a16="http://schemas.microsoft.com/office/drawing/2014/main" id="{00000000-0008-0000-0300-000034000000}"/>
                </a:ext>
              </a:extLst>
            </xdr:cNvPr>
            <xdr:cNvCxnSpPr/>
          </xdr:nvCxnSpPr>
          <xdr:spPr>
            <a:xfrm>
              <a:off x="5273040" y="2451862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3" name="Draw_Bm_bk5">
              <a:extLst>
                <a:ext uri="{FF2B5EF4-FFF2-40B4-BE49-F238E27FC236}">
                  <a16:creationId xmlns:a16="http://schemas.microsoft.com/office/drawing/2014/main" id="{00000000-0008-0000-0300-000035000000}"/>
                </a:ext>
              </a:extLst>
            </xdr:cNvPr>
            <xdr:cNvCxnSpPr/>
          </xdr:nvCxnSpPr>
          <xdr:spPr>
            <a:xfrm>
              <a:off x="6167120" y="2451862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4" name="Draw_Bm_bk6">
              <a:extLst>
                <a:ext uri="{FF2B5EF4-FFF2-40B4-BE49-F238E27FC236}">
                  <a16:creationId xmlns:a16="http://schemas.microsoft.com/office/drawing/2014/main" id="{00000000-0008-0000-0300-000036000000}"/>
                </a:ext>
              </a:extLst>
            </xdr:cNvPr>
            <xdr:cNvCxnSpPr/>
          </xdr:nvCxnSpPr>
          <xdr:spPr>
            <a:xfrm>
              <a:off x="7061200" y="2451862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5" name="Draw_Bm_fd1">
              <a:extLst>
                <a:ext uri="{FF2B5EF4-FFF2-40B4-BE49-F238E27FC236}">
                  <a16:creationId xmlns:a16="http://schemas.microsoft.com/office/drawing/2014/main" id="{00000000-0008-0000-0300-000037000000}"/>
                </a:ext>
              </a:extLst>
            </xdr:cNvPr>
            <xdr:cNvCxnSpPr/>
          </xdr:nvCxnSpPr>
          <xdr:spPr>
            <a:xfrm flipV="1">
              <a:off x="2590800" y="2312670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6" name="Draw_Bm_fd2">
              <a:extLst>
                <a:ext uri="{FF2B5EF4-FFF2-40B4-BE49-F238E27FC236}">
                  <a16:creationId xmlns:a16="http://schemas.microsoft.com/office/drawing/2014/main" id="{00000000-0008-0000-0300-000038000000}"/>
                </a:ext>
              </a:extLst>
            </xdr:cNvPr>
            <xdr:cNvCxnSpPr/>
          </xdr:nvCxnSpPr>
          <xdr:spPr>
            <a:xfrm flipV="1">
              <a:off x="3484880" y="2312670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7" name="Draw_Bm_fd3">
              <a:extLst>
                <a:ext uri="{FF2B5EF4-FFF2-40B4-BE49-F238E27FC236}">
                  <a16:creationId xmlns:a16="http://schemas.microsoft.com/office/drawing/2014/main" id="{00000000-0008-0000-0300-000039000000}"/>
                </a:ext>
              </a:extLst>
            </xdr:cNvPr>
            <xdr:cNvCxnSpPr/>
          </xdr:nvCxnSpPr>
          <xdr:spPr>
            <a:xfrm flipV="1">
              <a:off x="4378960" y="2312670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8" name="Draw_Bm_fd4">
              <a:extLst>
                <a:ext uri="{FF2B5EF4-FFF2-40B4-BE49-F238E27FC236}">
                  <a16:creationId xmlns:a16="http://schemas.microsoft.com/office/drawing/2014/main" id="{00000000-0008-0000-0300-00003A000000}"/>
                </a:ext>
              </a:extLst>
            </xdr:cNvPr>
            <xdr:cNvCxnSpPr/>
          </xdr:nvCxnSpPr>
          <xdr:spPr>
            <a:xfrm flipV="1">
              <a:off x="5273040" y="2312670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59" name="Draw_Bm_fd5">
              <a:extLst>
                <a:ext uri="{FF2B5EF4-FFF2-40B4-BE49-F238E27FC236}">
                  <a16:creationId xmlns:a16="http://schemas.microsoft.com/office/drawing/2014/main" id="{00000000-0008-0000-0300-00003B000000}"/>
                </a:ext>
              </a:extLst>
            </xdr:cNvPr>
            <xdr:cNvCxnSpPr/>
          </xdr:nvCxnSpPr>
          <xdr:spPr>
            <a:xfrm flipV="1">
              <a:off x="6167120" y="2312670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60" name="Draw_Bm_fd6">
              <a:extLst>
                <a:ext uri="{FF2B5EF4-FFF2-40B4-BE49-F238E27FC236}">
                  <a16:creationId xmlns:a16="http://schemas.microsoft.com/office/drawing/2014/main" id="{00000000-0008-0000-0300-00003C000000}"/>
                </a:ext>
              </a:extLst>
            </xdr:cNvPr>
            <xdr:cNvCxnSpPr/>
          </xdr:nvCxnSpPr>
          <xdr:spPr>
            <a:xfrm flipV="1">
              <a:off x="7061200" y="23126700"/>
              <a:ext cx="0" cy="1148080"/>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61" name="Draw_LeftDeck">
              <a:extLst>
                <a:ext uri="{FF2B5EF4-FFF2-40B4-BE49-F238E27FC236}">
                  <a16:creationId xmlns:a16="http://schemas.microsoft.com/office/drawing/2014/main" id="{00000000-0008-0000-0300-00003D000000}"/>
                </a:ext>
              </a:extLst>
            </xdr:cNvPr>
            <xdr:cNvCxnSpPr/>
          </xdr:nvCxnSpPr>
          <xdr:spPr>
            <a:xfrm flipV="1">
              <a:off x="2286000" y="231267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62" name="Draw_RightDeck">
              <a:extLst>
                <a:ext uri="{FF2B5EF4-FFF2-40B4-BE49-F238E27FC236}">
                  <a16:creationId xmlns:a16="http://schemas.microsoft.com/office/drawing/2014/main" id="{00000000-0008-0000-0300-00003E000000}"/>
                </a:ext>
              </a:extLst>
            </xdr:cNvPr>
            <xdr:cNvCxnSpPr/>
          </xdr:nvCxnSpPr>
          <xdr:spPr>
            <a:xfrm flipV="1">
              <a:off x="7366000" y="231267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53340</xdr:colOff>
      <xdr:row>5</xdr:row>
      <xdr:rowOff>152400</xdr:rowOff>
    </xdr:to>
    <xdr:grpSp>
      <xdr:nvGrpSpPr>
        <xdr:cNvPr id="3073" name="Group 1">
          <a:extLst>
            <a:ext uri="{FF2B5EF4-FFF2-40B4-BE49-F238E27FC236}">
              <a16:creationId xmlns:a16="http://schemas.microsoft.com/office/drawing/2014/main" id="{00000000-0008-0000-0400-0000010C0000}"/>
            </a:ext>
          </a:extLst>
        </xdr:cNvPr>
        <xdr:cNvGrpSpPr>
          <a:grpSpLocks/>
        </xdr:cNvGrpSpPr>
      </xdr:nvGrpSpPr>
      <xdr:grpSpPr bwMode="auto">
        <a:xfrm>
          <a:off x="1657350" y="0"/>
          <a:ext cx="6435090" cy="962025"/>
          <a:chOff x="65" y="4"/>
          <a:chExt cx="675" cy="101"/>
        </a:xfrm>
      </xdr:grpSpPr>
      <xdr:grpSp>
        <xdr:nvGrpSpPr>
          <xdr:cNvPr id="3074" name="Group 2">
            <a:extLst>
              <a:ext uri="{FF2B5EF4-FFF2-40B4-BE49-F238E27FC236}">
                <a16:creationId xmlns:a16="http://schemas.microsoft.com/office/drawing/2014/main" id="{00000000-0008-0000-0400-0000020C0000}"/>
              </a:ext>
            </a:extLst>
          </xdr:cNvPr>
          <xdr:cNvGrpSpPr>
            <a:grpSpLocks/>
          </xdr:cNvGrpSpPr>
        </xdr:nvGrpSpPr>
        <xdr:grpSpPr bwMode="auto">
          <a:xfrm>
            <a:off x="65" y="7"/>
            <a:ext cx="675" cy="98"/>
            <a:chOff x="65" y="7"/>
            <a:chExt cx="675" cy="98"/>
          </a:xfrm>
        </xdr:grpSpPr>
        <xdr:grpSp>
          <xdr:nvGrpSpPr>
            <xdr:cNvPr id="3076" name="Group 4">
              <a:extLst>
                <a:ext uri="{FF2B5EF4-FFF2-40B4-BE49-F238E27FC236}">
                  <a16:creationId xmlns:a16="http://schemas.microsoft.com/office/drawing/2014/main" id="{00000000-0008-0000-0400-0000040C0000}"/>
                </a:ext>
              </a:extLst>
            </xdr:cNvPr>
            <xdr:cNvGrpSpPr>
              <a:grpSpLocks/>
            </xdr:cNvGrpSpPr>
          </xdr:nvGrpSpPr>
          <xdr:grpSpPr bwMode="auto">
            <a:xfrm>
              <a:off x="232" y="7"/>
              <a:ext cx="433" cy="93"/>
              <a:chOff x="168" y="7"/>
              <a:chExt cx="433" cy="93"/>
            </a:xfrm>
          </xdr:grpSpPr>
          <xdr:sp macro="" textlink="">
            <xdr:nvSpPr>
              <xdr:cNvPr id="3077" name="Text Box 5">
                <a:extLst>
                  <a:ext uri="{FF2B5EF4-FFF2-40B4-BE49-F238E27FC236}">
                    <a16:creationId xmlns:a16="http://schemas.microsoft.com/office/drawing/2014/main" id="{00000000-0008-0000-0400-0000050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8" name="Text Box 6">
                <a:extLst>
                  <a:ext uri="{FF2B5EF4-FFF2-40B4-BE49-F238E27FC236}">
                    <a16:creationId xmlns:a16="http://schemas.microsoft.com/office/drawing/2014/main" id="{00000000-0008-0000-0400-0000060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9" name="Text Box 7">
                <a:extLst>
                  <a:ext uri="{FF2B5EF4-FFF2-40B4-BE49-F238E27FC236}">
                    <a16:creationId xmlns:a16="http://schemas.microsoft.com/office/drawing/2014/main" id="{00000000-0008-0000-0400-0000070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80" name="Text Box 8">
                <a:extLst>
                  <a:ext uri="{FF2B5EF4-FFF2-40B4-BE49-F238E27FC236}">
                    <a16:creationId xmlns:a16="http://schemas.microsoft.com/office/drawing/2014/main" id="{00000000-0008-0000-0400-0000080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81" name="Text Box 9">
                <a:extLst>
                  <a:ext uri="{FF2B5EF4-FFF2-40B4-BE49-F238E27FC236}">
                    <a16:creationId xmlns:a16="http://schemas.microsoft.com/office/drawing/2014/main" id="{00000000-0008-0000-0400-0000090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82" name="Text Box 10">
                <a:extLst>
                  <a:ext uri="{FF2B5EF4-FFF2-40B4-BE49-F238E27FC236}">
                    <a16:creationId xmlns:a16="http://schemas.microsoft.com/office/drawing/2014/main" id="{00000000-0008-0000-0400-00000A0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83" name="Text Box 11">
                <a:extLst>
                  <a:ext uri="{FF2B5EF4-FFF2-40B4-BE49-F238E27FC236}">
                    <a16:creationId xmlns:a16="http://schemas.microsoft.com/office/drawing/2014/main" id="{00000000-0008-0000-0400-00000B0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84" name="Text Box 12">
                <a:extLst>
                  <a:ext uri="{FF2B5EF4-FFF2-40B4-BE49-F238E27FC236}">
                    <a16:creationId xmlns:a16="http://schemas.microsoft.com/office/drawing/2014/main" id="{00000000-0008-0000-0400-00000C0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85" name="Text Box 13">
                <a:extLst>
                  <a:ext uri="{FF2B5EF4-FFF2-40B4-BE49-F238E27FC236}">
                    <a16:creationId xmlns:a16="http://schemas.microsoft.com/office/drawing/2014/main" id="{00000000-0008-0000-0400-00000D0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86" name="Text Box 14">
                <a:extLst>
                  <a:ext uri="{FF2B5EF4-FFF2-40B4-BE49-F238E27FC236}">
                    <a16:creationId xmlns:a16="http://schemas.microsoft.com/office/drawing/2014/main" id="{00000000-0008-0000-0400-00000E0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87" name="Text Box 15">
                <a:extLst>
                  <a:ext uri="{FF2B5EF4-FFF2-40B4-BE49-F238E27FC236}">
                    <a16:creationId xmlns:a16="http://schemas.microsoft.com/office/drawing/2014/main" id="{00000000-0008-0000-0400-00000F0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88" name="Line 16">
              <a:extLst>
                <a:ext uri="{FF2B5EF4-FFF2-40B4-BE49-F238E27FC236}">
                  <a16:creationId xmlns:a16="http://schemas.microsoft.com/office/drawing/2014/main" id="{00000000-0008-0000-0400-0000100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089" name="Line 17">
              <a:extLst>
                <a:ext uri="{FF2B5EF4-FFF2-40B4-BE49-F238E27FC236}">
                  <a16:creationId xmlns:a16="http://schemas.microsoft.com/office/drawing/2014/main" id="{00000000-0008-0000-0400-0000110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090" name="Line 18">
              <a:extLst>
                <a:ext uri="{FF2B5EF4-FFF2-40B4-BE49-F238E27FC236}">
                  <a16:creationId xmlns:a16="http://schemas.microsoft.com/office/drawing/2014/main" id="{00000000-0008-0000-0400-0000120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091" name="Line 19">
              <a:extLst>
                <a:ext uri="{FF2B5EF4-FFF2-40B4-BE49-F238E27FC236}">
                  <a16:creationId xmlns:a16="http://schemas.microsoft.com/office/drawing/2014/main" id="{00000000-0008-0000-0400-0000130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092" name="Group 20">
            <a:extLst>
              <a:ext uri="{FF2B5EF4-FFF2-40B4-BE49-F238E27FC236}">
                <a16:creationId xmlns:a16="http://schemas.microsoft.com/office/drawing/2014/main" id="{00000000-0008-0000-0400-0000140C0000}"/>
              </a:ext>
            </a:extLst>
          </xdr:cNvPr>
          <xdr:cNvGrpSpPr>
            <a:grpSpLocks/>
          </xdr:cNvGrpSpPr>
        </xdr:nvGrpSpPr>
        <xdr:grpSpPr bwMode="auto">
          <a:xfrm>
            <a:off x="272" y="4"/>
            <a:ext cx="457" cy="98"/>
            <a:chOff x="208" y="4"/>
            <a:chExt cx="457" cy="98"/>
          </a:xfrm>
        </xdr:grpSpPr>
        <xdr:sp macro="" textlink="'Cover Sheet'!E5:U5">
          <xdr:nvSpPr>
            <xdr:cNvPr id="3093" name="Text Box 21">
              <a:extLst>
                <a:ext uri="{FF2B5EF4-FFF2-40B4-BE49-F238E27FC236}">
                  <a16:creationId xmlns:a16="http://schemas.microsoft.com/office/drawing/2014/main" id="{00000000-0008-0000-0400-0000150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BB400A8-C530-4AB1-86AE-D29BBBEE4966}"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3094" name="Text Box 22">
              <a:extLst>
                <a:ext uri="{FF2B5EF4-FFF2-40B4-BE49-F238E27FC236}">
                  <a16:creationId xmlns:a16="http://schemas.microsoft.com/office/drawing/2014/main" id="{00000000-0008-0000-0400-0000160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79A25DB-CDB7-4315-B587-E620A6F5ACE4}"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3095" name="Text Box 23">
              <a:extLst>
                <a:ext uri="{FF2B5EF4-FFF2-40B4-BE49-F238E27FC236}">
                  <a16:creationId xmlns:a16="http://schemas.microsoft.com/office/drawing/2014/main" id="{00000000-0008-0000-0400-0000170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Beam Loads</a:t>
              </a:r>
            </a:p>
          </xdr:txBody>
        </xdr:sp>
        <xdr:sp macro="" textlink="'Cover Sheet'!E4:U4">
          <xdr:nvSpPr>
            <xdr:cNvPr id="3096" name="Text Box 24">
              <a:extLst>
                <a:ext uri="{FF2B5EF4-FFF2-40B4-BE49-F238E27FC236}">
                  <a16:creationId xmlns:a16="http://schemas.microsoft.com/office/drawing/2014/main" id="{00000000-0008-0000-0400-0000180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EBE2FF9-C56E-4ACB-89E0-0C4E8A4BF307}"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3097" name="Text Box 25">
              <a:extLst>
                <a:ext uri="{FF2B5EF4-FFF2-40B4-BE49-F238E27FC236}">
                  <a16:creationId xmlns:a16="http://schemas.microsoft.com/office/drawing/2014/main" id="{00000000-0008-0000-0400-0000190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93B6E061-06ED-4531-8D88-AEBBEAE3E521}"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3098" name="Text Box 26">
              <a:extLst>
                <a:ext uri="{FF2B5EF4-FFF2-40B4-BE49-F238E27FC236}">
                  <a16:creationId xmlns:a16="http://schemas.microsoft.com/office/drawing/2014/main" id="{00000000-0008-0000-0400-00001A0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29A9E55A-750C-449E-959E-11E0A744A05F}"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3099" name="Text Box 27">
              <a:extLst>
                <a:ext uri="{FF2B5EF4-FFF2-40B4-BE49-F238E27FC236}">
                  <a16:creationId xmlns:a16="http://schemas.microsoft.com/office/drawing/2014/main" id="{00000000-0008-0000-0400-00001B0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BB9B698A-CE20-4F57-AF81-089D3C374117}" type="TxLink">
                <a:rPr lang="en-US"/>
                <a:pPr/>
                <a:t> </a:t>
              </a:fld>
              <a:endParaRPr lang="en-US"/>
            </a:p>
          </xdr:txBody>
        </xdr:sp>
        <xdr:sp macro="" textlink="'Cover Sheet'!U37:Y37">
          <xdr:nvSpPr>
            <xdr:cNvPr id="3100" name="Text Box 28">
              <a:extLst>
                <a:ext uri="{FF2B5EF4-FFF2-40B4-BE49-F238E27FC236}">
                  <a16:creationId xmlns:a16="http://schemas.microsoft.com/office/drawing/2014/main" id="{00000000-0008-0000-0400-00001C0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BCCF30-5621-469C-809A-DFA35099CFBD}"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246582</xdr:colOff>
      <xdr:row>4</xdr:row>
      <xdr:rowOff>131445</xdr:rowOff>
    </xdr:to>
    <xdr:pic>
      <xdr:nvPicPr>
        <xdr:cNvPr id="30" name="headerlogo">
          <a:extLst>
            <a:ext uri="{FF2B5EF4-FFF2-40B4-BE49-F238E27FC236}">
              <a16:creationId xmlns:a16="http://schemas.microsoft.com/office/drawing/2014/main" id="{00000000-0008-0000-04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11</xdr:col>
      <xdr:colOff>38100</xdr:colOff>
      <xdr:row>5</xdr:row>
      <xdr:rowOff>152400</xdr:rowOff>
    </xdr:to>
    <xdr:grpSp>
      <xdr:nvGrpSpPr>
        <xdr:cNvPr id="43009" name="Group 1">
          <a:extLst>
            <a:ext uri="{FF2B5EF4-FFF2-40B4-BE49-F238E27FC236}">
              <a16:creationId xmlns:a16="http://schemas.microsoft.com/office/drawing/2014/main" id="{00000000-0008-0000-0500-000001A80000}"/>
            </a:ext>
          </a:extLst>
        </xdr:cNvPr>
        <xdr:cNvGrpSpPr>
          <a:grpSpLocks/>
        </xdr:cNvGrpSpPr>
      </xdr:nvGrpSpPr>
      <xdr:grpSpPr bwMode="auto">
        <a:xfrm>
          <a:off x="1657350" y="0"/>
          <a:ext cx="6429375" cy="962025"/>
          <a:chOff x="65" y="4"/>
          <a:chExt cx="675" cy="101"/>
        </a:xfrm>
      </xdr:grpSpPr>
      <xdr:grpSp>
        <xdr:nvGrpSpPr>
          <xdr:cNvPr id="43010" name="Group 2">
            <a:extLst>
              <a:ext uri="{FF2B5EF4-FFF2-40B4-BE49-F238E27FC236}">
                <a16:creationId xmlns:a16="http://schemas.microsoft.com/office/drawing/2014/main" id="{00000000-0008-0000-0500-000002A80000}"/>
              </a:ext>
            </a:extLst>
          </xdr:cNvPr>
          <xdr:cNvGrpSpPr>
            <a:grpSpLocks/>
          </xdr:cNvGrpSpPr>
        </xdr:nvGrpSpPr>
        <xdr:grpSpPr bwMode="auto">
          <a:xfrm>
            <a:off x="65" y="7"/>
            <a:ext cx="675" cy="98"/>
            <a:chOff x="65" y="7"/>
            <a:chExt cx="675" cy="98"/>
          </a:xfrm>
        </xdr:grpSpPr>
        <xdr:grpSp>
          <xdr:nvGrpSpPr>
            <xdr:cNvPr id="43012" name="Group 4">
              <a:extLst>
                <a:ext uri="{FF2B5EF4-FFF2-40B4-BE49-F238E27FC236}">
                  <a16:creationId xmlns:a16="http://schemas.microsoft.com/office/drawing/2014/main" id="{00000000-0008-0000-0500-000004A80000}"/>
                </a:ext>
              </a:extLst>
            </xdr:cNvPr>
            <xdr:cNvGrpSpPr>
              <a:grpSpLocks/>
            </xdr:cNvGrpSpPr>
          </xdr:nvGrpSpPr>
          <xdr:grpSpPr bwMode="auto">
            <a:xfrm>
              <a:off x="232" y="7"/>
              <a:ext cx="433" cy="93"/>
              <a:chOff x="168" y="7"/>
              <a:chExt cx="433" cy="93"/>
            </a:xfrm>
          </xdr:grpSpPr>
          <xdr:sp macro="" textlink="">
            <xdr:nvSpPr>
              <xdr:cNvPr id="43013" name="Text Box 5">
                <a:extLst>
                  <a:ext uri="{FF2B5EF4-FFF2-40B4-BE49-F238E27FC236}">
                    <a16:creationId xmlns:a16="http://schemas.microsoft.com/office/drawing/2014/main" id="{00000000-0008-0000-0500-000005A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3014" name="Text Box 6">
                <a:extLst>
                  <a:ext uri="{FF2B5EF4-FFF2-40B4-BE49-F238E27FC236}">
                    <a16:creationId xmlns:a16="http://schemas.microsoft.com/office/drawing/2014/main" id="{00000000-0008-0000-0500-000006A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3015" name="Text Box 7">
                <a:extLst>
                  <a:ext uri="{FF2B5EF4-FFF2-40B4-BE49-F238E27FC236}">
                    <a16:creationId xmlns:a16="http://schemas.microsoft.com/office/drawing/2014/main" id="{00000000-0008-0000-0500-000007A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3016" name="Text Box 8">
                <a:extLst>
                  <a:ext uri="{FF2B5EF4-FFF2-40B4-BE49-F238E27FC236}">
                    <a16:creationId xmlns:a16="http://schemas.microsoft.com/office/drawing/2014/main" id="{00000000-0008-0000-0500-000008A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3017" name="Text Box 9">
                <a:extLst>
                  <a:ext uri="{FF2B5EF4-FFF2-40B4-BE49-F238E27FC236}">
                    <a16:creationId xmlns:a16="http://schemas.microsoft.com/office/drawing/2014/main" id="{00000000-0008-0000-0500-000009A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3018" name="Text Box 10">
                <a:extLst>
                  <a:ext uri="{FF2B5EF4-FFF2-40B4-BE49-F238E27FC236}">
                    <a16:creationId xmlns:a16="http://schemas.microsoft.com/office/drawing/2014/main" id="{00000000-0008-0000-0500-00000AA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3019" name="Text Box 11">
                <a:extLst>
                  <a:ext uri="{FF2B5EF4-FFF2-40B4-BE49-F238E27FC236}">
                    <a16:creationId xmlns:a16="http://schemas.microsoft.com/office/drawing/2014/main" id="{00000000-0008-0000-0500-00000BA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3020" name="Text Box 12">
                <a:extLst>
                  <a:ext uri="{FF2B5EF4-FFF2-40B4-BE49-F238E27FC236}">
                    <a16:creationId xmlns:a16="http://schemas.microsoft.com/office/drawing/2014/main" id="{00000000-0008-0000-0500-00000CA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3021" name="Text Box 13">
                <a:extLst>
                  <a:ext uri="{FF2B5EF4-FFF2-40B4-BE49-F238E27FC236}">
                    <a16:creationId xmlns:a16="http://schemas.microsoft.com/office/drawing/2014/main" id="{00000000-0008-0000-0500-00000DA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3022" name="Text Box 14">
                <a:extLst>
                  <a:ext uri="{FF2B5EF4-FFF2-40B4-BE49-F238E27FC236}">
                    <a16:creationId xmlns:a16="http://schemas.microsoft.com/office/drawing/2014/main" id="{00000000-0008-0000-0500-00000EA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3023" name="Text Box 15">
                <a:extLst>
                  <a:ext uri="{FF2B5EF4-FFF2-40B4-BE49-F238E27FC236}">
                    <a16:creationId xmlns:a16="http://schemas.microsoft.com/office/drawing/2014/main" id="{00000000-0008-0000-0500-00000FA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3024" name="Line 16">
              <a:extLst>
                <a:ext uri="{FF2B5EF4-FFF2-40B4-BE49-F238E27FC236}">
                  <a16:creationId xmlns:a16="http://schemas.microsoft.com/office/drawing/2014/main" id="{00000000-0008-0000-0500-000010A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3025" name="Line 17">
              <a:extLst>
                <a:ext uri="{FF2B5EF4-FFF2-40B4-BE49-F238E27FC236}">
                  <a16:creationId xmlns:a16="http://schemas.microsoft.com/office/drawing/2014/main" id="{00000000-0008-0000-0500-000011A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3026" name="Line 18">
              <a:extLst>
                <a:ext uri="{FF2B5EF4-FFF2-40B4-BE49-F238E27FC236}">
                  <a16:creationId xmlns:a16="http://schemas.microsoft.com/office/drawing/2014/main" id="{00000000-0008-0000-0500-000012A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3027" name="Line 19">
              <a:extLst>
                <a:ext uri="{FF2B5EF4-FFF2-40B4-BE49-F238E27FC236}">
                  <a16:creationId xmlns:a16="http://schemas.microsoft.com/office/drawing/2014/main" id="{00000000-0008-0000-0500-000013A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3028" name="Group 20">
            <a:extLst>
              <a:ext uri="{FF2B5EF4-FFF2-40B4-BE49-F238E27FC236}">
                <a16:creationId xmlns:a16="http://schemas.microsoft.com/office/drawing/2014/main" id="{00000000-0008-0000-0500-000014A80000}"/>
              </a:ext>
            </a:extLst>
          </xdr:cNvPr>
          <xdr:cNvGrpSpPr>
            <a:grpSpLocks/>
          </xdr:cNvGrpSpPr>
        </xdr:nvGrpSpPr>
        <xdr:grpSpPr bwMode="auto">
          <a:xfrm>
            <a:off x="272" y="4"/>
            <a:ext cx="457" cy="98"/>
            <a:chOff x="208" y="4"/>
            <a:chExt cx="457" cy="98"/>
          </a:xfrm>
        </xdr:grpSpPr>
        <xdr:sp macro="" textlink="'Cover Sheet'!E5:U5">
          <xdr:nvSpPr>
            <xdr:cNvPr id="43029" name="Text Box 21">
              <a:extLst>
                <a:ext uri="{FF2B5EF4-FFF2-40B4-BE49-F238E27FC236}">
                  <a16:creationId xmlns:a16="http://schemas.microsoft.com/office/drawing/2014/main" id="{00000000-0008-0000-0500-000015A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E45FF8C-7547-46A6-B2F6-46DCDEDC09D2}"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43030" name="Text Box 22">
              <a:extLst>
                <a:ext uri="{FF2B5EF4-FFF2-40B4-BE49-F238E27FC236}">
                  <a16:creationId xmlns:a16="http://schemas.microsoft.com/office/drawing/2014/main" id="{00000000-0008-0000-0500-000016A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A48AD44D-4FB0-41C7-BF5B-DD6C4D410647}"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43031" name="Text Box 23">
              <a:extLst>
                <a:ext uri="{FF2B5EF4-FFF2-40B4-BE49-F238E27FC236}">
                  <a16:creationId xmlns:a16="http://schemas.microsoft.com/office/drawing/2014/main" id="{00000000-0008-0000-0500-000017A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800" b="1" i="0" strike="noStrike">
                  <a:solidFill>
                    <a:srgbClr val="000000"/>
                  </a:solidFill>
                  <a:latin typeface="Arial"/>
                  <a:cs typeface="Arial"/>
                </a:rPr>
                <a:t>Transverse Moments For Column Analysis</a:t>
              </a:r>
            </a:p>
          </xdr:txBody>
        </xdr:sp>
        <xdr:sp macro="" textlink="'Cover Sheet'!E4:U4">
          <xdr:nvSpPr>
            <xdr:cNvPr id="43032" name="Text Box 24">
              <a:extLst>
                <a:ext uri="{FF2B5EF4-FFF2-40B4-BE49-F238E27FC236}">
                  <a16:creationId xmlns:a16="http://schemas.microsoft.com/office/drawing/2014/main" id="{00000000-0008-0000-0500-000018A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9D58D84-2A7B-4810-8938-2BC1CD47762D}"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43033" name="Text Box 25">
              <a:extLst>
                <a:ext uri="{FF2B5EF4-FFF2-40B4-BE49-F238E27FC236}">
                  <a16:creationId xmlns:a16="http://schemas.microsoft.com/office/drawing/2014/main" id="{00000000-0008-0000-0500-000019A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EF5E4F5-E752-4044-84F0-B462EFF6E7DA}"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43034" name="Text Box 26">
              <a:extLst>
                <a:ext uri="{FF2B5EF4-FFF2-40B4-BE49-F238E27FC236}">
                  <a16:creationId xmlns:a16="http://schemas.microsoft.com/office/drawing/2014/main" id="{00000000-0008-0000-0500-00001AA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6ED2099-D26D-46F2-8D45-4D83AE485142}"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43035" name="Text Box 27">
              <a:extLst>
                <a:ext uri="{FF2B5EF4-FFF2-40B4-BE49-F238E27FC236}">
                  <a16:creationId xmlns:a16="http://schemas.microsoft.com/office/drawing/2014/main" id="{00000000-0008-0000-0500-00001BA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95F95C11-0E3E-4A89-8946-59CB56928BE9}" type="TxLink">
                <a:rPr lang="en-US"/>
                <a:pPr/>
                <a:t> </a:t>
              </a:fld>
              <a:endParaRPr lang="en-US"/>
            </a:p>
          </xdr:txBody>
        </xdr:sp>
        <xdr:sp macro="" textlink="'Cover Sheet'!U37:Y37">
          <xdr:nvSpPr>
            <xdr:cNvPr id="43036" name="Text Box 28">
              <a:extLst>
                <a:ext uri="{FF2B5EF4-FFF2-40B4-BE49-F238E27FC236}">
                  <a16:creationId xmlns:a16="http://schemas.microsoft.com/office/drawing/2014/main" id="{00000000-0008-0000-0500-00001CA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2C7918C-2124-47B0-9F10-0FFE12349E4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172287</xdr:colOff>
      <xdr:row>4</xdr:row>
      <xdr:rowOff>142875</xdr:rowOff>
    </xdr:to>
    <xdr:pic>
      <xdr:nvPicPr>
        <xdr:cNvPr id="30" name="headerlogo">
          <a:extLst>
            <a:ext uri="{FF2B5EF4-FFF2-40B4-BE49-F238E27FC236}">
              <a16:creationId xmlns:a16="http://schemas.microsoft.com/office/drawing/2014/main" id="{00000000-0008-0000-05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6145" name="Group 1">
          <a:extLst>
            <a:ext uri="{FF2B5EF4-FFF2-40B4-BE49-F238E27FC236}">
              <a16:creationId xmlns:a16="http://schemas.microsoft.com/office/drawing/2014/main" id="{00000000-0008-0000-0600-000001180000}"/>
            </a:ext>
          </a:extLst>
        </xdr:cNvPr>
        <xdr:cNvGrpSpPr>
          <a:grpSpLocks/>
        </xdr:cNvGrpSpPr>
      </xdr:nvGrpSpPr>
      <xdr:grpSpPr bwMode="auto">
        <a:xfrm>
          <a:off x="1657350" y="0"/>
          <a:ext cx="6429375" cy="962025"/>
          <a:chOff x="65" y="4"/>
          <a:chExt cx="675" cy="101"/>
        </a:xfrm>
      </xdr:grpSpPr>
      <xdr:grpSp>
        <xdr:nvGrpSpPr>
          <xdr:cNvPr id="6146" name="Group 2">
            <a:extLst>
              <a:ext uri="{FF2B5EF4-FFF2-40B4-BE49-F238E27FC236}">
                <a16:creationId xmlns:a16="http://schemas.microsoft.com/office/drawing/2014/main" id="{00000000-0008-0000-0600-000002180000}"/>
              </a:ext>
            </a:extLst>
          </xdr:cNvPr>
          <xdr:cNvGrpSpPr>
            <a:grpSpLocks/>
          </xdr:cNvGrpSpPr>
        </xdr:nvGrpSpPr>
        <xdr:grpSpPr bwMode="auto">
          <a:xfrm>
            <a:off x="65" y="7"/>
            <a:ext cx="675" cy="98"/>
            <a:chOff x="65" y="7"/>
            <a:chExt cx="675" cy="98"/>
          </a:xfrm>
        </xdr:grpSpPr>
        <xdr:grpSp>
          <xdr:nvGrpSpPr>
            <xdr:cNvPr id="6148" name="Group 4">
              <a:extLst>
                <a:ext uri="{FF2B5EF4-FFF2-40B4-BE49-F238E27FC236}">
                  <a16:creationId xmlns:a16="http://schemas.microsoft.com/office/drawing/2014/main" id="{00000000-0008-0000-0600-000004180000}"/>
                </a:ext>
              </a:extLst>
            </xdr:cNvPr>
            <xdr:cNvGrpSpPr>
              <a:grpSpLocks/>
            </xdr:cNvGrpSpPr>
          </xdr:nvGrpSpPr>
          <xdr:grpSpPr bwMode="auto">
            <a:xfrm>
              <a:off x="232" y="7"/>
              <a:ext cx="433" cy="93"/>
              <a:chOff x="168" y="7"/>
              <a:chExt cx="433" cy="93"/>
            </a:xfrm>
          </xdr:grpSpPr>
          <xdr:sp macro="" textlink="">
            <xdr:nvSpPr>
              <xdr:cNvPr id="6149" name="Text Box 5">
                <a:extLst>
                  <a:ext uri="{FF2B5EF4-FFF2-40B4-BE49-F238E27FC236}">
                    <a16:creationId xmlns:a16="http://schemas.microsoft.com/office/drawing/2014/main" id="{00000000-0008-0000-0600-0000051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6150" name="Text Box 6">
                <a:extLst>
                  <a:ext uri="{FF2B5EF4-FFF2-40B4-BE49-F238E27FC236}">
                    <a16:creationId xmlns:a16="http://schemas.microsoft.com/office/drawing/2014/main" id="{00000000-0008-0000-0600-0000061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6151" name="Text Box 7">
                <a:extLst>
                  <a:ext uri="{FF2B5EF4-FFF2-40B4-BE49-F238E27FC236}">
                    <a16:creationId xmlns:a16="http://schemas.microsoft.com/office/drawing/2014/main" id="{00000000-0008-0000-0600-0000071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6152" name="Text Box 8">
                <a:extLst>
                  <a:ext uri="{FF2B5EF4-FFF2-40B4-BE49-F238E27FC236}">
                    <a16:creationId xmlns:a16="http://schemas.microsoft.com/office/drawing/2014/main" id="{00000000-0008-0000-0600-0000081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6153" name="Text Box 9">
                <a:extLst>
                  <a:ext uri="{FF2B5EF4-FFF2-40B4-BE49-F238E27FC236}">
                    <a16:creationId xmlns:a16="http://schemas.microsoft.com/office/drawing/2014/main" id="{00000000-0008-0000-0600-0000091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6154" name="Text Box 10">
                <a:extLst>
                  <a:ext uri="{FF2B5EF4-FFF2-40B4-BE49-F238E27FC236}">
                    <a16:creationId xmlns:a16="http://schemas.microsoft.com/office/drawing/2014/main" id="{00000000-0008-0000-0600-00000A1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155" name="Text Box 11">
                <a:extLst>
                  <a:ext uri="{FF2B5EF4-FFF2-40B4-BE49-F238E27FC236}">
                    <a16:creationId xmlns:a16="http://schemas.microsoft.com/office/drawing/2014/main" id="{00000000-0008-0000-0600-00000B1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156" name="Text Box 12">
                <a:extLst>
                  <a:ext uri="{FF2B5EF4-FFF2-40B4-BE49-F238E27FC236}">
                    <a16:creationId xmlns:a16="http://schemas.microsoft.com/office/drawing/2014/main" id="{00000000-0008-0000-0600-00000C1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6157" name="Text Box 13">
                <a:extLst>
                  <a:ext uri="{FF2B5EF4-FFF2-40B4-BE49-F238E27FC236}">
                    <a16:creationId xmlns:a16="http://schemas.microsoft.com/office/drawing/2014/main" id="{00000000-0008-0000-0600-00000D1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6158" name="Text Box 14">
                <a:extLst>
                  <a:ext uri="{FF2B5EF4-FFF2-40B4-BE49-F238E27FC236}">
                    <a16:creationId xmlns:a16="http://schemas.microsoft.com/office/drawing/2014/main" id="{00000000-0008-0000-0600-00000E1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6159" name="Text Box 15">
                <a:extLst>
                  <a:ext uri="{FF2B5EF4-FFF2-40B4-BE49-F238E27FC236}">
                    <a16:creationId xmlns:a16="http://schemas.microsoft.com/office/drawing/2014/main" id="{00000000-0008-0000-0600-00000F1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6160" name="Line 16">
              <a:extLst>
                <a:ext uri="{FF2B5EF4-FFF2-40B4-BE49-F238E27FC236}">
                  <a16:creationId xmlns:a16="http://schemas.microsoft.com/office/drawing/2014/main" id="{00000000-0008-0000-0600-0000101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6161" name="Line 17">
              <a:extLst>
                <a:ext uri="{FF2B5EF4-FFF2-40B4-BE49-F238E27FC236}">
                  <a16:creationId xmlns:a16="http://schemas.microsoft.com/office/drawing/2014/main" id="{00000000-0008-0000-0600-0000111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6162" name="Line 18">
              <a:extLst>
                <a:ext uri="{FF2B5EF4-FFF2-40B4-BE49-F238E27FC236}">
                  <a16:creationId xmlns:a16="http://schemas.microsoft.com/office/drawing/2014/main" id="{00000000-0008-0000-0600-0000121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6163" name="Line 19">
              <a:extLst>
                <a:ext uri="{FF2B5EF4-FFF2-40B4-BE49-F238E27FC236}">
                  <a16:creationId xmlns:a16="http://schemas.microsoft.com/office/drawing/2014/main" id="{00000000-0008-0000-0600-0000131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6164" name="Group 20">
            <a:extLst>
              <a:ext uri="{FF2B5EF4-FFF2-40B4-BE49-F238E27FC236}">
                <a16:creationId xmlns:a16="http://schemas.microsoft.com/office/drawing/2014/main" id="{00000000-0008-0000-0600-000014180000}"/>
              </a:ext>
            </a:extLst>
          </xdr:cNvPr>
          <xdr:cNvGrpSpPr>
            <a:grpSpLocks/>
          </xdr:cNvGrpSpPr>
        </xdr:nvGrpSpPr>
        <xdr:grpSpPr bwMode="auto">
          <a:xfrm>
            <a:off x="272" y="4"/>
            <a:ext cx="457" cy="98"/>
            <a:chOff x="208" y="4"/>
            <a:chExt cx="457" cy="98"/>
          </a:xfrm>
        </xdr:grpSpPr>
        <xdr:sp macro="" textlink="'Cover Sheet'!E5:U5">
          <xdr:nvSpPr>
            <xdr:cNvPr id="6165" name="Text Box 21">
              <a:extLst>
                <a:ext uri="{FF2B5EF4-FFF2-40B4-BE49-F238E27FC236}">
                  <a16:creationId xmlns:a16="http://schemas.microsoft.com/office/drawing/2014/main" id="{00000000-0008-0000-0600-0000151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356698DC-79CC-4D34-B935-66CC20EFBBA8}"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6166" name="Text Box 22">
              <a:extLst>
                <a:ext uri="{FF2B5EF4-FFF2-40B4-BE49-F238E27FC236}">
                  <a16:creationId xmlns:a16="http://schemas.microsoft.com/office/drawing/2014/main" id="{00000000-0008-0000-0600-0000161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A0E0412-F979-456F-894E-E354CAF3D295}"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6167" name="Text Box 23">
              <a:extLst>
                <a:ext uri="{FF2B5EF4-FFF2-40B4-BE49-F238E27FC236}">
                  <a16:creationId xmlns:a16="http://schemas.microsoft.com/office/drawing/2014/main" id="{00000000-0008-0000-0600-0000171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Live Loads</a:t>
              </a:r>
            </a:p>
          </xdr:txBody>
        </xdr:sp>
        <xdr:sp macro="" textlink="'Cover Sheet'!E4:U4">
          <xdr:nvSpPr>
            <xdr:cNvPr id="6168" name="Text Box 24">
              <a:extLst>
                <a:ext uri="{FF2B5EF4-FFF2-40B4-BE49-F238E27FC236}">
                  <a16:creationId xmlns:a16="http://schemas.microsoft.com/office/drawing/2014/main" id="{00000000-0008-0000-0600-0000181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E66C512-4B3A-4BC1-ABDD-5BDFB21A3719}"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6169" name="Text Box 25">
              <a:extLst>
                <a:ext uri="{FF2B5EF4-FFF2-40B4-BE49-F238E27FC236}">
                  <a16:creationId xmlns:a16="http://schemas.microsoft.com/office/drawing/2014/main" id="{00000000-0008-0000-0600-0000191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59489DF-A7C3-4DAE-87EC-922D2F004F1C}"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6170" name="Text Box 26">
              <a:extLst>
                <a:ext uri="{FF2B5EF4-FFF2-40B4-BE49-F238E27FC236}">
                  <a16:creationId xmlns:a16="http://schemas.microsoft.com/office/drawing/2014/main" id="{00000000-0008-0000-0600-00001A1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9701012-9D81-4668-98F7-3CA6A43906C7}"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6171" name="Text Box 27">
              <a:extLst>
                <a:ext uri="{FF2B5EF4-FFF2-40B4-BE49-F238E27FC236}">
                  <a16:creationId xmlns:a16="http://schemas.microsoft.com/office/drawing/2014/main" id="{00000000-0008-0000-0600-00001B1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2B4BF273-5D58-4A19-A7A9-618DAA58B7CE}" type="TxLink">
                <a:rPr lang="en-US"/>
                <a:pPr/>
                <a:t> </a:t>
              </a:fld>
              <a:endParaRPr lang="en-US"/>
            </a:p>
          </xdr:txBody>
        </xdr:sp>
        <xdr:sp macro="" textlink="'Cover Sheet'!U37:Y37">
          <xdr:nvSpPr>
            <xdr:cNvPr id="6172" name="Text Box 28">
              <a:extLst>
                <a:ext uri="{FF2B5EF4-FFF2-40B4-BE49-F238E27FC236}">
                  <a16:creationId xmlns:a16="http://schemas.microsoft.com/office/drawing/2014/main" id="{00000000-0008-0000-0600-00001C1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C6FEF4C-1516-4F02-97C4-EBDDDF829FF3}" type="TxLink">
                <a:rPr lang="en-US"/>
                <a:pPr/>
                <a:t> </a:t>
              </a:fld>
              <a:endParaRPr lang="en-US"/>
            </a:p>
          </xdr:txBody>
        </xdr:sp>
      </xdr:grpSp>
    </xdr:grpSp>
    <xdr:clientData/>
  </xdr:twoCellAnchor>
  <xdr:twoCellAnchor editAs="absolute">
    <xdr:from>
      <xdr:col>3</xdr:col>
      <xdr:colOff>173355</xdr:colOff>
      <xdr:row>58</xdr:row>
      <xdr:rowOff>150495</xdr:rowOff>
    </xdr:from>
    <xdr:to>
      <xdr:col>6</xdr:col>
      <xdr:colOff>401955</xdr:colOff>
      <xdr:row>68</xdr:row>
      <xdr:rowOff>11430</xdr:rowOff>
    </xdr:to>
    <xdr:pic>
      <xdr:nvPicPr>
        <xdr:cNvPr id="6177" name="Picture 33" descr="Rec_su2" hidden="1">
          <a:extLst>
            <a:ext uri="{FF2B5EF4-FFF2-40B4-BE49-F238E27FC236}">
              <a16:creationId xmlns:a16="http://schemas.microsoft.com/office/drawing/2014/main" id="{00000000-0008-0000-0600-000021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86075" y="5772150"/>
          <a:ext cx="1971675" cy="1485900"/>
        </a:xfrm>
        <a:prstGeom prst="rect">
          <a:avLst/>
        </a:prstGeom>
        <a:noFill/>
        <a:ln w="9525">
          <a:noFill/>
          <a:miter lim="800000"/>
          <a:headEnd/>
          <a:tailEnd/>
        </a:ln>
      </xdr:spPr>
    </xdr:pic>
    <xdr:clientData/>
  </xdr:twoCellAnchor>
  <xdr:twoCellAnchor editAs="absolute">
    <xdr:from>
      <xdr:col>7</xdr:col>
      <xdr:colOff>325755</xdr:colOff>
      <xdr:row>63</xdr:row>
      <xdr:rowOff>55245</xdr:rowOff>
    </xdr:from>
    <xdr:to>
      <xdr:col>9</xdr:col>
      <xdr:colOff>516255</xdr:colOff>
      <xdr:row>65</xdr:row>
      <xdr:rowOff>131445</xdr:rowOff>
    </xdr:to>
    <xdr:pic>
      <xdr:nvPicPr>
        <xdr:cNvPr id="6178" name="Picture 34" descr="Rec_su1" hidden="1">
          <a:extLst>
            <a:ext uri="{FF2B5EF4-FFF2-40B4-BE49-F238E27FC236}">
              <a16:creationId xmlns:a16="http://schemas.microsoft.com/office/drawing/2014/main" id="{00000000-0008-0000-0600-0000221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362575" y="6477000"/>
          <a:ext cx="1476375" cy="400050"/>
        </a:xfrm>
        <a:prstGeom prst="rect">
          <a:avLst/>
        </a:prstGeom>
        <a:noFill/>
      </xdr:spPr>
    </xdr:pic>
    <xdr:clientData/>
  </xdr:twoCellAnchor>
  <xdr:twoCellAnchor editAs="oneCell">
    <xdr:from>
      <xdr:col>1</xdr:col>
      <xdr:colOff>28575</xdr:colOff>
      <xdr:row>0</xdr:row>
      <xdr:rowOff>28575</xdr:rowOff>
    </xdr:from>
    <xdr:to>
      <xdr:col>3</xdr:col>
      <xdr:colOff>174192</xdr:colOff>
      <xdr:row>4</xdr:row>
      <xdr:rowOff>135255</xdr:rowOff>
    </xdr:to>
    <xdr:pic>
      <xdr:nvPicPr>
        <xdr:cNvPr id="32" name="headerlogo">
          <a:extLst>
            <a:ext uri="{FF2B5EF4-FFF2-40B4-BE49-F238E27FC236}">
              <a16:creationId xmlns:a16="http://schemas.microsoft.com/office/drawing/2014/main" id="{00000000-0008-0000-0600-000020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0</xdr:rowOff>
    </xdr:from>
    <xdr:to>
      <xdr:col>19</xdr:col>
      <xdr:colOff>38100</xdr:colOff>
      <xdr:row>5</xdr:row>
      <xdr:rowOff>152400</xdr:rowOff>
    </xdr:to>
    <xdr:grpSp>
      <xdr:nvGrpSpPr>
        <xdr:cNvPr id="5150" name="Group 30">
          <a:extLst>
            <a:ext uri="{FF2B5EF4-FFF2-40B4-BE49-F238E27FC236}">
              <a16:creationId xmlns:a16="http://schemas.microsoft.com/office/drawing/2014/main" id="{00000000-0008-0000-0700-00001E140000}"/>
            </a:ext>
          </a:extLst>
        </xdr:cNvPr>
        <xdr:cNvGrpSpPr>
          <a:grpSpLocks/>
        </xdr:cNvGrpSpPr>
      </xdr:nvGrpSpPr>
      <xdr:grpSpPr bwMode="auto">
        <a:xfrm>
          <a:off x="1657350" y="0"/>
          <a:ext cx="8553450" cy="962025"/>
          <a:chOff x="137" y="0"/>
          <a:chExt cx="675" cy="101"/>
        </a:xfrm>
      </xdr:grpSpPr>
      <xdr:grpSp>
        <xdr:nvGrpSpPr>
          <xdr:cNvPr id="5124" name="Group 4">
            <a:extLst>
              <a:ext uri="{FF2B5EF4-FFF2-40B4-BE49-F238E27FC236}">
                <a16:creationId xmlns:a16="http://schemas.microsoft.com/office/drawing/2014/main" id="{00000000-0008-0000-0700-000004140000}"/>
              </a:ext>
            </a:extLst>
          </xdr:cNvPr>
          <xdr:cNvGrpSpPr>
            <a:grpSpLocks/>
          </xdr:cNvGrpSpPr>
        </xdr:nvGrpSpPr>
        <xdr:grpSpPr bwMode="auto">
          <a:xfrm>
            <a:off x="304" y="3"/>
            <a:ext cx="433" cy="93"/>
            <a:chOff x="168" y="7"/>
            <a:chExt cx="433" cy="93"/>
          </a:xfrm>
        </xdr:grpSpPr>
        <xdr:sp macro="" textlink="">
          <xdr:nvSpPr>
            <xdr:cNvPr id="5125" name="Text Box 5">
              <a:extLst>
                <a:ext uri="{FF2B5EF4-FFF2-40B4-BE49-F238E27FC236}">
                  <a16:creationId xmlns:a16="http://schemas.microsoft.com/office/drawing/2014/main" id="{00000000-0008-0000-0700-0000051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126" name="Text Box 6">
              <a:extLst>
                <a:ext uri="{FF2B5EF4-FFF2-40B4-BE49-F238E27FC236}">
                  <a16:creationId xmlns:a16="http://schemas.microsoft.com/office/drawing/2014/main" id="{00000000-0008-0000-0700-0000061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127" name="Text Box 7">
              <a:extLst>
                <a:ext uri="{FF2B5EF4-FFF2-40B4-BE49-F238E27FC236}">
                  <a16:creationId xmlns:a16="http://schemas.microsoft.com/office/drawing/2014/main" id="{00000000-0008-0000-0700-0000071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128" name="Text Box 8">
              <a:extLst>
                <a:ext uri="{FF2B5EF4-FFF2-40B4-BE49-F238E27FC236}">
                  <a16:creationId xmlns:a16="http://schemas.microsoft.com/office/drawing/2014/main" id="{00000000-0008-0000-0700-0000081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129" name="Text Box 9">
              <a:extLst>
                <a:ext uri="{FF2B5EF4-FFF2-40B4-BE49-F238E27FC236}">
                  <a16:creationId xmlns:a16="http://schemas.microsoft.com/office/drawing/2014/main" id="{00000000-0008-0000-0700-0000091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130" name="Text Box 10">
              <a:extLst>
                <a:ext uri="{FF2B5EF4-FFF2-40B4-BE49-F238E27FC236}">
                  <a16:creationId xmlns:a16="http://schemas.microsoft.com/office/drawing/2014/main" id="{00000000-0008-0000-0700-00000A1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131" name="Text Box 11">
              <a:extLst>
                <a:ext uri="{FF2B5EF4-FFF2-40B4-BE49-F238E27FC236}">
                  <a16:creationId xmlns:a16="http://schemas.microsoft.com/office/drawing/2014/main" id="{00000000-0008-0000-0700-00000B1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132" name="Text Box 12">
              <a:extLst>
                <a:ext uri="{FF2B5EF4-FFF2-40B4-BE49-F238E27FC236}">
                  <a16:creationId xmlns:a16="http://schemas.microsoft.com/office/drawing/2014/main" id="{00000000-0008-0000-0700-00000C1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133" name="Text Box 13">
              <a:extLst>
                <a:ext uri="{FF2B5EF4-FFF2-40B4-BE49-F238E27FC236}">
                  <a16:creationId xmlns:a16="http://schemas.microsoft.com/office/drawing/2014/main" id="{00000000-0008-0000-0700-00000D1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134" name="Text Box 14">
              <a:extLst>
                <a:ext uri="{FF2B5EF4-FFF2-40B4-BE49-F238E27FC236}">
                  <a16:creationId xmlns:a16="http://schemas.microsoft.com/office/drawing/2014/main" id="{00000000-0008-0000-0700-00000E1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135" name="Text Box 15">
              <a:extLst>
                <a:ext uri="{FF2B5EF4-FFF2-40B4-BE49-F238E27FC236}">
                  <a16:creationId xmlns:a16="http://schemas.microsoft.com/office/drawing/2014/main" id="{00000000-0008-0000-0700-00000F1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136" name="Line 16">
            <a:extLst>
              <a:ext uri="{FF2B5EF4-FFF2-40B4-BE49-F238E27FC236}">
                <a16:creationId xmlns:a16="http://schemas.microsoft.com/office/drawing/2014/main" id="{00000000-0008-0000-0700-00001014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5137" name="Line 17">
            <a:extLst>
              <a:ext uri="{FF2B5EF4-FFF2-40B4-BE49-F238E27FC236}">
                <a16:creationId xmlns:a16="http://schemas.microsoft.com/office/drawing/2014/main" id="{00000000-0008-0000-0700-00001114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5138" name="Line 18">
            <a:extLst>
              <a:ext uri="{FF2B5EF4-FFF2-40B4-BE49-F238E27FC236}">
                <a16:creationId xmlns:a16="http://schemas.microsoft.com/office/drawing/2014/main" id="{00000000-0008-0000-0700-00001214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5139" name="Line 19">
            <a:extLst>
              <a:ext uri="{FF2B5EF4-FFF2-40B4-BE49-F238E27FC236}">
                <a16:creationId xmlns:a16="http://schemas.microsoft.com/office/drawing/2014/main" id="{00000000-0008-0000-0700-00001314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5141" name="Text Box 21">
            <a:extLst>
              <a:ext uri="{FF2B5EF4-FFF2-40B4-BE49-F238E27FC236}">
                <a16:creationId xmlns:a16="http://schemas.microsoft.com/office/drawing/2014/main" id="{00000000-0008-0000-0700-00001514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F8B3205-872B-421B-BAF3-CA11E8E7A8BD}"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5142" name="Text Box 22">
            <a:extLst>
              <a:ext uri="{FF2B5EF4-FFF2-40B4-BE49-F238E27FC236}">
                <a16:creationId xmlns:a16="http://schemas.microsoft.com/office/drawing/2014/main" id="{00000000-0008-0000-0700-00001614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9FED646-356D-4CC1-A68B-952010CF41F7}"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5143" name="Text Box 23">
            <a:extLst>
              <a:ext uri="{FF2B5EF4-FFF2-40B4-BE49-F238E27FC236}">
                <a16:creationId xmlns:a16="http://schemas.microsoft.com/office/drawing/2014/main" id="{00000000-0008-0000-0700-00001714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Input</a:t>
            </a:r>
          </a:p>
        </xdr:txBody>
      </xdr:sp>
      <xdr:sp macro="" textlink="'Cover Sheet'!E4:U4">
        <xdr:nvSpPr>
          <xdr:cNvPr id="5144" name="Text Box 24">
            <a:extLst>
              <a:ext uri="{FF2B5EF4-FFF2-40B4-BE49-F238E27FC236}">
                <a16:creationId xmlns:a16="http://schemas.microsoft.com/office/drawing/2014/main" id="{00000000-0008-0000-0700-00001814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A5A6C73-46E1-43E8-B8D2-BB765C171C0E}"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5145" name="Text Box 25">
            <a:extLst>
              <a:ext uri="{FF2B5EF4-FFF2-40B4-BE49-F238E27FC236}">
                <a16:creationId xmlns:a16="http://schemas.microsoft.com/office/drawing/2014/main" id="{00000000-0008-0000-0700-00001914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F394B71-D7A3-43A6-8D14-0D88ADEBCC6B}"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5146" name="Text Box 26">
            <a:extLst>
              <a:ext uri="{FF2B5EF4-FFF2-40B4-BE49-F238E27FC236}">
                <a16:creationId xmlns:a16="http://schemas.microsoft.com/office/drawing/2014/main" id="{00000000-0008-0000-0700-00001A14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4A4F9C1-4BC6-4A44-B298-E34662268CE7}"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5147" name="Text Box 27">
            <a:extLst>
              <a:ext uri="{FF2B5EF4-FFF2-40B4-BE49-F238E27FC236}">
                <a16:creationId xmlns:a16="http://schemas.microsoft.com/office/drawing/2014/main" id="{00000000-0008-0000-0700-00001B14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342D4935-DEC5-4523-AEC3-38BD0F7BC2C5}" type="TxLink">
              <a:rPr lang="en-US"/>
              <a:pPr/>
              <a:t> </a:t>
            </a:fld>
            <a:endParaRPr lang="en-US"/>
          </a:p>
        </xdr:txBody>
      </xdr:sp>
      <xdr:sp macro="" textlink="'Cover Sheet'!U37:Y37">
        <xdr:nvSpPr>
          <xdr:cNvPr id="5148" name="Text Box 28">
            <a:extLst>
              <a:ext uri="{FF2B5EF4-FFF2-40B4-BE49-F238E27FC236}">
                <a16:creationId xmlns:a16="http://schemas.microsoft.com/office/drawing/2014/main" id="{00000000-0008-0000-0700-00001C14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6C56100E-B280-4EB5-8B2F-B0B3A05254CC}" type="TxLink">
              <a:rPr lang="en-US"/>
              <a:pPr/>
              <a:t> </a:t>
            </a:fld>
            <a:endParaRPr lang="en-US"/>
          </a:p>
        </xdr:txBody>
      </xdr:sp>
    </xdr:grpSp>
    <xdr:clientData/>
  </xdr:twoCellAnchor>
  <xdr:twoCellAnchor editAs="absolute">
    <xdr:from>
      <xdr:col>0</xdr:col>
      <xdr:colOff>0</xdr:colOff>
      <xdr:row>47</xdr:row>
      <xdr:rowOff>62865</xdr:rowOff>
    </xdr:from>
    <xdr:to>
      <xdr:col>0</xdr:col>
      <xdr:colOff>1272540</xdr:colOff>
      <xdr:row>52</xdr:row>
      <xdr:rowOff>24765</xdr:rowOff>
    </xdr:to>
    <xdr:sp macro="[0]!ControlPointsI" textlink="">
      <xdr:nvSpPr>
        <xdr:cNvPr id="5156" name="Text Box 36">
          <a:extLst>
            <a:ext uri="{FF2B5EF4-FFF2-40B4-BE49-F238E27FC236}">
              <a16:creationId xmlns:a16="http://schemas.microsoft.com/office/drawing/2014/main" id="{00000000-0008-0000-0700-000024140000}"/>
            </a:ext>
          </a:extLst>
        </xdr:cNvPr>
        <xdr:cNvSpPr txBox="1">
          <a:spLocks noChangeArrowheads="1"/>
        </xdr:cNvSpPr>
      </xdr:nvSpPr>
      <xdr:spPr bwMode="auto">
        <a:xfrm>
          <a:off x="0" y="6943725"/>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Reset Default Control Points</a:t>
          </a:r>
        </a:p>
      </xdr:txBody>
    </xdr:sp>
    <xdr:clientData fPrintsWithSheet="0"/>
  </xdr:twoCellAnchor>
  <xdr:twoCellAnchor editAs="absolute">
    <xdr:from>
      <xdr:col>0</xdr:col>
      <xdr:colOff>0</xdr:colOff>
      <xdr:row>303</xdr:row>
      <xdr:rowOff>0</xdr:rowOff>
    </xdr:from>
    <xdr:to>
      <xdr:col>0</xdr:col>
      <xdr:colOff>1272540</xdr:colOff>
      <xdr:row>305</xdr:row>
      <xdr:rowOff>129540</xdr:rowOff>
    </xdr:to>
    <xdr:sp macro="[0]!ControlPointsII" textlink="">
      <xdr:nvSpPr>
        <xdr:cNvPr id="5160" name="Text Box 40">
          <a:extLst>
            <a:ext uri="{FF2B5EF4-FFF2-40B4-BE49-F238E27FC236}">
              <a16:creationId xmlns:a16="http://schemas.microsoft.com/office/drawing/2014/main" id="{00000000-0008-0000-0700-000028140000}"/>
            </a:ext>
          </a:extLst>
        </xdr:cNvPr>
        <xdr:cNvSpPr txBox="1">
          <a:spLocks noChangeArrowheads="1"/>
        </xdr:cNvSpPr>
      </xdr:nvSpPr>
      <xdr:spPr bwMode="auto">
        <a:xfrm>
          <a:off x="0" y="17773650"/>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Reset Default Control Points</a:t>
          </a:r>
        </a:p>
      </xdr:txBody>
    </xdr:sp>
    <xdr:clientData fPrintsWithSheet="0"/>
  </xdr:twoCellAnchor>
  <xdr:twoCellAnchor editAs="absolute">
    <xdr:from>
      <xdr:col>0</xdr:col>
      <xdr:colOff>129540</xdr:colOff>
      <xdr:row>7</xdr:row>
      <xdr:rowOff>114300</xdr:rowOff>
    </xdr:from>
    <xdr:to>
      <xdr:col>0</xdr:col>
      <xdr:colOff>1543050</xdr:colOff>
      <xdr:row>11</xdr:row>
      <xdr:rowOff>26670</xdr:rowOff>
    </xdr:to>
    <xdr:sp macro="" textlink="">
      <xdr:nvSpPr>
        <xdr:cNvPr id="5167" name="Rectangle 47">
          <a:extLst>
            <a:ext uri="{FF2B5EF4-FFF2-40B4-BE49-F238E27FC236}">
              <a16:creationId xmlns:a16="http://schemas.microsoft.com/office/drawing/2014/main" id="{00000000-0008-0000-0700-00002F140000}"/>
            </a:ext>
          </a:extLst>
        </xdr:cNvPr>
        <xdr:cNvSpPr>
          <a:spLocks noChangeArrowheads="1"/>
        </xdr:cNvSpPr>
      </xdr:nvSpPr>
      <xdr:spPr bwMode="auto">
        <a:xfrm>
          <a:off x="123825" y="1171575"/>
          <a:ext cx="1419225" cy="676275"/>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1</xdr:col>
      <xdr:colOff>57150</xdr:colOff>
      <xdr:row>0</xdr:row>
      <xdr:rowOff>38100</xdr:rowOff>
    </xdr:from>
    <xdr:to>
      <xdr:col>2</xdr:col>
      <xdr:colOff>77037</xdr:colOff>
      <xdr:row>4</xdr:row>
      <xdr:rowOff>152400</xdr:rowOff>
    </xdr:to>
    <xdr:pic>
      <xdr:nvPicPr>
        <xdr:cNvPr id="33" name="headerlogo">
          <a:extLst>
            <a:ext uri="{FF2B5EF4-FFF2-40B4-BE49-F238E27FC236}">
              <a16:creationId xmlns:a16="http://schemas.microsoft.com/office/drawing/2014/main" id="{00000000-0008-0000-0700-000021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04975" y="38100"/>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0</xdr:col>
          <xdr:colOff>228600</xdr:colOff>
          <xdr:row>7</xdr:row>
          <xdr:rowOff>180975</xdr:rowOff>
        </xdr:from>
        <xdr:to>
          <xdr:col>0</xdr:col>
          <xdr:colOff>1447800</xdr:colOff>
          <xdr:row>10</xdr:row>
          <xdr:rowOff>104775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700-00002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CAP18</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9529</xdr:colOff>
      <xdr:row>0</xdr:row>
      <xdr:rowOff>0</xdr:rowOff>
    </xdr:from>
    <xdr:to>
      <xdr:col>13</xdr:col>
      <xdr:colOff>47625</xdr:colOff>
      <xdr:row>6</xdr:row>
      <xdr:rowOff>0</xdr:rowOff>
    </xdr:to>
    <xdr:grpSp>
      <xdr:nvGrpSpPr>
        <xdr:cNvPr id="28673" name="Group 1">
          <a:extLst>
            <a:ext uri="{FF2B5EF4-FFF2-40B4-BE49-F238E27FC236}">
              <a16:creationId xmlns:a16="http://schemas.microsoft.com/office/drawing/2014/main" id="{00000000-0008-0000-0800-000001700000}"/>
            </a:ext>
          </a:extLst>
        </xdr:cNvPr>
        <xdr:cNvGrpSpPr>
          <a:grpSpLocks/>
        </xdr:cNvGrpSpPr>
      </xdr:nvGrpSpPr>
      <xdr:grpSpPr bwMode="auto">
        <a:xfrm>
          <a:off x="1657768" y="0"/>
          <a:ext cx="6432270" cy="1002196"/>
          <a:chOff x="65" y="4"/>
          <a:chExt cx="675" cy="101"/>
        </a:xfrm>
      </xdr:grpSpPr>
      <xdr:grpSp>
        <xdr:nvGrpSpPr>
          <xdr:cNvPr id="28674" name="Group 2">
            <a:extLst>
              <a:ext uri="{FF2B5EF4-FFF2-40B4-BE49-F238E27FC236}">
                <a16:creationId xmlns:a16="http://schemas.microsoft.com/office/drawing/2014/main" id="{00000000-0008-0000-0800-000002700000}"/>
              </a:ext>
            </a:extLst>
          </xdr:cNvPr>
          <xdr:cNvGrpSpPr>
            <a:grpSpLocks/>
          </xdr:cNvGrpSpPr>
        </xdr:nvGrpSpPr>
        <xdr:grpSpPr bwMode="auto">
          <a:xfrm>
            <a:off x="65" y="7"/>
            <a:ext cx="675" cy="98"/>
            <a:chOff x="65" y="7"/>
            <a:chExt cx="675" cy="98"/>
          </a:xfrm>
        </xdr:grpSpPr>
        <xdr:grpSp>
          <xdr:nvGrpSpPr>
            <xdr:cNvPr id="28676" name="Group 4">
              <a:extLst>
                <a:ext uri="{FF2B5EF4-FFF2-40B4-BE49-F238E27FC236}">
                  <a16:creationId xmlns:a16="http://schemas.microsoft.com/office/drawing/2014/main" id="{00000000-0008-0000-0800-000004700000}"/>
                </a:ext>
              </a:extLst>
            </xdr:cNvPr>
            <xdr:cNvGrpSpPr>
              <a:grpSpLocks/>
            </xdr:cNvGrpSpPr>
          </xdr:nvGrpSpPr>
          <xdr:grpSpPr bwMode="auto">
            <a:xfrm>
              <a:off x="232" y="7"/>
              <a:ext cx="433" cy="93"/>
              <a:chOff x="168" y="7"/>
              <a:chExt cx="433" cy="93"/>
            </a:xfrm>
          </xdr:grpSpPr>
          <xdr:sp macro="" textlink="">
            <xdr:nvSpPr>
              <xdr:cNvPr id="28677" name="Text Box 5">
                <a:extLst>
                  <a:ext uri="{FF2B5EF4-FFF2-40B4-BE49-F238E27FC236}">
                    <a16:creationId xmlns:a16="http://schemas.microsoft.com/office/drawing/2014/main" id="{00000000-0008-0000-0800-0000057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8678" name="Text Box 6">
                <a:extLst>
                  <a:ext uri="{FF2B5EF4-FFF2-40B4-BE49-F238E27FC236}">
                    <a16:creationId xmlns:a16="http://schemas.microsoft.com/office/drawing/2014/main" id="{00000000-0008-0000-0800-0000067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8679" name="Text Box 7">
                <a:extLst>
                  <a:ext uri="{FF2B5EF4-FFF2-40B4-BE49-F238E27FC236}">
                    <a16:creationId xmlns:a16="http://schemas.microsoft.com/office/drawing/2014/main" id="{00000000-0008-0000-0800-0000077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8680" name="Text Box 8">
                <a:extLst>
                  <a:ext uri="{FF2B5EF4-FFF2-40B4-BE49-F238E27FC236}">
                    <a16:creationId xmlns:a16="http://schemas.microsoft.com/office/drawing/2014/main" id="{00000000-0008-0000-0800-0000087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8681" name="Text Box 9">
                <a:extLst>
                  <a:ext uri="{FF2B5EF4-FFF2-40B4-BE49-F238E27FC236}">
                    <a16:creationId xmlns:a16="http://schemas.microsoft.com/office/drawing/2014/main" id="{00000000-0008-0000-0800-0000097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8682" name="Text Box 10">
                <a:extLst>
                  <a:ext uri="{FF2B5EF4-FFF2-40B4-BE49-F238E27FC236}">
                    <a16:creationId xmlns:a16="http://schemas.microsoft.com/office/drawing/2014/main" id="{00000000-0008-0000-0800-00000A7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8683" name="Text Box 11">
                <a:extLst>
                  <a:ext uri="{FF2B5EF4-FFF2-40B4-BE49-F238E27FC236}">
                    <a16:creationId xmlns:a16="http://schemas.microsoft.com/office/drawing/2014/main" id="{00000000-0008-0000-0800-00000B7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8684" name="Text Box 12">
                <a:extLst>
                  <a:ext uri="{FF2B5EF4-FFF2-40B4-BE49-F238E27FC236}">
                    <a16:creationId xmlns:a16="http://schemas.microsoft.com/office/drawing/2014/main" id="{00000000-0008-0000-0800-00000C7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8685" name="Text Box 13">
                <a:extLst>
                  <a:ext uri="{FF2B5EF4-FFF2-40B4-BE49-F238E27FC236}">
                    <a16:creationId xmlns:a16="http://schemas.microsoft.com/office/drawing/2014/main" id="{00000000-0008-0000-0800-00000D7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8686" name="Text Box 14">
                <a:extLst>
                  <a:ext uri="{FF2B5EF4-FFF2-40B4-BE49-F238E27FC236}">
                    <a16:creationId xmlns:a16="http://schemas.microsoft.com/office/drawing/2014/main" id="{00000000-0008-0000-0800-00000E7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8687" name="Text Box 15">
                <a:extLst>
                  <a:ext uri="{FF2B5EF4-FFF2-40B4-BE49-F238E27FC236}">
                    <a16:creationId xmlns:a16="http://schemas.microsoft.com/office/drawing/2014/main" id="{00000000-0008-0000-0800-00000F7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8688" name="Line 16">
              <a:extLst>
                <a:ext uri="{FF2B5EF4-FFF2-40B4-BE49-F238E27FC236}">
                  <a16:creationId xmlns:a16="http://schemas.microsoft.com/office/drawing/2014/main" id="{00000000-0008-0000-0800-0000107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28689" name="Line 17">
              <a:extLst>
                <a:ext uri="{FF2B5EF4-FFF2-40B4-BE49-F238E27FC236}">
                  <a16:creationId xmlns:a16="http://schemas.microsoft.com/office/drawing/2014/main" id="{00000000-0008-0000-0800-0000117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28690" name="Line 18">
              <a:extLst>
                <a:ext uri="{FF2B5EF4-FFF2-40B4-BE49-F238E27FC236}">
                  <a16:creationId xmlns:a16="http://schemas.microsoft.com/office/drawing/2014/main" id="{00000000-0008-0000-0800-0000127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28691" name="Line 19">
              <a:extLst>
                <a:ext uri="{FF2B5EF4-FFF2-40B4-BE49-F238E27FC236}">
                  <a16:creationId xmlns:a16="http://schemas.microsoft.com/office/drawing/2014/main" id="{00000000-0008-0000-0800-0000137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28692" name="Group 20">
            <a:extLst>
              <a:ext uri="{FF2B5EF4-FFF2-40B4-BE49-F238E27FC236}">
                <a16:creationId xmlns:a16="http://schemas.microsoft.com/office/drawing/2014/main" id="{00000000-0008-0000-0800-000014700000}"/>
              </a:ext>
            </a:extLst>
          </xdr:cNvPr>
          <xdr:cNvGrpSpPr>
            <a:grpSpLocks/>
          </xdr:cNvGrpSpPr>
        </xdr:nvGrpSpPr>
        <xdr:grpSpPr bwMode="auto">
          <a:xfrm>
            <a:off x="272" y="4"/>
            <a:ext cx="457" cy="98"/>
            <a:chOff x="208" y="4"/>
            <a:chExt cx="457" cy="98"/>
          </a:xfrm>
        </xdr:grpSpPr>
        <xdr:sp macro="" textlink="'Cover Sheet'!E5:U5">
          <xdr:nvSpPr>
            <xdr:cNvPr id="28693" name="Text Box 21">
              <a:extLst>
                <a:ext uri="{FF2B5EF4-FFF2-40B4-BE49-F238E27FC236}">
                  <a16:creationId xmlns:a16="http://schemas.microsoft.com/office/drawing/2014/main" id="{00000000-0008-0000-0800-0000157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280E282-87A7-4E20-8D81-F9B82AD54C88}"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28694" name="Text Box 22">
              <a:extLst>
                <a:ext uri="{FF2B5EF4-FFF2-40B4-BE49-F238E27FC236}">
                  <a16:creationId xmlns:a16="http://schemas.microsoft.com/office/drawing/2014/main" id="{00000000-0008-0000-0800-0000167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60CC16A-6009-4148-8406-DA6647AF162D}"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28695" name="Text Box 23">
              <a:extLst>
                <a:ext uri="{FF2B5EF4-FFF2-40B4-BE49-F238E27FC236}">
                  <a16:creationId xmlns:a16="http://schemas.microsoft.com/office/drawing/2014/main" id="{00000000-0008-0000-0800-0000177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Output</a:t>
              </a:r>
            </a:p>
          </xdr:txBody>
        </xdr:sp>
        <xdr:sp macro="" textlink="'Cover Sheet'!E4:U4">
          <xdr:nvSpPr>
            <xdr:cNvPr id="28696" name="Text Box 24">
              <a:extLst>
                <a:ext uri="{FF2B5EF4-FFF2-40B4-BE49-F238E27FC236}">
                  <a16:creationId xmlns:a16="http://schemas.microsoft.com/office/drawing/2014/main" id="{00000000-0008-0000-0800-0000187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BB7B2B9-9B9E-4AF0-9A72-D02C670E5B1A}"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28697" name="Text Box 25">
              <a:extLst>
                <a:ext uri="{FF2B5EF4-FFF2-40B4-BE49-F238E27FC236}">
                  <a16:creationId xmlns:a16="http://schemas.microsoft.com/office/drawing/2014/main" id="{00000000-0008-0000-0800-0000197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1FA010E0-DE64-4690-ACB9-BEC776B7E75D}"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28698" name="Text Box 26">
              <a:extLst>
                <a:ext uri="{FF2B5EF4-FFF2-40B4-BE49-F238E27FC236}">
                  <a16:creationId xmlns:a16="http://schemas.microsoft.com/office/drawing/2014/main" id="{00000000-0008-0000-0800-00001A7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7A202E94-3343-4E10-AB15-BA3A78FBBE0A}"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28699" name="Text Box 27">
              <a:extLst>
                <a:ext uri="{FF2B5EF4-FFF2-40B4-BE49-F238E27FC236}">
                  <a16:creationId xmlns:a16="http://schemas.microsoft.com/office/drawing/2014/main" id="{00000000-0008-0000-0800-00001B7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CCFF9D09-FCCA-4DA3-8EC9-E53321F038AC}" type="TxLink">
                <a:rPr lang="en-US"/>
                <a:pPr/>
                <a:t> </a:t>
              </a:fld>
              <a:endParaRPr lang="en-US"/>
            </a:p>
          </xdr:txBody>
        </xdr:sp>
        <xdr:sp macro="" textlink="'Cover Sheet'!U37:Y37">
          <xdr:nvSpPr>
            <xdr:cNvPr id="28700" name="Text Box 28">
              <a:extLst>
                <a:ext uri="{FF2B5EF4-FFF2-40B4-BE49-F238E27FC236}">
                  <a16:creationId xmlns:a16="http://schemas.microsoft.com/office/drawing/2014/main" id="{00000000-0008-0000-0800-00001C7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181BD3-28EC-4352-B600-EED6F1D07245}" type="TxLink">
                <a:rPr lang="en-US"/>
                <a:pPr/>
                <a:t> </a:t>
              </a:fld>
              <a:endParaRPr lang="en-US"/>
            </a:p>
          </xdr:txBody>
        </xdr:sp>
      </xdr:grpSp>
    </xdr:grpSp>
    <xdr:clientData/>
  </xdr:twoCellAnchor>
  <xdr:twoCellAnchor>
    <xdr:from>
      <xdr:col>15</xdr:col>
      <xdr:colOff>142875</xdr:colOff>
      <xdr:row>49</xdr:row>
      <xdr:rowOff>38100</xdr:rowOff>
    </xdr:from>
    <xdr:to>
      <xdr:col>35</xdr:col>
      <xdr:colOff>219075</xdr:colOff>
      <xdr:row>89</xdr:row>
      <xdr:rowOff>9525</xdr:rowOff>
    </xdr:to>
    <xdr:graphicFrame macro="">
      <xdr:nvGraphicFramePr>
        <xdr:cNvPr id="28706" name="Chart 34">
          <a:extLst>
            <a:ext uri="{FF2B5EF4-FFF2-40B4-BE49-F238E27FC236}">
              <a16:creationId xmlns:a16="http://schemas.microsoft.com/office/drawing/2014/main" id="{00000000-0008-0000-0800-000022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123825</xdr:colOff>
      <xdr:row>4</xdr:row>
      <xdr:rowOff>38100</xdr:rowOff>
    </xdr:from>
    <xdr:to>
      <xdr:col>1</xdr:col>
      <xdr:colOff>209550</xdr:colOff>
      <xdr:row>8</xdr:row>
      <xdr:rowOff>85725</xdr:rowOff>
    </xdr:to>
    <xdr:sp macro="" textlink="">
      <xdr:nvSpPr>
        <xdr:cNvPr id="28710" name="Rectangle 38">
          <a:extLst>
            <a:ext uri="{FF2B5EF4-FFF2-40B4-BE49-F238E27FC236}">
              <a16:creationId xmlns:a16="http://schemas.microsoft.com/office/drawing/2014/main" id="{00000000-0008-0000-0800-000026700000}"/>
            </a:ext>
          </a:extLst>
        </xdr:cNvPr>
        <xdr:cNvSpPr>
          <a:spLocks noChangeArrowheads="1"/>
        </xdr:cNvSpPr>
      </xdr:nvSpPr>
      <xdr:spPr bwMode="auto">
        <a:xfrm>
          <a:off x="123825" y="695325"/>
          <a:ext cx="1419225" cy="742950"/>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2</xdr:col>
      <xdr:colOff>24848</xdr:colOff>
      <xdr:row>0</xdr:row>
      <xdr:rowOff>33130</xdr:rowOff>
    </xdr:from>
    <xdr:to>
      <xdr:col>4</xdr:col>
      <xdr:colOff>8283</xdr:colOff>
      <xdr:row>4</xdr:row>
      <xdr:rowOff>66261</xdr:rowOff>
    </xdr:to>
    <xdr:pic>
      <xdr:nvPicPr>
        <xdr:cNvPr id="33" name="headerlogo">
          <a:extLst>
            <a:ext uri="{FF2B5EF4-FFF2-40B4-BE49-F238E27FC236}">
              <a16:creationId xmlns:a16="http://schemas.microsoft.com/office/drawing/2014/main" id="{00000000-0008-0000-0800-00002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3087" y="33130"/>
          <a:ext cx="1143000" cy="70402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200025</xdr:colOff>
          <xdr:row>4</xdr:row>
          <xdr:rowOff>152400</xdr:rowOff>
        </xdr:from>
        <xdr:to>
          <xdr:col>1</xdr:col>
          <xdr:colOff>0</xdr:colOff>
          <xdr:row>7</xdr:row>
          <xdr:rowOff>171450</xdr:rowOff>
        </xdr:to>
        <xdr:sp macro="" textlink="">
          <xdr:nvSpPr>
            <xdr:cNvPr id="28709" name="Button 37" hidden="1">
              <a:extLst>
                <a:ext uri="{63B3BB69-23CF-44E3-9099-C40C66FF867C}">
                  <a14:compatExt spid="_x0000_s28709"/>
                </a:ext>
                <a:ext uri="{FF2B5EF4-FFF2-40B4-BE49-F238E27FC236}">
                  <a16:creationId xmlns:a16="http://schemas.microsoft.com/office/drawing/2014/main" id="{00000000-0008-0000-0800-000025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CAP18 Results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9539</xdr:colOff>
      <xdr:row>0</xdr:row>
      <xdr:rowOff>0</xdr:rowOff>
    </xdr:from>
    <xdr:to>
      <xdr:col>14</xdr:col>
      <xdr:colOff>66675</xdr:colOff>
      <xdr:row>6</xdr:row>
      <xdr:rowOff>0</xdr:rowOff>
    </xdr:to>
    <xdr:grpSp>
      <xdr:nvGrpSpPr>
        <xdr:cNvPr id="35841" name="Group 1">
          <a:extLst>
            <a:ext uri="{FF2B5EF4-FFF2-40B4-BE49-F238E27FC236}">
              <a16:creationId xmlns:a16="http://schemas.microsoft.com/office/drawing/2014/main" id="{00000000-0008-0000-0900-0000018C0000}"/>
            </a:ext>
          </a:extLst>
        </xdr:cNvPr>
        <xdr:cNvGrpSpPr>
          <a:grpSpLocks/>
        </xdr:cNvGrpSpPr>
      </xdr:nvGrpSpPr>
      <xdr:grpSpPr bwMode="auto">
        <a:xfrm>
          <a:off x="1657364" y="0"/>
          <a:ext cx="6438886" cy="981075"/>
          <a:chOff x="65" y="4"/>
          <a:chExt cx="675" cy="101"/>
        </a:xfrm>
      </xdr:grpSpPr>
      <xdr:grpSp>
        <xdr:nvGrpSpPr>
          <xdr:cNvPr id="35842" name="Group 2">
            <a:extLst>
              <a:ext uri="{FF2B5EF4-FFF2-40B4-BE49-F238E27FC236}">
                <a16:creationId xmlns:a16="http://schemas.microsoft.com/office/drawing/2014/main" id="{00000000-0008-0000-0900-0000028C0000}"/>
              </a:ext>
            </a:extLst>
          </xdr:cNvPr>
          <xdr:cNvGrpSpPr>
            <a:grpSpLocks/>
          </xdr:cNvGrpSpPr>
        </xdr:nvGrpSpPr>
        <xdr:grpSpPr bwMode="auto">
          <a:xfrm>
            <a:off x="65" y="7"/>
            <a:ext cx="675" cy="98"/>
            <a:chOff x="65" y="7"/>
            <a:chExt cx="675" cy="98"/>
          </a:xfrm>
        </xdr:grpSpPr>
        <xdr:grpSp>
          <xdr:nvGrpSpPr>
            <xdr:cNvPr id="35844" name="Group 4">
              <a:extLst>
                <a:ext uri="{FF2B5EF4-FFF2-40B4-BE49-F238E27FC236}">
                  <a16:creationId xmlns:a16="http://schemas.microsoft.com/office/drawing/2014/main" id="{00000000-0008-0000-0900-0000048C0000}"/>
                </a:ext>
              </a:extLst>
            </xdr:cNvPr>
            <xdr:cNvGrpSpPr>
              <a:grpSpLocks/>
            </xdr:cNvGrpSpPr>
          </xdr:nvGrpSpPr>
          <xdr:grpSpPr bwMode="auto">
            <a:xfrm>
              <a:off x="232" y="7"/>
              <a:ext cx="433" cy="93"/>
              <a:chOff x="168" y="7"/>
              <a:chExt cx="433" cy="93"/>
            </a:xfrm>
          </xdr:grpSpPr>
          <xdr:sp macro="" textlink="">
            <xdr:nvSpPr>
              <xdr:cNvPr id="35845" name="Text Box 5">
                <a:extLst>
                  <a:ext uri="{FF2B5EF4-FFF2-40B4-BE49-F238E27FC236}">
                    <a16:creationId xmlns:a16="http://schemas.microsoft.com/office/drawing/2014/main" id="{00000000-0008-0000-0900-0000058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5846" name="Text Box 6">
                <a:extLst>
                  <a:ext uri="{FF2B5EF4-FFF2-40B4-BE49-F238E27FC236}">
                    <a16:creationId xmlns:a16="http://schemas.microsoft.com/office/drawing/2014/main" id="{00000000-0008-0000-0900-0000068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5847" name="Text Box 7">
                <a:extLst>
                  <a:ext uri="{FF2B5EF4-FFF2-40B4-BE49-F238E27FC236}">
                    <a16:creationId xmlns:a16="http://schemas.microsoft.com/office/drawing/2014/main" id="{00000000-0008-0000-0900-0000078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5848" name="Text Box 8">
                <a:extLst>
                  <a:ext uri="{FF2B5EF4-FFF2-40B4-BE49-F238E27FC236}">
                    <a16:creationId xmlns:a16="http://schemas.microsoft.com/office/drawing/2014/main" id="{00000000-0008-0000-0900-0000088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5849" name="Text Box 9">
                <a:extLst>
                  <a:ext uri="{FF2B5EF4-FFF2-40B4-BE49-F238E27FC236}">
                    <a16:creationId xmlns:a16="http://schemas.microsoft.com/office/drawing/2014/main" id="{00000000-0008-0000-0900-0000098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5850" name="Text Box 10">
                <a:extLst>
                  <a:ext uri="{FF2B5EF4-FFF2-40B4-BE49-F238E27FC236}">
                    <a16:creationId xmlns:a16="http://schemas.microsoft.com/office/drawing/2014/main" id="{00000000-0008-0000-0900-00000A8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5851" name="Text Box 11">
                <a:extLst>
                  <a:ext uri="{FF2B5EF4-FFF2-40B4-BE49-F238E27FC236}">
                    <a16:creationId xmlns:a16="http://schemas.microsoft.com/office/drawing/2014/main" id="{00000000-0008-0000-0900-00000B8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5852" name="Text Box 12">
                <a:extLst>
                  <a:ext uri="{FF2B5EF4-FFF2-40B4-BE49-F238E27FC236}">
                    <a16:creationId xmlns:a16="http://schemas.microsoft.com/office/drawing/2014/main" id="{00000000-0008-0000-0900-00000C8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5853" name="Text Box 13">
                <a:extLst>
                  <a:ext uri="{FF2B5EF4-FFF2-40B4-BE49-F238E27FC236}">
                    <a16:creationId xmlns:a16="http://schemas.microsoft.com/office/drawing/2014/main" id="{00000000-0008-0000-0900-00000D8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5854" name="Text Box 14">
                <a:extLst>
                  <a:ext uri="{FF2B5EF4-FFF2-40B4-BE49-F238E27FC236}">
                    <a16:creationId xmlns:a16="http://schemas.microsoft.com/office/drawing/2014/main" id="{00000000-0008-0000-0900-00000E8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5855" name="Text Box 15">
                <a:extLst>
                  <a:ext uri="{FF2B5EF4-FFF2-40B4-BE49-F238E27FC236}">
                    <a16:creationId xmlns:a16="http://schemas.microsoft.com/office/drawing/2014/main" id="{00000000-0008-0000-0900-00000F8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5856" name="Line 16">
              <a:extLst>
                <a:ext uri="{FF2B5EF4-FFF2-40B4-BE49-F238E27FC236}">
                  <a16:creationId xmlns:a16="http://schemas.microsoft.com/office/drawing/2014/main" id="{00000000-0008-0000-0900-0000108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5857" name="Line 17">
              <a:extLst>
                <a:ext uri="{FF2B5EF4-FFF2-40B4-BE49-F238E27FC236}">
                  <a16:creationId xmlns:a16="http://schemas.microsoft.com/office/drawing/2014/main" id="{00000000-0008-0000-0900-0000118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5858" name="Line 18">
              <a:extLst>
                <a:ext uri="{FF2B5EF4-FFF2-40B4-BE49-F238E27FC236}">
                  <a16:creationId xmlns:a16="http://schemas.microsoft.com/office/drawing/2014/main" id="{00000000-0008-0000-0900-0000128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5859" name="Line 19">
              <a:extLst>
                <a:ext uri="{FF2B5EF4-FFF2-40B4-BE49-F238E27FC236}">
                  <a16:creationId xmlns:a16="http://schemas.microsoft.com/office/drawing/2014/main" id="{00000000-0008-0000-0900-0000138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5860" name="Group 20">
            <a:extLst>
              <a:ext uri="{FF2B5EF4-FFF2-40B4-BE49-F238E27FC236}">
                <a16:creationId xmlns:a16="http://schemas.microsoft.com/office/drawing/2014/main" id="{00000000-0008-0000-0900-0000148C0000}"/>
              </a:ext>
            </a:extLst>
          </xdr:cNvPr>
          <xdr:cNvGrpSpPr>
            <a:grpSpLocks/>
          </xdr:cNvGrpSpPr>
        </xdr:nvGrpSpPr>
        <xdr:grpSpPr bwMode="auto">
          <a:xfrm>
            <a:off x="272" y="4"/>
            <a:ext cx="457" cy="98"/>
            <a:chOff x="208" y="4"/>
            <a:chExt cx="457" cy="98"/>
          </a:xfrm>
        </xdr:grpSpPr>
        <xdr:sp macro="" textlink="'Cover Sheet'!E5:U5">
          <xdr:nvSpPr>
            <xdr:cNvPr id="35861" name="Text Box 21">
              <a:extLst>
                <a:ext uri="{FF2B5EF4-FFF2-40B4-BE49-F238E27FC236}">
                  <a16:creationId xmlns:a16="http://schemas.microsoft.com/office/drawing/2014/main" id="{00000000-0008-0000-0900-0000158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2694917-68AF-4E4D-BF1A-D0A4A3C5420D}"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35862" name="Text Box 22">
              <a:extLst>
                <a:ext uri="{FF2B5EF4-FFF2-40B4-BE49-F238E27FC236}">
                  <a16:creationId xmlns:a16="http://schemas.microsoft.com/office/drawing/2014/main" id="{00000000-0008-0000-0900-0000168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BD4A87C6-8DE5-4FBE-95CF-6218D35DBFAF}"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35863" name="Text Box 23">
              <a:extLst>
                <a:ext uri="{FF2B5EF4-FFF2-40B4-BE49-F238E27FC236}">
                  <a16:creationId xmlns:a16="http://schemas.microsoft.com/office/drawing/2014/main" id="{00000000-0008-0000-0900-0000178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Output</a:t>
              </a:r>
            </a:p>
          </xdr:txBody>
        </xdr:sp>
        <xdr:sp macro="" textlink="'Cover Sheet'!E4:U4">
          <xdr:nvSpPr>
            <xdr:cNvPr id="35864" name="Text Box 24">
              <a:extLst>
                <a:ext uri="{FF2B5EF4-FFF2-40B4-BE49-F238E27FC236}">
                  <a16:creationId xmlns:a16="http://schemas.microsoft.com/office/drawing/2014/main" id="{00000000-0008-0000-0900-0000188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72E8889-22DB-4D75-8F30-EC3884FAFBC4}"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35865" name="Text Box 25">
              <a:extLst>
                <a:ext uri="{FF2B5EF4-FFF2-40B4-BE49-F238E27FC236}">
                  <a16:creationId xmlns:a16="http://schemas.microsoft.com/office/drawing/2014/main" id="{00000000-0008-0000-0900-0000198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766DA97-3B86-4266-AAB2-3CFB928D23D9}"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35866" name="Text Box 26">
              <a:extLst>
                <a:ext uri="{FF2B5EF4-FFF2-40B4-BE49-F238E27FC236}">
                  <a16:creationId xmlns:a16="http://schemas.microsoft.com/office/drawing/2014/main" id="{00000000-0008-0000-0900-00001A8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C87B3BC-8C23-4014-A834-D139D8D7CF7A}"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35867" name="Text Box 27">
              <a:extLst>
                <a:ext uri="{FF2B5EF4-FFF2-40B4-BE49-F238E27FC236}">
                  <a16:creationId xmlns:a16="http://schemas.microsoft.com/office/drawing/2014/main" id="{00000000-0008-0000-0900-00001B8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2DC9C87-72E7-4AFC-9030-16FD1AC43567}" type="TxLink">
                <a:rPr lang="en-US"/>
                <a:pPr/>
                <a:t> </a:t>
              </a:fld>
              <a:endParaRPr lang="en-US"/>
            </a:p>
          </xdr:txBody>
        </xdr:sp>
        <xdr:sp macro="" textlink="'Cover Sheet'!U37:Y37">
          <xdr:nvSpPr>
            <xdr:cNvPr id="35868" name="Text Box 28">
              <a:extLst>
                <a:ext uri="{FF2B5EF4-FFF2-40B4-BE49-F238E27FC236}">
                  <a16:creationId xmlns:a16="http://schemas.microsoft.com/office/drawing/2014/main" id="{00000000-0008-0000-0900-00001C8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9FC12B-FB46-4D8E-A41D-000AE1D665AF}" type="TxLink">
                <a:rPr lang="en-US"/>
                <a:pPr/>
                <a:t> </a:t>
              </a:fld>
              <a:endParaRPr lang="en-US"/>
            </a:p>
          </xdr:txBody>
        </xdr:sp>
      </xdr:grpSp>
    </xdr:grpSp>
    <xdr:clientData/>
  </xdr:twoCellAnchor>
  <xdr:twoCellAnchor>
    <xdr:from>
      <xdr:col>12</xdr:col>
      <xdr:colOff>0</xdr:colOff>
      <xdr:row>10</xdr:row>
      <xdr:rowOff>0</xdr:rowOff>
    </xdr:from>
    <xdr:to>
      <xdr:col>12</xdr:col>
      <xdr:colOff>0</xdr:colOff>
      <xdr:row>10</xdr:row>
      <xdr:rowOff>0</xdr:rowOff>
    </xdr:to>
    <xdr:graphicFrame macro="">
      <xdr:nvGraphicFramePr>
        <xdr:cNvPr id="35870" name="Chart 30">
          <a:extLst>
            <a:ext uri="{FF2B5EF4-FFF2-40B4-BE49-F238E27FC236}">
              <a16:creationId xmlns:a16="http://schemas.microsoft.com/office/drawing/2014/main" id="{00000000-0008-0000-0900-00001E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28575</xdr:colOff>
      <xdr:row>0</xdr:row>
      <xdr:rowOff>19050</xdr:rowOff>
    </xdr:from>
    <xdr:to>
      <xdr:col>4</xdr:col>
      <xdr:colOff>134187</xdr:colOff>
      <xdr:row>4</xdr:row>
      <xdr:rowOff>123825</xdr:rowOff>
    </xdr:to>
    <xdr:pic>
      <xdr:nvPicPr>
        <xdr:cNvPr id="31" name="headerlogo">
          <a:extLst>
            <a:ext uri="{FF2B5EF4-FFF2-40B4-BE49-F238E27FC236}">
              <a16:creationId xmlns:a16="http://schemas.microsoft.com/office/drawing/2014/main" id="{00000000-0008-0000-0900-00001F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19050"/>
          <a:ext cx="1210512"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0" y="0"/>
    <xdr:ext cx="9039225" cy="65246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45057" name="Group 1">
          <a:extLst>
            <a:ext uri="{FF2B5EF4-FFF2-40B4-BE49-F238E27FC236}">
              <a16:creationId xmlns:a16="http://schemas.microsoft.com/office/drawing/2014/main" id="{00000000-0008-0000-0B00-000001B00000}"/>
            </a:ext>
          </a:extLst>
        </xdr:cNvPr>
        <xdr:cNvGrpSpPr>
          <a:grpSpLocks/>
        </xdr:cNvGrpSpPr>
      </xdr:nvGrpSpPr>
      <xdr:grpSpPr bwMode="auto">
        <a:xfrm>
          <a:off x="1657350" y="0"/>
          <a:ext cx="6429375" cy="962025"/>
          <a:chOff x="65" y="4"/>
          <a:chExt cx="675" cy="101"/>
        </a:xfrm>
      </xdr:grpSpPr>
      <xdr:grpSp>
        <xdr:nvGrpSpPr>
          <xdr:cNvPr id="45058" name="Group 2">
            <a:extLst>
              <a:ext uri="{FF2B5EF4-FFF2-40B4-BE49-F238E27FC236}">
                <a16:creationId xmlns:a16="http://schemas.microsoft.com/office/drawing/2014/main" id="{00000000-0008-0000-0B00-000002B00000}"/>
              </a:ext>
            </a:extLst>
          </xdr:cNvPr>
          <xdr:cNvGrpSpPr>
            <a:grpSpLocks/>
          </xdr:cNvGrpSpPr>
        </xdr:nvGrpSpPr>
        <xdr:grpSpPr bwMode="auto">
          <a:xfrm>
            <a:off x="65" y="7"/>
            <a:ext cx="675" cy="98"/>
            <a:chOff x="65" y="7"/>
            <a:chExt cx="675" cy="98"/>
          </a:xfrm>
        </xdr:grpSpPr>
        <xdr:grpSp>
          <xdr:nvGrpSpPr>
            <xdr:cNvPr id="45060" name="Group 4">
              <a:extLst>
                <a:ext uri="{FF2B5EF4-FFF2-40B4-BE49-F238E27FC236}">
                  <a16:creationId xmlns:a16="http://schemas.microsoft.com/office/drawing/2014/main" id="{00000000-0008-0000-0B00-000004B00000}"/>
                </a:ext>
              </a:extLst>
            </xdr:cNvPr>
            <xdr:cNvGrpSpPr>
              <a:grpSpLocks/>
            </xdr:cNvGrpSpPr>
          </xdr:nvGrpSpPr>
          <xdr:grpSpPr bwMode="auto">
            <a:xfrm>
              <a:off x="232" y="7"/>
              <a:ext cx="433" cy="93"/>
              <a:chOff x="168" y="7"/>
              <a:chExt cx="433" cy="93"/>
            </a:xfrm>
          </xdr:grpSpPr>
          <xdr:sp macro="" textlink="">
            <xdr:nvSpPr>
              <xdr:cNvPr id="45061" name="Text Box 5">
                <a:extLst>
                  <a:ext uri="{FF2B5EF4-FFF2-40B4-BE49-F238E27FC236}">
                    <a16:creationId xmlns:a16="http://schemas.microsoft.com/office/drawing/2014/main" id="{00000000-0008-0000-0B00-000005B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5062" name="Text Box 6">
                <a:extLst>
                  <a:ext uri="{FF2B5EF4-FFF2-40B4-BE49-F238E27FC236}">
                    <a16:creationId xmlns:a16="http://schemas.microsoft.com/office/drawing/2014/main" id="{00000000-0008-0000-0B00-000006B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5063" name="Text Box 7">
                <a:extLst>
                  <a:ext uri="{FF2B5EF4-FFF2-40B4-BE49-F238E27FC236}">
                    <a16:creationId xmlns:a16="http://schemas.microsoft.com/office/drawing/2014/main" id="{00000000-0008-0000-0B00-000007B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5064" name="Text Box 8">
                <a:extLst>
                  <a:ext uri="{FF2B5EF4-FFF2-40B4-BE49-F238E27FC236}">
                    <a16:creationId xmlns:a16="http://schemas.microsoft.com/office/drawing/2014/main" id="{00000000-0008-0000-0B00-000008B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5065" name="Text Box 9">
                <a:extLst>
                  <a:ext uri="{FF2B5EF4-FFF2-40B4-BE49-F238E27FC236}">
                    <a16:creationId xmlns:a16="http://schemas.microsoft.com/office/drawing/2014/main" id="{00000000-0008-0000-0B00-000009B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5066" name="Text Box 10">
                <a:extLst>
                  <a:ext uri="{FF2B5EF4-FFF2-40B4-BE49-F238E27FC236}">
                    <a16:creationId xmlns:a16="http://schemas.microsoft.com/office/drawing/2014/main" id="{00000000-0008-0000-0B00-00000AB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5067" name="Text Box 11">
                <a:extLst>
                  <a:ext uri="{FF2B5EF4-FFF2-40B4-BE49-F238E27FC236}">
                    <a16:creationId xmlns:a16="http://schemas.microsoft.com/office/drawing/2014/main" id="{00000000-0008-0000-0B00-00000BB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5068" name="Text Box 12">
                <a:extLst>
                  <a:ext uri="{FF2B5EF4-FFF2-40B4-BE49-F238E27FC236}">
                    <a16:creationId xmlns:a16="http://schemas.microsoft.com/office/drawing/2014/main" id="{00000000-0008-0000-0B00-00000CB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5069" name="Text Box 13">
                <a:extLst>
                  <a:ext uri="{FF2B5EF4-FFF2-40B4-BE49-F238E27FC236}">
                    <a16:creationId xmlns:a16="http://schemas.microsoft.com/office/drawing/2014/main" id="{00000000-0008-0000-0B00-00000DB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5070" name="Text Box 14">
                <a:extLst>
                  <a:ext uri="{FF2B5EF4-FFF2-40B4-BE49-F238E27FC236}">
                    <a16:creationId xmlns:a16="http://schemas.microsoft.com/office/drawing/2014/main" id="{00000000-0008-0000-0B00-00000EB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5071" name="Text Box 15">
                <a:extLst>
                  <a:ext uri="{FF2B5EF4-FFF2-40B4-BE49-F238E27FC236}">
                    <a16:creationId xmlns:a16="http://schemas.microsoft.com/office/drawing/2014/main" id="{00000000-0008-0000-0B00-00000FB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5072" name="Line 16">
              <a:extLst>
                <a:ext uri="{FF2B5EF4-FFF2-40B4-BE49-F238E27FC236}">
                  <a16:creationId xmlns:a16="http://schemas.microsoft.com/office/drawing/2014/main" id="{00000000-0008-0000-0B00-000010B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5073" name="Line 17">
              <a:extLst>
                <a:ext uri="{FF2B5EF4-FFF2-40B4-BE49-F238E27FC236}">
                  <a16:creationId xmlns:a16="http://schemas.microsoft.com/office/drawing/2014/main" id="{00000000-0008-0000-0B00-000011B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5074" name="Line 18">
              <a:extLst>
                <a:ext uri="{FF2B5EF4-FFF2-40B4-BE49-F238E27FC236}">
                  <a16:creationId xmlns:a16="http://schemas.microsoft.com/office/drawing/2014/main" id="{00000000-0008-0000-0B00-000012B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5075" name="Line 19">
              <a:extLst>
                <a:ext uri="{FF2B5EF4-FFF2-40B4-BE49-F238E27FC236}">
                  <a16:creationId xmlns:a16="http://schemas.microsoft.com/office/drawing/2014/main" id="{00000000-0008-0000-0B00-000013B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5076" name="Group 20">
            <a:extLst>
              <a:ext uri="{FF2B5EF4-FFF2-40B4-BE49-F238E27FC236}">
                <a16:creationId xmlns:a16="http://schemas.microsoft.com/office/drawing/2014/main" id="{00000000-0008-0000-0B00-000014B00000}"/>
              </a:ext>
            </a:extLst>
          </xdr:cNvPr>
          <xdr:cNvGrpSpPr>
            <a:grpSpLocks/>
          </xdr:cNvGrpSpPr>
        </xdr:nvGrpSpPr>
        <xdr:grpSpPr bwMode="auto">
          <a:xfrm>
            <a:off x="272" y="4"/>
            <a:ext cx="457" cy="98"/>
            <a:chOff x="208" y="4"/>
            <a:chExt cx="457" cy="98"/>
          </a:xfrm>
        </xdr:grpSpPr>
        <xdr:sp macro="" textlink="'Cover Sheet'!E5:U5">
          <xdr:nvSpPr>
            <xdr:cNvPr id="45077" name="Text Box 21">
              <a:extLst>
                <a:ext uri="{FF2B5EF4-FFF2-40B4-BE49-F238E27FC236}">
                  <a16:creationId xmlns:a16="http://schemas.microsoft.com/office/drawing/2014/main" id="{00000000-0008-0000-0B00-000015B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396C8732-F5AF-4F94-ADBE-3E3B79D3E55E}"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45078" name="Text Box 22">
              <a:extLst>
                <a:ext uri="{FF2B5EF4-FFF2-40B4-BE49-F238E27FC236}">
                  <a16:creationId xmlns:a16="http://schemas.microsoft.com/office/drawing/2014/main" id="{00000000-0008-0000-0B00-000016B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02A6CA8A-37D0-41F7-922B-688598CDF1BC}"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45079" name="Text Box 23">
              <a:extLst>
                <a:ext uri="{FF2B5EF4-FFF2-40B4-BE49-F238E27FC236}">
                  <a16:creationId xmlns:a16="http://schemas.microsoft.com/office/drawing/2014/main" id="{00000000-0008-0000-0B00-000017B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Live Load Distribution</a:t>
              </a:r>
            </a:p>
          </xdr:txBody>
        </xdr:sp>
        <xdr:sp macro="" textlink="'Cover Sheet'!E4:U4">
          <xdr:nvSpPr>
            <xdr:cNvPr id="45080" name="Text Box 24">
              <a:extLst>
                <a:ext uri="{FF2B5EF4-FFF2-40B4-BE49-F238E27FC236}">
                  <a16:creationId xmlns:a16="http://schemas.microsoft.com/office/drawing/2014/main" id="{00000000-0008-0000-0B00-000018B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F425A40-7930-4CDE-BF0D-0874A1323701}"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45081" name="Text Box 25">
              <a:extLst>
                <a:ext uri="{FF2B5EF4-FFF2-40B4-BE49-F238E27FC236}">
                  <a16:creationId xmlns:a16="http://schemas.microsoft.com/office/drawing/2014/main" id="{00000000-0008-0000-0B00-000019B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B34B167C-48BF-4D1B-803C-119A37F2ABBA}"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45082" name="Text Box 26">
              <a:extLst>
                <a:ext uri="{FF2B5EF4-FFF2-40B4-BE49-F238E27FC236}">
                  <a16:creationId xmlns:a16="http://schemas.microsoft.com/office/drawing/2014/main" id="{00000000-0008-0000-0B00-00001AB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A364F90E-8E71-4121-872B-2ED427E4583B}"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45083" name="Text Box 27">
              <a:extLst>
                <a:ext uri="{FF2B5EF4-FFF2-40B4-BE49-F238E27FC236}">
                  <a16:creationId xmlns:a16="http://schemas.microsoft.com/office/drawing/2014/main" id="{00000000-0008-0000-0B00-00001BB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9D94825-9EA6-4FE8-B12F-347D7E32CEA0}" type="TxLink">
                <a:rPr lang="en-US"/>
                <a:pPr/>
                <a:t> </a:t>
              </a:fld>
              <a:endParaRPr lang="en-US"/>
            </a:p>
          </xdr:txBody>
        </xdr:sp>
        <xdr:sp macro="" textlink="'Cover Sheet'!U37:Y37">
          <xdr:nvSpPr>
            <xdr:cNvPr id="45084" name="Text Box 28">
              <a:extLst>
                <a:ext uri="{FF2B5EF4-FFF2-40B4-BE49-F238E27FC236}">
                  <a16:creationId xmlns:a16="http://schemas.microsoft.com/office/drawing/2014/main" id="{00000000-0008-0000-0B00-00001CB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4235F9F4-11DE-4B42-81D8-DF6AF5CF776E}"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174192</xdr:colOff>
      <xdr:row>4</xdr:row>
      <xdr:rowOff>135255</xdr:rowOff>
    </xdr:to>
    <xdr:pic>
      <xdr:nvPicPr>
        <xdr:cNvPr id="30" name="headerlogo">
          <a:extLst>
            <a:ext uri="{FF2B5EF4-FFF2-40B4-BE49-F238E27FC236}">
              <a16:creationId xmlns:a16="http://schemas.microsoft.com/office/drawing/2014/main" id="{00000000-0008-0000-0B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twoCellAnchor editAs="oneCell">
    <xdr:from>
      <xdr:col>26</xdr:col>
      <xdr:colOff>438150</xdr:colOff>
      <xdr:row>9</xdr:row>
      <xdr:rowOff>0</xdr:rowOff>
    </xdr:from>
    <xdr:to>
      <xdr:col>34</xdr:col>
      <xdr:colOff>421341</xdr:colOff>
      <xdr:row>31</xdr:row>
      <xdr:rowOff>29136</xdr:rowOff>
    </xdr:to>
    <xdr:pic>
      <xdr:nvPicPr>
        <xdr:cNvPr id="31" name="Picture 13" descr="UBeam_de2">
          <a:extLst>
            <a:ext uri="{FF2B5EF4-FFF2-40B4-BE49-F238E27FC236}">
              <a16:creationId xmlns:a16="http://schemas.microsoft.com/office/drawing/2014/main" id="{00000000-0008-0000-0B00-00001F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40" t="-2995" r="-1421" b="-2534"/>
        <a:stretch>
          <a:fillRect/>
        </a:stretch>
      </xdr:blipFill>
      <xdr:spPr bwMode="auto">
        <a:xfrm>
          <a:off x="17021175" y="1543050"/>
          <a:ext cx="4859991" cy="4239186"/>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44033" name="Group 1">
          <a:extLst>
            <a:ext uri="{FF2B5EF4-FFF2-40B4-BE49-F238E27FC236}">
              <a16:creationId xmlns:a16="http://schemas.microsoft.com/office/drawing/2014/main" id="{00000000-0008-0000-0C00-000001AC0000}"/>
            </a:ext>
          </a:extLst>
        </xdr:cNvPr>
        <xdr:cNvGrpSpPr>
          <a:grpSpLocks/>
        </xdr:cNvGrpSpPr>
      </xdr:nvGrpSpPr>
      <xdr:grpSpPr bwMode="auto">
        <a:xfrm>
          <a:off x="1657350" y="0"/>
          <a:ext cx="6429375" cy="962025"/>
          <a:chOff x="65" y="4"/>
          <a:chExt cx="675" cy="101"/>
        </a:xfrm>
      </xdr:grpSpPr>
      <xdr:grpSp>
        <xdr:nvGrpSpPr>
          <xdr:cNvPr id="44034" name="Group 2">
            <a:extLst>
              <a:ext uri="{FF2B5EF4-FFF2-40B4-BE49-F238E27FC236}">
                <a16:creationId xmlns:a16="http://schemas.microsoft.com/office/drawing/2014/main" id="{00000000-0008-0000-0C00-000002AC0000}"/>
              </a:ext>
            </a:extLst>
          </xdr:cNvPr>
          <xdr:cNvGrpSpPr>
            <a:grpSpLocks/>
          </xdr:cNvGrpSpPr>
        </xdr:nvGrpSpPr>
        <xdr:grpSpPr bwMode="auto">
          <a:xfrm>
            <a:off x="65" y="7"/>
            <a:ext cx="675" cy="98"/>
            <a:chOff x="65" y="7"/>
            <a:chExt cx="675" cy="98"/>
          </a:xfrm>
        </xdr:grpSpPr>
        <xdr:grpSp>
          <xdr:nvGrpSpPr>
            <xdr:cNvPr id="44036" name="Group 4">
              <a:extLst>
                <a:ext uri="{FF2B5EF4-FFF2-40B4-BE49-F238E27FC236}">
                  <a16:creationId xmlns:a16="http://schemas.microsoft.com/office/drawing/2014/main" id="{00000000-0008-0000-0C00-000004AC0000}"/>
                </a:ext>
              </a:extLst>
            </xdr:cNvPr>
            <xdr:cNvGrpSpPr>
              <a:grpSpLocks/>
            </xdr:cNvGrpSpPr>
          </xdr:nvGrpSpPr>
          <xdr:grpSpPr bwMode="auto">
            <a:xfrm>
              <a:off x="232" y="7"/>
              <a:ext cx="433" cy="93"/>
              <a:chOff x="168" y="7"/>
              <a:chExt cx="433" cy="93"/>
            </a:xfrm>
          </xdr:grpSpPr>
          <xdr:sp macro="" textlink="">
            <xdr:nvSpPr>
              <xdr:cNvPr id="44037" name="Text Box 5">
                <a:extLst>
                  <a:ext uri="{FF2B5EF4-FFF2-40B4-BE49-F238E27FC236}">
                    <a16:creationId xmlns:a16="http://schemas.microsoft.com/office/drawing/2014/main" id="{00000000-0008-0000-0C00-000005A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4038" name="Text Box 6">
                <a:extLst>
                  <a:ext uri="{FF2B5EF4-FFF2-40B4-BE49-F238E27FC236}">
                    <a16:creationId xmlns:a16="http://schemas.microsoft.com/office/drawing/2014/main" id="{00000000-0008-0000-0C00-000006A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4039" name="Text Box 7">
                <a:extLst>
                  <a:ext uri="{FF2B5EF4-FFF2-40B4-BE49-F238E27FC236}">
                    <a16:creationId xmlns:a16="http://schemas.microsoft.com/office/drawing/2014/main" id="{00000000-0008-0000-0C00-000007A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4040" name="Text Box 8">
                <a:extLst>
                  <a:ext uri="{FF2B5EF4-FFF2-40B4-BE49-F238E27FC236}">
                    <a16:creationId xmlns:a16="http://schemas.microsoft.com/office/drawing/2014/main" id="{00000000-0008-0000-0C00-000008A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4041" name="Text Box 9">
                <a:extLst>
                  <a:ext uri="{FF2B5EF4-FFF2-40B4-BE49-F238E27FC236}">
                    <a16:creationId xmlns:a16="http://schemas.microsoft.com/office/drawing/2014/main" id="{00000000-0008-0000-0C00-000009A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4042" name="Text Box 10">
                <a:extLst>
                  <a:ext uri="{FF2B5EF4-FFF2-40B4-BE49-F238E27FC236}">
                    <a16:creationId xmlns:a16="http://schemas.microsoft.com/office/drawing/2014/main" id="{00000000-0008-0000-0C00-00000AA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4043" name="Text Box 11">
                <a:extLst>
                  <a:ext uri="{FF2B5EF4-FFF2-40B4-BE49-F238E27FC236}">
                    <a16:creationId xmlns:a16="http://schemas.microsoft.com/office/drawing/2014/main" id="{00000000-0008-0000-0C00-00000BA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4044" name="Text Box 12">
                <a:extLst>
                  <a:ext uri="{FF2B5EF4-FFF2-40B4-BE49-F238E27FC236}">
                    <a16:creationId xmlns:a16="http://schemas.microsoft.com/office/drawing/2014/main" id="{00000000-0008-0000-0C00-00000CA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4045" name="Text Box 13">
                <a:extLst>
                  <a:ext uri="{FF2B5EF4-FFF2-40B4-BE49-F238E27FC236}">
                    <a16:creationId xmlns:a16="http://schemas.microsoft.com/office/drawing/2014/main" id="{00000000-0008-0000-0C00-00000DA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4046" name="Text Box 14">
                <a:extLst>
                  <a:ext uri="{FF2B5EF4-FFF2-40B4-BE49-F238E27FC236}">
                    <a16:creationId xmlns:a16="http://schemas.microsoft.com/office/drawing/2014/main" id="{00000000-0008-0000-0C00-00000EA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4047" name="Text Box 15">
                <a:extLst>
                  <a:ext uri="{FF2B5EF4-FFF2-40B4-BE49-F238E27FC236}">
                    <a16:creationId xmlns:a16="http://schemas.microsoft.com/office/drawing/2014/main" id="{00000000-0008-0000-0C00-00000FA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4048" name="Line 16">
              <a:extLst>
                <a:ext uri="{FF2B5EF4-FFF2-40B4-BE49-F238E27FC236}">
                  <a16:creationId xmlns:a16="http://schemas.microsoft.com/office/drawing/2014/main" id="{00000000-0008-0000-0C00-000010A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4049" name="Line 17">
              <a:extLst>
                <a:ext uri="{FF2B5EF4-FFF2-40B4-BE49-F238E27FC236}">
                  <a16:creationId xmlns:a16="http://schemas.microsoft.com/office/drawing/2014/main" id="{00000000-0008-0000-0C00-000011A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4050" name="Line 18">
              <a:extLst>
                <a:ext uri="{FF2B5EF4-FFF2-40B4-BE49-F238E27FC236}">
                  <a16:creationId xmlns:a16="http://schemas.microsoft.com/office/drawing/2014/main" id="{00000000-0008-0000-0C00-000012A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4051" name="Line 19">
              <a:extLst>
                <a:ext uri="{FF2B5EF4-FFF2-40B4-BE49-F238E27FC236}">
                  <a16:creationId xmlns:a16="http://schemas.microsoft.com/office/drawing/2014/main" id="{00000000-0008-0000-0C00-000013A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4052" name="Group 20">
            <a:extLst>
              <a:ext uri="{FF2B5EF4-FFF2-40B4-BE49-F238E27FC236}">
                <a16:creationId xmlns:a16="http://schemas.microsoft.com/office/drawing/2014/main" id="{00000000-0008-0000-0C00-000014AC0000}"/>
              </a:ext>
            </a:extLst>
          </xdr:cNvPr>
          <xdr:cNvGrpSpPr>
            <a:grpSpLocks/>
          </xdr:cNvGrpSpPr>
        </xdr:nvGrpSpPr>
        <xdr:grpSpPr bwMode="auto">
          <a:xfrm>
            <a:off x="272" y="4"/>
            <a:ext cx="457" cy="98"/>
            <a:chOff x="208" y="4"/>
            <a:chExt cx="457" cy="98"/>
          </a:xfrm>
        </xdr:grpSpPr>
        <xdr:sp macro="" textlink="'Cover Sheet'!E5:U5">
          <xdr:nvSpPr>
            <xdr:cNvPr id="44053" name="Text Box 21">
              <a:extLst>
                <a:ext uri="{FF2B5EF4-FFF2-40B4-BE49-F238E27FC236}">
                  <a16:creationId xmlns:a16="http://schemas.microsoft.com/office/drawing/2014/main" id="{00000000-0008-0000-0C00-000015A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4BF27C3-221D-4D42-8B50-5C719E87FAD1}"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44054" name="Text Box 22">
              <a:extLst>
                <a:ext uri="{FF2B5EF4-FFF2-40B4-BE49-F238E27FC236}">
                  <a16:creationId xmlns:a16="http://schemas.microsoft.com/office/drawing/2014/main" id="{00000000-0008-0000-0C00-000016A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F165579-29BC-4024-AC56-BE57E4FAF064}"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44055" name="Text Box 23">
              <a:extLst>
                <a:ext uri="{FF2B5EF4-FFF2-40B4-BE49-F238E27FC236}">
                  <a16:creationId xmlns:a16="http://schemas.microsoft.com/office/drawing/2014/main" id="{00000000-0008-0000-0C00-000017A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 Analysis</a:t>
              </a:r>
            </a:p>
          </xdr:txBody>
        </xdr:sp>
        <xdr:sp macro="" textlink="'Cover Sheet'!E4:U4">
          <xdr:nvSpPr>
            <xdr:cNvPr id="44056" name="Text Box 24">
              <a:extLst>
                <a:ext uri="{FF2B5EF4-FFF2-40B4-BE49-F238E27FC236}">
                  <a16:creationId xmlns:a16="http://schemas.microsoft.com/office/drawing/2014/main" id="{00000000-0008-0000-0C00-000018A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8628A06-3431-45C3-8743-46577D6F79D5}"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44057" name="Text Box 25">
              <a:extLst>
                <a:ext uri="{FF2B5EF4-FFF2-40B4-BE49-F238E27FC236}">
                  <a16:creationId xmlns:a16="http://schemas.microsoft.com/office/drawing/2014/main" id="{00000000-0008-0000-0C00-000019A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293C1CF-1760-46A1-B7B8-CC2C0D298CEF}"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44058" name="Text Box 26">
              <a:extLst>
                <a:ext uri="{FF2B5EF4-FFF2-40B4-BE49-F238E27FC236}">
                  <a16:creationId xmlns:a16="http://schemas.microsoft.com/office/drawing/2014/main" id="{00000000-0008-0000-0C00-00001AA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6623FE2D-1F59-44EA-9BAC-C65F79D0D039}"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44059" name="Text Box 27">
              <a:extLst>
                <a:ext uri="{FF2B5EF4-FFF2-40B4-BE49-F238E27FC236}">
                  <a16:creationId xmlns:a16="http://schemas.microsoft.com/office/drawing/2014/main" id="{00000000-0008-0000-0C00-00001BA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4E7AC4BE-D7FC-4972-B712-9E8D48535597}" type="TxLink">
                <a:rPr lang="en-US"/>
                <a:pPr/>
                <a:t> </a:t>
              </a:fld>
              <a:endParaRPr lang="en-US"/>
            </a:p>
          </xdr:txBody>
        </xdr:sp>
        <xdr:sp macro="" textlink="'Cover Sheet'!U37:Y37">
          <xdr:nvSpPr>
            <xdr:cNvPr id="44060" name="Text Box 28">
              <a:extLst>
                <a:ext uri="{FF2B5EF4-FFF2-40B4-BE49-F238E27FC236}">
                  <a16:creationId xmlns:a16="http://schemas.microsoft.com/office/drawing/2014/main" id="{00000000-0008-0000-0C00-00001CA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43FE97A-00EB-4976-843C-57AEE42CEFE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229437</xdr:colOff>
      <xdr:row>4</xdr:row>
      <xdr:rowOff>135255</xdr:rowOff>
    </xdr:to>
    <xdr:pic>
      <xdr:nvPicPr>
        <xdr:cNvPr id="30" name="headerlogo">
          <a:extLst>
            <a:ext uri="{FF2B5EF4-FFF2-40B4-BE49-F238E27FC236}">
              <a16:creationId xmlns:a16="http://schemas.microsoft.com/office/drawing/2014/main" id="{00000000-0008-0000-0C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8</xdr:row>
      <xdr:rowOff>57150</xdr:rowOff>
    </xdr:from>
    <xdr:to>
      <xdr:col>0</xdr:col>
      <xdr:colOff>1590675</xdr:colOff>
      <xdr:row>11</xdr:row>
      <xdr:rowOff>171450</xdr:rowOff>
    </xdr:to>
    <xdr:sp macro="[0]!AReinf" textlink="">
      <xdr:nvSpPr>
        <xdr:cNvPr id="30786" name="Rectangle 66">
          <a:extLst>
            <a:ext uri="{FF2B5EF4-FFF2-40B4-BE49-F238E27FC236}">
              <a16:creationId xmlns:a16="http://schemas.microsoft.com/office/drawing/2014/main" id="{00000000-0008-0000-0D00-000042780000}"/>
            </a:ext>
          </a:extLst>
        </xdr:cNvPr>
        <xdr:cNvSpPr>
          <a:spLocks noChangeArrowheads="1"/>
        </xdr:cNvSpPr>
      </xdr:nvSpPr>
      <xdr:spPr bwMode="auto">
        <a:xfrm>
          <a:off x="57150" y="1438275"/>
          <a:ext cx="1533525" cy="714375"/>
        </a:xfrm>
        <a:prstGeom prst="rect">
          <a:avLst/>
        </a:prstGeom>
        <a:solidFill>
          <a:srgbClr val="FF9900"/>
        </a:solidFill>
        <a:ln w="9525">
          <a:solidFill>
            <a:srgbClr val="000000"/>
          </a:solidFill>
          <a:miter lim="800000"/>
          <a:headEnd/>
          <a:tailEnd/>
        </a:ln>
      </xdr:spPr>
    </xdr:sp>
    <xdr:clientData/>
  </xdr:twoCellAnchor>
  <xdr:twoCellAnchor>
    <xdr:from>
      <xdr:col>1</xdr:col>
      <xdr:colOff>9525</xdr:colOff>
      <xdr:row>0</xdr:row>
      <xdr:rowOff>0</xdr:rowOff>
    </xdr:from>
    <xdr:to>
      <xdr:col>12</xdr:col>
      <xdr:colOff>9525</xdr:colOff>
      <xdr:row>0</xdr:row>
      <xdr:rowOff>0</xdr:rowOff>
    </xdr:to>
    <xdr:grpSp>
      <xdr:nvGrpSpPr>
        <xdr:cNvPr id="30721" name="Group 1">
          <a:extLst>
            <a:ext uri="{FF2B5EF4-FFF2-40B4-BE49-F238E27FC236}">
              <a16:creationId xmlns:a16="http://schemas.microsoft.com/office/drawing/2014/main" id="{00000000-0008-0000-0D00-000001780000}"/>
            </a:ext>
          </a:extLst>
        </xdr:cNvPr>
        <xdr:cNvGrpSpPr>
          <a:grpSpLocks/>
        </xdr:cNvGrpSpPr>
      </xdr:nvGrpSpPr>
      <xdr:grpSpPr bwMode="auto">
        <a:xfrm>
          <a:off x="1657350" y="0"/>
          <a:ext cx="6391275" cy="0"/>
          <a:chOff x="137" y="0"/>
          <a:chExt cx="923" cy="101"/>
        </a:xfrm>
      </xdr:grpSpPr>
      <xdr:pic>
        <xdr:nvPicPr>
          <xdr:cNvPr id="30722" name="Picture 2" descr="onecoCblk300">
            <a:extLst>
              <a:ext uri="{FF2B5EF4-FFF2-40B4-BE49-F238E27FC236}">
                <a16:creationId xmlns:a16="http://schemas.microsoft.com/office/drawing/2014/main" id="{00000000-0008-0000-0D00-00000278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30723" name="Group 3">
            <a:extLst>
              <a:ext uri="{FF2B5EF4-FFF2-40B4-BE49-F238E27FC236}">
                <a16:creationId xmlns:a16="http://schemas.microsoft.com/office/drawing/2014/main" id="{00000000-0008-0000-0D00-000003780000}"/>
              </a:ext>
            </a:extLst>
          </xdr:cNvPr>
          <xdr:cNvGrpSpPr>
            <a:grpSpLocks/>
          </xdr:cNvGrpSpPr>
        </xdr:nvGrpSpPr>
        <xdr:grpSpPr bwMode="auto">
          <a:xfrm>
            <a:off x="137" y="0"/>
            <a:ext cx="923" cy="101"/>
            <a:chOff x="137" y="0"/>
            <a:chExt cx="675" cy="101"/>
          </a:xfrm>
        </xdr:grpSpPr>
        <xdr:grpSp>
          <xdr:nvGrpSpPr>
            <xdr:cNvPr id="30724" name="Group 4">
              <a:extLst>
                <a:ext uri="{FF2B5EF4-FFF2-40B4-BE49-F238E27FC236}">
                  <a16:creationId xmlns:a16="http://schemas.microsoft.com/office/drawing/2014/main" id="{00000000-0008-0000-0D00-000004780000}"/>
                </a:ext>
              </a:extLst>
            </xdr:cNvPr>
            <xdr:cNvGrpSpPr>
              <a:grpSpLocks/>
            </xdr:cNvGrpSpPr>
          </xdr:nvGrpSpPr>
          <xdr:grpSpPr bwMode="auto">
            <a:xfrm>
              <a:off x="304" y="3"/>
              <a:ext cx="433" cy="93"/>
              <a:chOff x="168" y="7"/>
              <a:chExt cx="433" cy="93"/>
            </a:xfrm>
          </xdr:grpSpPr>
          <xdr:sp macro="" textlink="">
            <xdr:nvSpPr>
              <xdr:cNvPr id="30725" name="Text Box 5">
                <a:extLst>
                  <a:ext uri="{FF2B5EF4-FFF2-40B4-BE49-F238E27FC236}">
                    <a16:creationId xmlns:a16="http://schemas.microsoft.com/office/drawing/2014/main" id="{00000000-0008-0000-0D00-0000057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26" name="Text Box 6">
                <a:extLst>
                  <a:ext uri="{FF2B5EF4-FFF2-40B4-BE49-F238E27FC236}">
                    <a16:creationId xmlns:a16="http://schemas.microsoft.com/office/drawing/2014/main" id="{00000000-0008-0000-0D00-0000067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27" name="Text Box 7">
                <a:extLst>
                  <a:ext uri="{FF2B5EF4-FFF2-40B4-BE49-F238E27FC236}">
                    <a16:creationId xmlns:a16="http://schemas.microsoft.com/office/drawing/2014/main" id="{00000000-0008-0000-0D00-0000077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728" name="Text Box 8">
                <a:extLst>
                  <a:ext uri="{FF2B5EF4-FFF2-40B4-BE49-F238E27FC236}">
                    <a16:creationId xmlns:a16="http://schemas.microsoft.com/office/drawing/2014/main" id="{00000000-0008-0000-0D00-0000087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729" name="Text Box 9">
                <a:extLst>
                  <a:ext uri="{FF2B5EF4-FFF2-40B4-BE49-F238E27FC236}">
                    <a16:creationId xmlns:a16="http://schemas.microsoft.com/office/drawing/2014/main" id="{00000000-0008-0000-0D00-0000097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730" name="Text Box 10">
                <a:extLst>
                  <a:ext uri="{FF2B5EF4-FFF2-40B4-BE49-F238E27FC236}">
                    <a16:creationId xmlns:a16="http://schemas.microsoft.com/office/drawing/2014/main" id="{00000000-0008-0000-0D00-00000A7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31" name="Text Box 11">
                <a:extLst>
                  <a:ext uri="{FF2B5EF4-FFF2-40B4-BE49-F238E27FC236}">
                    <a16:creationId xmlns:a16="http://schemas.microsoft.com/office/drawing/2014/main" id="{00000000-0008-0000-0D00-00000B7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32" name="Text Box 12">
                <a:extLst>
                  <a:ext uri="{FF2B5EF4-FFF2-40B4-BE49-F238E27FC236}">
                    <a16:creationId xmlns:a16="http://schemas.microsoft.com/office/drawing/2014/main" id="{00000000-0008-0000-0D00-00000C7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733" name="Text Box 13">
                <a:extLst>
                  <a:ext uri="{FF2B5EF4-FFF2-40B4-BE49-F238E27FC236}">
                    <a16:creationId xmlns:a16="http://schemas.microsoft.com/office/drawing/2014/main" id="{00000000-0008-0000-0D00-00000D7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734" name="Text Box 14">
                <a:extLst>
                  <a:ext uri="{FF2B5EF4-FFF2-40B4-BE49-F238E27FC236}">
                    <a16:creationId xmlns:a16="http://schemas.microsoft.com/office/drawing/2014/main" id="{00000000-0008-0000-0D00-00000E7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735" name="Text Box 15">
                <a:extLst>
                  <a:ext uri="{FF2B5EF4-FFF2-40B4-BE49-F238E27FC236}">
                    <a16:creationId xmlns:a16="http://schemas.microsoft.com/office/drawing/2014/main" id="{00000000-0008-0000-0D00-00000F7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736" name="Line 16">
              <a:extLst>
                <a:ext uri="{FF2B5EF4-FFF2-40B4-BE49-F238E27FC236}">
                  <a16:creationId xmlns:a16="http://schemas.microsoft.com/office/drawing/2014/main" id="{00000000-0008-0000-0D00-00001078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30737" name="Line 17">
              <a:extLst>
                <a:ext uri="{FF2B5EF4-FFF2-40B4-BE49-F238E27FC236}">
                  <a16:creationId xmlns:a16="http://schemas.microsoft.com/office/drawing/2014/main" id="{00000000-0008-0000-0D00-00001178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30738" name="Line 18">
              <a:extLst>
                <a:ext uri="{FF2B5EF4-FFF2-40B4-BE49-F238E27FC236}">
                  <a16:creationId xmlns:a16="http://schemas.microsoft.com/office/drawing/2014/main" id="{00000000-0008-0000-0D00-00001278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30739" name="Line 19">
              <a:extLst>
                <a:ext uri="{FF2B5EF4-FFF2-40B4-BE49-F238E27FC236}">
                  <a16:creationId xmlns:a16="http://schemas.microsoft.com/office/drawing/2014/main" id="{00000000-0008-0000-0D00-00001378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30740" name="Text Box 20">
              <a:extLst>
                <a:ext uri="{FF2B5EF4-FFF2-40B4-BE49-F238E27FC236}">
                  <a16:creationId xmlns:a16="http://schemas.microsoft.com/office/drawing/2014/main" id="{00000000-0008-0000-0D00-00001478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B9D2881-E288-40A6-9937-99CDB91A1972}"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30741" name="Text Box 21">
              <a:extLst>
                <a:ext uri="{FF2B5EF4-FFF2-40B4-BE49-F238E27FC236}">
                  <a16:creationId xmlns:a16="http://schemas.microsoft.com/office/drawing/2014/main" id="{00000000-0008-0000-0D00-00001578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B2D9203-CC79-4AAB-8867-47ABC6540782}"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30742" name="Text Box 22">
              <a:extLst>
                <a:ext uri="{FF2B5EF4-FFF2-40B4-BE49-F238E27FC236}">
                  <a16:creationId xmlns:a16="http://schemas.microsoft.com/office/drawing/2014/main" id="{00000000-0008-0000-0D00-00001678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30743" name="Text Box 23">
              <a:extLst>
                <a:ext uri="{FF2B5EF4-FFF2-40B4-BE49-F238E27FC236}">
                  <a16:creationId xmlns:a16="http://schemas.microsoft.com/office/drawing/2014/main" id="{00000000-0008-0000-0D00-00001778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6FB9131-EBA6-4569-A109-315B4E10FBCE}"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30744" name="Text Box 24">
              <a:extLst>
                <a:ext uri="{FF2B5EF4-FFF2-40B4-BE49-F238E27FC236}">
                  <a16:creationId xmlns:a16="http://schemas.microsoft.com/office/drawing/2014/main" id="{00000000-0008-0000-0D00-00001878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BD7E640-F2C7-4D28-B8D8-658EA39AE2CF}"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30745" name="Text Box 25">
              <a:extLst>
                <a:ext uri="{FF2B5EF4-FFF2-40B4-BE49-F238E27FC236}">
                  <a16:creationId xmlns:a16="http://schemas.microsoft.com/office/drawing/2014/main" id="{00000000-0008-0000-0D00-00001978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19D06083-7267-4AF0-9048-6F9C133CC4A7}"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30746" name="Text Box 26">
              <a:extLst>
                <a:ext uri="{FF2B5EF4-FFF2-40B4-BE49-F238E27FC236}">
                  <a16:creationId xmlns:a16="http://schemas.microsoft.com/office/drawing/2014/main" id="{00000000-0008-0000-0D00-00001A78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9E6CEA88-FFAB-42BF-A5E6-469DBB8AB12B}" type="TxLink">
                <a:rPr lang="en-US"/>
                <a:pPr/>
                <a:t> </a:t>
              </a:fld>
              <a:endParaRPr lang="en-US"/>
            </a:p>
          </xdr:txBody>
        </xdr:sp>
        <xdr:sp macro="" textlink="'Cover Sheet'!U37:Y37">
          <xdr:nvSpPr>
            <xdr:cNvPr id="30747" name="Text Box 27">
              <a:extLst>
                <a:ext uri="{FF2B5EF4-FFF2-40B4-BE49-F238E27FC236}">
                  <a16:creationId xmlns:a16="http://schemas.microsoft.com/office/drawing/2014/main" id="{00000000-0008-0000-0D00-00001B78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E9B0B3D7-709C-46C2-989C-8F4A8455533F}"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66675</xdr:colOff>
      <xdr:row>5</xdr:row>
      <xdr:rowOff>152400</xdr:rowOff>
    </xdr:to>
    <xdr:grpSp>
      <xdr:nvGrpSpPr>
        <xdr:cNvPr id="30748" name="Group 28">
          <a:extLst>
            <a:ext uri="{FF2B5EF4-FFF2-40B4-BE49-F238E27FC236}">
              <a16:creationId xmlns:a16="http://schemas.microsoft.com/office/drawing/2014/main" id="{00000000-0008-0000-0D00-00001C780000}"/>
            </a:ext>
          </a:extLst>
        </xdr:cNvPr>
        <xdr:cNvGrpSpPr>
          <a:grpSpLocks/>
        </xdr:cNvGrpSpPr>
      </xdr:nvGrpSpPr>
      <xdr:grpSpPr bwMode="auto">
        <a:xfrm>
          <a:off x="1676400" y="0"/>
          <a:ext cx="6429375" cy="962025"/>
          <a:chOff x="65" y="4"/>
          <a:chExt cx="675" cy="101"/>
        </a:xfrm>
      </xdr:grpSpPr>
      <xdr:grpSp>
        <xdr:nvGrpSpPr>
          <xdr:cNvPr id="30749" name="Group 29">
            <a:extLst>
              <a:ext uri="{FF2B5EF4-FFF2-40B4-BE49-F238E27FC236}">
                <a16:creationId xmlns:a16="http://schemas.microsoft.com/office/drawing/2014/main" id="{00000000-0008-0000-0D00-00001D780000}"/>
              </a:ext>
            </a:extLst>
          </xdr:cNvPr>
          <xdr:cNvGrpSpPr>
            <a:grpSpLocks/>
          </xdr:cNvGrpSpPr>
        </xdr:nvGrpSpPr>
        <xdr:grpSpPr bwMode="auto">
          <a:xfrm>
            <a:off x="65" y="7"/>
            <a:ext cx="675" cy="98"/>
            <a:chOff x="65" y="7"/>
            <a:chExt cx="675" cy="98"/>
          </a:xfrm>
        </xdr:grpSpPr>
        <xdr:grpSp>
          <xdr:nvGrpSpPr>
            <xdr:cNvPr id="30751" name="Group 31">
              <a:extLst>
                <a:ext uri="{FF2B5EF4-FFF2-40B4-BE49-F238E27FC236}">
                  <a16:creationId xmlns:a16="http://schemas.microsoft.com/office/drawing/2014/main" id="{00000000-0008-0000-0D00-00001F780000}"/>
                </a:ext>
              </a:extLst>
            </xdr:cNvPr>
            <xdr:cNvGrpSpPr>
              <a:grpSpLocks/>
            </xdr:cNvGrpSpPr>
          </xdr:nvGrpSpPr>
          <xdr:grpSpPr bwMode="auto">
            <a:xfrm>
              <a:off x="232" y="7"/>
              <a:ext cx="433" cy="93"/>
              <a:chOff x="168" y="7"/>
              <a:chExt cx="433" cy="93"/>
            </a:xfrm>
          </xdr:grpSpPr>
          <xdr:sp macro="" textlink="">
            <xdr:nvSpPr>
              <xdr:cNvPr id="30752" name="Text Box 32">
                <a:extLst>
                  <a:ext uri="{FF2B5EF4-FFF2-40B4-BE49-F238E27FC236}">
                    <a16:creationId xmlns:a16="http://schemas.microsoft.com/office/drawing/2014/main" id="{00000000-0008-0000-0D00-0000207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53" name="Text Box 33">
                <a:extLst>
                  <a:ext uri="{FF2B5EF4-FFF2-40B4-BE49-F238E27FC236}">
                    <a16:creationId xmlns:a16="http://schemas.microsoft.com/office/drawing/2014/main" id="{00000000-0008-0000-0D00-0000217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54" name="Text Box 34">
                <a:extLst>
                  <a:ext uri="{FF2B5EF4-FFF2-40B4-BE49-F238E27FC236}">
                    <a16:creationId xmlns:a16="http://schemas.microsoft.com/office/drawing/2014/main" id="{00000000-0008-0000-0D00-0000227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755" name="Text Box 35">
                <a:extLst>
                  <a:ext uri="{FF2B5EF4-FFF2-40B4-BE49-F238E27FC236}">
                    <a16:creationId xmlns:a16="http://schemas.microsoft.com/office/drawing/2014/main" id="{00000000-0008-0000-0D00-0000237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756" name="Text Box 36">
                <a:extLst>
                  <a:ext uri="{FF2B5EF4-FFF2-40B4-BE49-F238E27FC236}">
                    <a16:creationId xmlns:a16="http://schemas.microsoft.com/office/drawing/2014/main" id="{00000000-0008-0000-0D00-0000247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757" name="Text Box 37">
                <a:extLst>
                  <a:ext uri="{FF2B5EF4-FFF2-40B4-BE49-F238E27FC236}">
                    <a16:creationId xmlns:a16="http://schemas.microsoft.com/office/drawing/2014/main" id="{00000000-0008-0000-0D00-0000257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58" name="Text Box 38">
                <a:extLst>
                  <a:ext uri="{FF2B5EF4-FFF2-40B4-BE49-F238E27FC236}">
                    <a16:creationId xmlns:a16="http://schemas.microsoft.com/office/drawing/2014/main" id="{00000000-0008-0000-0D00-0000267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59" name="Text Box 39">
                <a:extLst>
                  <a:ext uri="{FF2B5EF4-FFF2-40B4-BE49-F238E27FC236}">
                    <a16:creationId xmlns:a16="http://schemas.microsoft.com/office/drawing/2014/main" id="{00000000-0008-0000-0D00-0000277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760" name="Text Box 40">
                <a:extLst>
                  <a:ext uri="{FF2B5EF4-FFF2-40B4-BE49-F238E27FC236}">
                    <a16:creationId xmlns:a16="http://schemas.microsoft.com/office/drawing/2014/main" id="{00000000-0008-0000-0D00-0000287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761" name="Text Box 41">
                <a:extLst>
                  <a:ext uri="{FF2B5EF4-FFF2-40B4-BE49-F238E27FC236}">
                    <a16:creationId xmlns:a16="http://schemas.microsoft.com/office/drawing/2014/main" id="{00000000-0008-0000-0D00-0000297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762" name="Text Box 42">
                <a:extLst>
                  <a:ext uri="{FF2B5EF4-FFF2-40B4-BE49-F238E27FC236}">
                    <a16:creationId xmlns:a16="http://schemas.microsoft.com/office/drawing/2014/main" id="{00000000-0008-0000-0D00-00002A7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763" name="Line 43">
              <a:extLst>
                <a:ext uri="{FF2B5EF4-FFF2-40B4-BE49-F238E27FC236}">
                  <a16:creationId xmlns:a16="http://schemas.microsoft.com/office/drawing/2014/main" id="{00000000-0008-0000-0D00-00002B7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0764" name="Line 44">
              <a:extLst>
                <a:ext uri="{FF2B5EF4-FFF2-40B4-BE49-F238E27FC236}">
                  <a16:creationId xmlns:a16="http://schemas.microsoft.com/office/drawing/2014/main" id="{00000000-0008-0000-0D00-00002C7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0765" name="Line 45">
              <a:extLst>
                <a:ext uri="{FF2B5EF4-FFF2-40B4-BE49-F238E27FC236}">
                  <a16:creationId xmlns:a16="http://schemas.microsoft.com/office/drawing/2014/main" id="{00000000-0008-0000-0D00-00002D7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0766" name="Line 46">
              <a:extLst>
                <a:ext uri="{FF2B5EF4-FFF2-40B4-BE49-F238E27FC236}">
                  <a16:creationId xmlns:a16="http://schemas.microsoft.com/office/drawing/2014/main" id="{00000000-0008-0000-0D00-00002E7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0767" name="Group 47">
            <a:extLst>
              <a:ext uri="{FF2B5EF4-FFF2-40B4-BE49-F238E27FC236}">
                <a16:creationId xmlns:a16="http://schemas.microsoft.com/office/drawing/2014/main" id="{00000000-0008-0000-0D00-00002F780000}"/>
              </a:ext>
            </a:extLst>
          </xdr:cNvPr>
          <xdr:cNvGrpSpPr>
            <a:grpSpLocks/>
          </xdr:cNvGrpSpPr>
        </xdr:nvGrpSpPr>
        <xdr:grpSpPr bwMode="auto">
          <a:xfrm>
            <a:off x="272" y="4"/>
            <a:ext cx="457" cy="98"/>
            <a:chOff x="208" y="4"/>
            <a:chExt cx="457" cy="98"/>
          </a:xfrm>
        </xdr:grpSpPr>
        <xdr:sp macro="" textlink="'Cover Sheet'!E5:U5">
          <xdr:nvSpPr>
            <xdr:cNvPr id="30768" name="Text Box 48">
              <a:extLst>
                <a:ext uri="{FF2B5EF4-FFF2-40B4-BE49-F238E27FC236}">
                  <a16:creationId xmlns:a16="http://schemas.microsoft.com/office/drawing/2014/main" id="{00000000-0008-0000-0D00-0000307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59B4F2F-2AB1-4CB4-B400-5F9496139D4B}"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30769" name="Text Box 49">
              <a:extLst>
                <a:ext uri="{FF2B5EF4-FFF2-40B4-BE49-F238E27FC236}">
                  <a16:creationId xmlns:a16="http://schemas.microsoft.com/office/drawing/2014/main" id="{00000000-0008-0000-0D00-0000317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A801B35A-B53F-4634-8997-448E23255FA6}"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30770" name="Text Box 50">
              <a:extLst>
                <a:ext uri="{FF2B5EF4-FFF2-40B4-BE49-F238E27FC236}">
                  <a16:creationId xmlns:a16="http://schemas.microsoft.com/office/drawing/2014/main" id="{00000000-0008-0000-0D00-0000327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Negative Moment Reinforcing</a:t>
              </a:r>
            </a:p>
          </xdr:txBody>
        </xdr:sp>
        <xdr:sp macro="" textlink="'Cover Sheet'!E4:U4">
          <xdr:nvSpPr>
            <xdr:cNvPr id="30771" name="Text Box 51">
              <a:extLst>
                <a:ext uri="{FF2B5EF4-FFF2-40B4-BE49-F238E27FC236}">
                  <a16:creationId xmlns:a16="http://schemas.microsoft.com/office/drawing/2014/main" id="{00000000-0008-0000-0D00-0000337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0B0BD7B-74D7-4365-B17C-0AEFB85641C9}"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30772" name="Text Box 52">
              <a:extLst>
                <a:ext uri="{FF2B5EF4-FFF2-40B4-BE49-F238E27FC236}">
                  <a16:creationId xmlns:a16="http://schemas.microsoft.com/office/drawing/2014/main" id="{00000000-0008-0000-0D00-0000347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BD98A666-F3F7-42AD-BDDC-67298C476805}"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30773" name="Text Box 53">
              <a:extLst>
                <a:ext uri="{FF2B5EF4-FFF2-40B4-BE49-F238E27FC236}">
                  <a16:creationId xmlns:a16="http://schemas.microsoft.com/office/drawing/2014/main" id="{00000000-0008-0000-0D00-0000357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68ACA90-2E27-4E9F-B434-E19326C5B0D4}"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30774" name="Text Box 54">
              <a:extLst>
                <a:ext uri="{FF2B5EF4-FFF2-40B4-BE49-F238E27FC236}">
                  <a16:creationId xmlns:a16="http://schemas.microsoft.com/office/drawing/2014/main" id="{00000000-0008-0000-0D00-0000367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7F195913-FBDC-45DD-B8C3-D3D3EBB5A549}" type="TxLink">
                <a:rPr lang="en-US"/>
                <a:pPr/>
                <a:t> </a:t>
              </a:fld>
              <a:endParaRPr lang="en-US"/>
            </a:p>
          </xdr:txBody>
        </xdr:sp>
        <xdr:sp macro="" textlink="'Cover Sheet'!U37:Y37">
          <xdr:nvSpPr>
            <xdr:cNvPr id="30775" name="Text Box 55">
              <a:extLst>
                <a:ext uri="{FF2B5EF4-FFF2-40B4-BE49-F238E27FC236}">
                  <a16:creationId xmlns:a16="http://schemas.microsoft.com/office/drawing/2014/main" id="{00000000-0008-0000-0D00-0000377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3FDC32DF-BD84-494B-BFAA-E2C955AF10C7}"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77037</xdr:colOff>
      <xdr:row>4</xdr:row>
      <xdr:rowOff>142875</xdr:rowOff>
    </xdr:to>
    <xdr:pic>
      <xdr:nvPicPr>
        <xdr:cNvPr id="59" name="headerlogo">
          <a:extLst>
            <a:ext uri="{FF2B5EF4-FFF2-40B4-BE49-F238E27FC236}">
              <a16:creationId xmlns:a16="http://schemas.microsoft.com/office/drawing/2014/main" id="{00000000-0008-0000-0D00-00003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8</xdr:row>
          <xdr:rowOff>180975</xdr:rowOff>
        </xdr:from>
        <xdr:to>
          <xdr:col>0</xdr:col>
          <xdr:colOff>1447800</xdr:colOff>
          <xdr:row>11</xdr:row>
          <xdr:rowOff>57150</xdr:rowOff>
        </xdr:to>
        <xdr:sp macro="" textlink="">
          <xdr:nvSpPr>
            <xdr:cNvPr id="30785" name="Button 65" hidden="1">
              <a:extLst>
                <a:ext uri="{63B3BB69-23CF-44E3-9099-C40C66FF867C}">
                  <a14:compatExt spid="_x0000_s30785"/>
                </a:ext>
                <a:ext uri="{FF2B5EF4-FFF2-40B4-BE49-F238E27FC236}">
                  <a16:creationId xmlns:a16="http://schemas.microsoft.com/office/drawing/2014/main" id="{00000000-0008-0000-0D00-00004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Design Reinforcing</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9525</xdr:colOff>
      <xdr:row>0</xdr:row>
      <xdr:rowOff>0</xdr:rowOff>
    </xdr:to>
    <xdr:grpSp>
      <xdr:nvGrpSpPr>
        <xdr:cNvPr id="29726" name="Group 30">
          <a:extLst>
            <a:ext uri="{FF2B5EF4-FFF2-40B4-BE49-F238E27FC236}">
              <a16:creationId xmlns:a16="http://schemas.microsoft.com/office/drawing/2014/main" id="{00000000-0008-0000-0E00-00001E740000}"/>
            </a:ext>
          </a:extLst>
        </xdr:cNvPr>
        <xdr:cNvGrpSpPr>
          <a:grpSpLocks/>
        </xdr:cNvGrpSpPr>
      </xdr:nvGrpSpPr>
      <xdr:grpSpPr bwMode="auto">
        <a:xfrm>
          <a:off x="1657350" y="0"/>
          <a:ext cx="6391275" cy="0"/>
          <a:chOff x="137" y="0"/>
          <a:chExt cx="923" cy="101"/>
        </a:xfrm>
      </xdr:grpSpPr>
      <xdr:pic>
        <xdr:nvPicPr>
          <xdr:cNvPr id="29727" name="Picture 31" descr="onecoCblk300">
            <a:extLst>
              <a:ext uri="{FF2B5EF4-FFF2-40B4-BE49-F238E27FC236}">
                <a16:creationId xmlns:a16="http://schemas.microsoft.com/office/drawing/2014/main" id="{00000000-0008-0000-0E00-00001F74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29728" name="Group 32">
            <a:extLst>
              <a:ext uri="{FF2B5EF4-FFF2-40B4-BE49-F238E27FC236}">
                <a16:creationId xmlns:a16="http://schemas.microsoft.com/office/drawing/2014/main" id="{00000000-0008-0000-0E00-000020740000}"/>
              </a:ext>
            </a:extLst>
          </xdr:cNvPr>
          <xdr:cNvGrpSpPr>
            <a:grpSpLocks/>
          </xdr:cNvGrpSpPr>
        </xdr:nvGrpSpPr>
        <xdr:grpSpPr bwMode="auto">
          <a:xfrm>
            <a:off x="137" y="0"/>
            <a:ext cx="923" cy="101"/>
            <a:chOff x="137" y="0"/>
            <a:chExt cx="675" cy="101"/>
          </a:xfrm>
        </xdr:grpSpPr>
        <xdr:grpSp>
          <xdr:nvGrpSpPr>
            <xdr:cNvPr id="29729" name="Group 33">
              <a:extLst>
                <a:ext uri="{FF2B5EF4-FFF2-40B4-BE49-F238E27FC236}">
                  <a16:creationId xmlns:a16="http://schemas.microsoft.com/office/drawing/2014/main" id="{00000000-0008-0000-0E00-000021740000}"/>
                </a:ext>
              </a:extLst>
            </xdr:cNvPr>
            <xdr:cNvGrpSpPr>
              <a:grpSpLocks/>
            </xdr:cNvGrpSpPr>
          </xdr:nvGrpSpPr>
          <xdr:grpSpPr bwMode="auto">
            <a:xfrm>
              <a:off x="304" y="3"/>
              <a:ext cx="433" cy="93"/>
              <a:chOff x="168" y="7"/>
              <a:chExt cx="433" cy="93"/>
            </a:xfrm>
          </xdr:grpSpPr>
          <xdr:sp macro="" textlink="">
            <xdr:nvSpPr>
              <xdr:cNvPr id="29730" name="Text Box 34">
                <a:extLst>
                  <a:ext uri="{FF2B5EF4-FFF2-40B4-BE49-F238E27FC236}">
                    <a16:creationId xmlns:a16="http://schemas.microsoft.com/office/drawing/2014/main" id="{00000000-0008-0000-0E00-0000227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9731" name="Text Box 35">
                <a:extLst>
                  <a:ext uri="{FF2B5EF4-FFF2-40B4-BE49-F238E27FC236}">
                    <a16:creationId xmlns:a16="http://schemas.microsoft.com/office/drawing/2014/main" id="{00000000-0008-0000-0E00-0000237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9732" name="Text Box 36">
                <a:extLst>
                  <a:ext uri="{FF2B5EF4-FFF2-40B4-BE49-F238E27FC236}">
                    <a16:creationId xmlns:a16="http://schemas.microsoft.com/office/drawing/2014/main" id="{00000000-0008-0000-0E00-0000247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9733" name="Text Box 37">
                <a:extLst>
                  <a:ext uri="{FF2B5EF4-FFF2-40B4-BE49-F238E27FC236}">
                    <a16:creationId xmlns:a16="http://schemas.microsoft.com/office/drawing/2014/main" id="{00000000-0008-0000-0E00-0000257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9734" name="Text Box 38">
                <a:extLst>
                  <a:ext uri="{FF2B5EF4-FFF2-40B4-BE49-F238E27FC236}">
                    <a16:creationId xmlns:a16="http://schemas.microsoft.com/office/drawing/2014/main" id="{00000000-0008-0000-0E00-0000267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9735" name="Text Box 39">
                <a:extLst>
                  <a:ext uri="{FF2B5EF4-FFF2-40B4-BE49-F238E27FC236}">
                    <a16:creationId xmlns:a16="http://schemas.microsoft.com/office/drawing/2014/main" id="{00000000-0008-0000-0E00-0000277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736" name="Text Box 40">
                <a:extLst>
                  <a:ext uri="{FF2B5EF4-FFF2-40B4-BE49-F238E27FC236}">
                    <a16:creationId xmlns:a16="http://schemas.microsoft.com/office/drawing/2014/main" id="{00000000-0008-0000-0E00-0000287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737" name="Text Box 41">
                <a:extLst>
                  <a:ext uri="{FF2B5EF4-FFF2-40B4-BE49-F238E27FC236}">
                    <a16:creationId xmlns:a16="http://schemas.microsoft.com/office/drawing/2014/main" id="{00000000-0008-0000-0E00-0000297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9738" name="Text Box 42">
                <a:extLst>
                  <a:ext uri="{FF2B5EF4-FFF2-40B4-BE49-F238E27FC236}">
                    <a16:creationId xmlns:a16="http://schemas.microsoft.com/office/drawing/2014/main" id="{00000000-0008-0000-0E00-00002A7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9739" name="Text Box 43">
                <a:extLst>
                  <a:ext uri="{FF2B5EF4-FFF2-40B4-BE49-F238E27FC236}">
                    <a16:creationId xmlns:a16="http://schemas.microsoft.com/office/drawing/2014/main" id="{00000000-0008-0000-0E00-00002B7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740" name="Text Box 44">
                <a:extLst>
                  <a:ext uri="{FF2B5EF4-FFF2-40B4-BE49-F238E27FC236}">
                    <a16:creationId xmlns:a16="http://schemas.microsoft.com/office/drawing/2014/main" id="{00000000-0008-0000-0E00-00002C7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9741" name="Line 45">
              <a:extLst>
                <a:ext uri="{FF2B5EF4-FFF2-40B4-BE49-F238E27FC236}">
                  <a16:creationId xmlns:a16="http://schemas.microsoft.com/office/drawing/2014/main" id="{00000000-0008-0000-0E00-00002D74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29742" name="Line 46">
              <a:extLst>
                <a:ext uri="{FF2B5EF4-FFF2-40B4-BE49-F238E27FC236}">
                  <a16:creationId xmlns:a16="http://schemas.microsoft.com/office/drawing/2014/main" id="{00000000-0008-0000-0E00-00002E74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29743" name="Line 47">
              <a:extLst>
                <a:ext uri="{FF2B5EF4-FFF2-40B4-BE49-F238E27FC236}">
                  <a16:creationId xmlns:a16="http://schemas.microsoft.com/office/drawing/2014/main" id="{00000000-0008-0000-0E00-00002F74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29744" name="Line 48">
              <a:extLst>
                <a:ext uri="{FF2B5EF4-FFF2-40B4-BE49-F238E27FC236}">
                  <a16:creationId xmlns:a16="http://schemas.microsoft.com/office/drawing/2014/main" id="{00000000-0008-0000-0E00-00003074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29745" name="Text Box 49">
              <a:extLst>
                <a:ext uri="{FF2B5EF4-FFF2-40B4-BE49-F238E27FC236}">
                  <a16:creationId xmlns:a16="http://schemas.microsoft.com/office/drawing/2014/main" id="{00000000-0008-0000-0E00-00003174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526CF28-D55F-4998-839C-EDCAFFCFF22B}"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29746" name="Text Box 50">
              <a:extLst>
                <a:ext uri="{FF2B5EF4-FFF2-40B4-BE49-F238E27FC236}">
                  <a16:creationId xmlns:a16="http://schemas.microsoft.com/office/drawing/2014/main" id="{00000000-0008-0000-0E00-00003274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D984896-BAEC-4D81-B6F7-E08326DA78EA}"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29747" name="Text Box 51">
              <a:extLst>
                <a:ext uri="{FF2B5EF4-FFF2-40B4-BE49-F238E27FC236}">
                  <a16:creationId xmlns:a16="http://schemas.microsoft.com/office/drawing/2014/main" id="{00000000-0008-0000-0E00-00003374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29748" name="Text Box 52">
              <a:extLst>
                <a:ext uri="{FF2B5EF4-FFF2-40B4-BE49-F238E27FC236}">
                  <a16:creationId xmlns:a16="http://schemas.microsoft.com/office/drawing/2014/main" id="{00000000-0008-0000-0E00-00003474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2B1B66E-1D53-48C7-A53D-FA6002ABE782}"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29749" name="Text Box 53">
              <a:extLst>
                <a:ext uri="{FF2B5EF4-FFF2-40B4-BE49-F238E27FC236}">
                  <a16:creationId xmlns:a16="http://schemas.microsoft.com/office/drawing/2014/main" id="{00000000-0008-0000-0E00-00003574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E7B2331E-72F7-4A3A-B217-71B27F095E35}"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29750" name="Text Box 54">
              <a:extLst>
                <a:ext uri="{FF2B5EF4-FFF2-40B4-BE49-F238E27FC236}">
                  <a16:creationId xmlns:a16="http://schemas.microsoft.com/office/drawing/2014/main" id="{00000000-0008-0000-0E00-00003674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DA0AE27-4192-4461-8F2D-19465D27CD9F}"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29751" name="Text Box 55">
              <a:extLst>
                <a:ext uri="{FF2B5EF4-FFF2-40B4-BE49-F238E27FC236}">
                  <a16:creationId xmlns:a16="http://schemas.microsoft.com/office/drawing/2014/main" id="{00000000-0008-0000-0E00-00003774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D1975165-5561-4C9B-BBE1-D2AEC9080B28}" type="TxLink">
                <a:rPr lang="en-US"/>
                <a:pPr/>
                <a:t> </a:t>
              </a:fld>
              <a:endParaRPr lang="en-US"/>
            </a:p>
          </xdr:txBody>
        </xdr:sp>
        <xdr:sp macro="" textlink="'Cover Sheet'!U37:Y37">
          <xdr:nvSpPr>
            <xdr:cNvPr id="29752" name="Text Box 56">
              <a:extLst>
                <a:ext uri="{FF2B5EF4-FFF2-40B4-BE49-F238E27FC236}">
                  <a16:creationId xmlns:a16="http://schemas.microsoft.com/office/drawing/2014/main" id="{00000000-0008-0000-0E00-00003874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DF5D8F7B-2C52-4459-B970-C3222EEBF9DE}"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66675</xdr:colOff>
      <xdr:row>5</xdr:row>
      <xdr:rowOff>152400</xdr:rowOff>
    </xdr:to>
    <xdr:grpSp>
      <xdr:nvGrpSpPr>
        <xdr:cNvPr id="29807" name="Group 111">
          <a:extLst>
            <a:ext uri="{FF2B5EF4-FFF2-40B4-BE49-F238E27FC236}">
              <a16:creationId xmlns:a16="http://schemas.microsoft.com/office/drawing/2014/main" id="{00000000-0008-0000-0E00-00006F740000}"/>
            </a:ext>
          </a:extLst>
        </xdr:cNvPr>
        <xdr:cNvGrpSpPr>
          <a:grpSpLocks/>
        </xdr:cNvGrpSpPr>
      </xdr:nvGrpSpPr>
      <xdr:grpSpPr bwMode="auto">
        <a:xfrm>
          <a:off x="1676400" y="0"/>
          <a:ext cx="6429375" cy="962025"/>
          <a:chOff x="65" y="4"/>
          <a:chExt cx="675" cy="101"/>
        </a:xfrm>
      </xdr:grpSpPr>
      <xdr:grpSp>
        <xdr:nvGrpSpPr>
          <xdr:cNvPr id="29808" name="Group 112">
            <a:extLst>
              <a:ext uri="{FF2B5EF4-FFF2-40B4-BE49-F238E27FC236}">
                <a16:creationId xmlns:a16="http://schemas.microsoft.com/office/drawing/2014/main" id="{00000000-0008-0000-0E00-000070740000}"/>
              </a:ext>
            </a:extLst>
          </xdr:cNvPr>
          <xdr:cNvGrpSpPr>
            <a:grpSpLocks/>
          </xdr:cNvGrpSpPr>
        </xdr:nvGrpSpPr>
        <xdr:grpSpPr bwMode="auto">
          <a:xfrm>
            <a:off x="65" y="7"/>
            <a:ext cx="675" cy="98"/>
            <a:chOff x="65" y="7"/>
            <a:chExt cx="675" cy="98"/>
          </a:xfrm>
        </xdr:grpSpPr>
        <xdr:grpSp>
          <xdr:nvGrpSpPr>
            <xdr:cNvPr id="29810" name="Group 114">
              <a:extLst>
                <a:ext uri="{FF2B5EF4-FFF2-40B4-BE49-F238E27FC236}">
                  <a16:creationId xmlns:a16="http://schemas.microsoft.com/office/drawing/2014/main" id="{00000000-0008-0000-0E00-000072740000}"/>
                </a:ext>
              </a:extLst>
            </xdr:cNvPr>
            <xdr:cNvGrpSpPr>
              <a:grpSpLocks/>
            </xdr:cNvGrpSpPr>
          </xdr:nvGrpSpPr>
          <xdr:grpSpPr bwMode="auto">
            <a:xfrm>
              <a:off x="232" y="7"/>
              <a:ext cx="433" cy="93"/>
              <a:chOff x="168" y="7"/>
              <a:chExt cx="433" cy="93"/>
            </a:xfrm>
          </xdr:grpSpPr>
          <xdr:sp macro="" textlink="">
            <xdr:nvSpPr>
              <xdr:cNvPr id="29811" name="Text Box 115">
                <a:extLst>
                  <a:ext uri="{FF2B5EF4-FFF2-40B4-BE49-F238E27FC236}">
                    <a16:creationId xmlns:a16="http://schemas.microsoft.com/office/drawing/2014/main" id="{00000000-0008-0000-0E00-0000737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9812" name="Text Box 116">
                <a:extLst>
                  <a:ext uri="{FF2B5EF4-FFF2-40B4-BE49-F238E27FC236}">
                    <a16:creationId xmlns:a16="http://schemas.microsoft.com/office/drawing/2014/main" id="{00000000-0008-0000-0E00-0000747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9813" name="Text Box 117">
                <a:extLst>
                  <a:ext uri="{FF2B5EF4-FFF2-40B4-BE49-F238E27FC236}">
                    <a16:creationId xmlns:a16="http://schemas.microsoft.com/office/drawing/2014/main" id="{00000000-0008-0000-0E00-0000757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9814" name="Text Box 118">
                <a:extLst>
                  <a:ext uri="{FF2B5EF4-FFF2-40B4-BE49-F238E27FC236}">
                    <a16:creationId xmlns:a16="http://schemas.microsoft.com/office/drawing/2014/main" id="{00000000-0008-0000-0E00-0000767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9815" name="Text Box 119">
                <a:extLst>
                  <a:ext uri="{FF2B5EF4-FFF2-40B4-BE49-F238E27FC236}">
                    <a16:creationId xmlns:a16="http://schemas.microsoft.com/office/drawing/2014/main" id="{00000000-0008-0000-0E00-0000777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9816" name="Text Box 120">
                <a:extLst>
                  <a:ext uri="{FF2B5EF4-FFF2-40B4-BE49-F238E27FC236}">
                    <a16:creationId xmlns:a16="http://schemas.microsoft.com/office/drawing/2014/main" id="{00000000-0008-0000-0E00-0000787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817" name="Text Box 121">
                <a:extLst>
                  <a:ext uri="{FF2B5EF4-FFF2-40B4-BE49-F238E27FC236}">
                    <a16:creationId xmlns:a16="http://schemas.microsoft.com/office/drawing/2014/main" id="{00000000-0008-0000-0E00-0000797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818" name="Text Box 122">
                <a:extLst>
                  <a:ext uri="{FF2B5EF4-FFF2-40B4-BE49-F238E27FC236}">
                    <a16:creationId xmlns:a16="http://schemas.microsoft.com/office/drawing/2014/main" id="{00000000-0008-0000-0E00-00007A7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9819" name="Text Box 123">
                <a:extLst>
                  <a:ext uri="{FF2B5EF4-FFF2-40B4-BE49-F238E27FC236}">
                    <a16:creationId xmlns:a16="http://schemas.microsoft.com/office/drawing/2014/main" id="{00000000-0008-0000-0E00-00007B7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9820" name="Text Box 124">
                <a:extLst>
                  <a:ext uri="{FF2B5EF4-FFF2-40B4-BE49-F238E27FC236}">
                    <a16:creationId xmlns:a16="http://schemas.microsoft.com/office/drawing/2014/main" id="{00000000-0008-0000-0E00-00007C7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821" name="Text Box 125">
                <a:extLst>
                  <a:ext uri="{FF2B5EF4-FFF2-40B4-BE49-F238E27FC236}">
                    <a16:creationId xmlns:a16="http://schemas.microsoft.com/office/drawing/2014/main" id="{00000000-0008-0000-0E00-00007D7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9822" name="Line 126">
              <a:extLst>
                <a:ext uri="{FF2B5EF4-FFF2-40B4-BE49-F238E27FC236}">
                  <a16:creationId xmlns:a16="http://schemas.microsoft.com/office/drawing/2014/main" id="{00000000-0008-0000-0E00-00007E74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29823" name="Line 127">
              <a:extLst>
                <a:ext uri="{FF2B5EF4-FFF2-40B4-BE49-F238E27FC236}">
                  <a16:creationId xmlns:a16="http://schemas.microsoft.com/office/drawing/2014/main" id="{00000000-0008-0000-0E00-00007F74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29824" name="Line 128">
              <a:extLst>
                <a:ext uri="{FF2B5EF4-FFF2-40B4-BE49-F238E27FC236}">
                  <a16:creationId xmlns:a16="http://schemas.microsoft.com/office/drawing/2014/main" id="{00000000-0008-0000-0E00-00008074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29825" name="Line 129">
              <a:extLst>
                <a:ext uri="{FF2B5EF4-FFF2-40B4-BE49-F238E27FC236}">
                  <a16:creationId xmlns:a16="http://schemas.microsoft.com/office/drawing/2014/main" id="{00000000-0008-0000-0E00-00008174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29826" name="Group 130">
            <a:extLst>
              <a:ext uri="{FF2B5EF4-FFF2-40B4-BE49-F238E27FC236}">
                <a16:creationId xmlns:a16="http://schemas.microsoft.com/office/drawing/2014/main" id="{00000000-0008-0000-0E00-000082740000}"/>
              </a:ext>
            </a:extLst>
          </xdr:cNvPr>
          <xdr:cNvGrpSpPr>
            <a:grpSpLocks/>
          </xdr:cNvGrpSpPr>
        </xdr:nvGrpSpPr>
        <xdr:grpSpPr bwMode="auto">
          <a:xfrm>
            <a:off x="272" y="4"/>
            <a:ext cx="457" cy="98"/>
            <a:chOff x="208" y="4"/>
            <a:chExt cx="457" cy="98"/>
          </a:xfrm>
        </xdr:grpSpPr>
        <xdr:sp macro="" textlink="'Cover Sheet'!E5:U5">
          <xdr:nvSpPr>
            <xdr:cNvPr id="29827" name="Text Box 131">
              <a:extLst>
                <a:ext uri="{FF2B5EF4-FFF2-40B4-BE49-F238E27FC236}">
                  <a16:creationId xmlns:a16="http://schemas.microsoft.com/office/drawing/2014/main" id="{00000000-0008-0000-0E00-00008374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77849D0-0712-4891-A5EC-20B8F8CA8418}"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29828" name="Text Box 132">
              <a:extLst>
                <a:ext uri="{FF2B5EF4-FFF2-40B4-BE49-F238E27FC236}">
                  <a16:creationId xmlns:a16="http://schemas.microsoft.com/office/drawing/2014/main" id="{00000000-0008-0000-0E00-00008474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74B0A49-A5A4-4989-9EEA-4A5D46359F5B}"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29829" name="Text Box 133">
              <a:extLst>
                <a:ext uri="{FF2B5EF4-FFF2-40B4-BE49-F238E27FC236}">
                  <a16:creationId xmlns:a16="http://schemas.microsoft.com/office/drawing/2014/main" id="{00000000-0008-0000-0E00-00008574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29830" name="Text Box 134">
              <a:extLst>
                <a:ext uri="{FF2B5EF4-FFF2-40B4-BE49-F238E27FC236}">
                  <a16:creationId xmlns:a16="http://schemas.microsoft.com/office/drawing/2014/main" id="{00000000-0008-0000-0E00-00008674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076EADB-1098-47E6-BAAE-BD97F40158F6}"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29831" name="Text Box 135">
              <a:extLst>
                <a:ext uri="{FF2B5EF4-FFF2-40B4-BE49-F238E27FC236}">
                  <a16:creationId xmlns:a16="http://schemas.microsoft.com/office/drawing/2014/main" id="{00000000-0008-0000-0E00-00008774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769715D-C4F5-4D62-84D4-834AC66218E9}"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29832" name="Text Box 136">
              <a:extLst>
                <a:ext uri="{FF2B5EF4-FFF2-40B4-BE49-F238E27FC236}">
                  <a16:creationId xmlns:a16="http://schemas.microsoft.com/office/drawing/2014/main" id="{00000000-0008-0000-0E00-00008874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1501A7A-B20D-4AE3-B1C3-D2AB478F3A87}"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29833" name="Text Box 137">
              <a:extLst>
                <a:ext uri="{FF2B5EF4-FFF2-40B4-BE49-F238E27FC236}">
                  <a16:creationId xmlns:a16="http://schemas.microsoft.com/office/drawing/2014/main" id="{00000000-0008-0000-0E00-00008974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E6B5F07-1253-483A-972D-AEA80D4BB39B}" type="TxLink">
                <a:rPr lang="en-US"/>
                <a:pPr/>
                <a:t> </a:t>
              </a:fld>
              <a:endParaRPr lang="en-US"/>
            </a:p>
          </xdr:txBody>
        </xdr:sp>
        <xdr:sp macro="" textlink="'Cover Sheet'!U37:Y37">
          <xdr:nvSpPr>
            <xdr:cNvPr id="29834" name="Text Box 138">
              <a:extLst>
                <a:ext uri="{FF2B5EF4-FFF2-40B4-BE49-F238E27FC236}">
                  <a16:creationId xmlns:a16="http://schemas.microsoft.com/office/drawing/2014/main" id="{00000000-0008-0000-0E00-00008A74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8EC4888-B6C3-4A00-BFB2-2F2219115F40}" type="TxLink">
                <a:rPr lang="en-US"/>
                <a:pPr/>
                <a:t> </a:t>
              </a:fld>
              <a:endParaRPr lang="en-US"/>
            </a:p>
          </xdr:txBody>
        </xdr:sp>
      </xdr:grpSp>
    </xdr:grpSp>
    <xdr:clientData/>
  </xdr:twoCellAnchor>
  <xdr:twoCellAnchor>
    <xdr:from>
      <xdr:col>0</xdr:col>
      <xdr:colOff>57150</xdr:colOff>
      <xdr:row>8</xdr:row>
      <xdr:rowOff>57150</xdr:rowOff>
    </xdr:from>
    <xdr:to>
      <xdr:col>0</xdr:col>
      <xdr:colOff>1590675</xdr:colOff>
      <xdr:row>11</xdr:row>
      <xdr:rowOff>171450</xdr:rowOff>
    </xdr:to>
    <xdr:sp macro="[0]!AReinf" textlink="">
      <xdr:nvSpPr>
        <xdr:cNvPr id="29854" name="Rectangle 158">
          <a:extLst>
            <a:ext uri="{FF2B5EF4-FFF2-40B4-BE49-F238E27FC236}">
              <a16:creationId xmlns:a16="http://schemas.microsoft.com/office/drawing/2014/main" id="{00000000-0008-0000-0E00-00009E740000}"/>
            </a:ext>
          </a:extLst>
        </xdr:cNvPr>
        <xdr:cNvSpPr>
          <a:spLocks noChangeArrowheads="1"/>
        </xdr:cNvSpPr>
      </xdr:nvSpPr>
      <xdr:spPr bwMode="auto">
        <a:xfrm>
          <a:off x="57150" y="1438275"/>
          <a:ext cx="1533525" cy="714375"/>
        </a:xfrm>
        <a:prstGeom prst="rect">
          <a:avLst/>
        </a:prstGeom>
        <a:solidFill>
          <a:srgbClr val="FF9900"/>
        </a:solidFill>
        <a:ln w="9525">
          <a:solidFill>
            <a:srgbClr val="000000"/>
          </a:solidFill>
          <a:miter lim="800000"/>
          <a:headEnd/>
          <a:tailEnd/>
        </a:ln>
      </xdr:spPr>
    </xdr:sp>
    <xdr:clientData/>
  </xdr:twoCellAnchor>
  <xdr:twoCellAnchor editAs="oneCell">
    <xdr:from>
      <xdr:col>1</xdr:col>
      <xdr:colOff>28575</xdr:colOff>
      <xdr:row>0</xdr:row>
      <xdr:rowOff>28575</xdr:rowOff>
    </xdr:from>
    <xdr:to>
      <xdr:col>3</xdr:col>
      <xdr:colOff>77037</xdr:colOff>
      <xdr:row>4</xdr:row>
      <xdr:rowOff>142875</xdr:rowOff>
    </xdr:to>
    <xdr:pic>
      <xdr:nvPicPr>
        <xdr:cNvPr id="59" name="headerlogo">
          <a:extLst>
            <a:ext uri="{FF2B5EF4-FFF2-40B4-BE49-F238E27FC236}">
              <a16:creationId xmlns:a16="http://schemas.microsoft.com/office/drawing/2014/main" id="{00000000-0008-0000-0E00-00003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8</xdr:row>
          <xdr:rowOff>180975</xdr:rowOff>
        </xdr:from>
        <xdr:to>
          <xdr:col>0</xdr:col>
          <xdr:colOff>1447800</xdr:colOff>
          <xdr:row>11</xdr:row>
          <xdr:rowOff>57150</xdr:rowOff>
        </xdr:to>
        <xdr:sp macro="" textlink="">
          <xdr:nvSpPr>
            <xdr:cNvPr id="29855" name="Button 159" hidden="1">
              <a:extLst>
                <a:ext uri="{63B3BB69-23CF-44E3-9099-C40C66FF867C}">
                  <a14:compatExt spid="_x0000_s29855"/>
                </a:ext>
                <a:ext uri="{FF2B5EF4-FFF2-40B4-BE49-F238E27FC236}">
                  <a16:creationId xmlns:a16="http://schemas.microsoft.com/office/drawing/2014/main" id="{00000000-0008-0000-0E00-00009F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Design Reinforcing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19050</xdr:colOff>
      <xdr:row>0</xdr:row>
      <xdr:rowOff>0</xdr:rowOff>
    </xdr:from>
    <xdr:to>
      <xdr:col>13</xdr:col>
      <xdr:colOff>38100</xdr:colOff>
      <xdr:row>5</xdr:row>
      <xdr:rowOff>152400</xdr:rowOff>
    </xdr:to>
    <xdr:grpSp>
      <xdr:nvGrpSpPr>
        <xdr:cNvPr id="145409" name="Group 1">
          <a:extLst>
            <a:ext uri="{FF2B5EF4-FFF2-40B4-BE49-F238E27FC236}">
              <a16:creationId xmlns:a16="http://schemas.microsoft.com/office/drawing/2014/main" id="{00000000-0008-0000-0F00-000001380200}"/>
            </a:ext>
          </a:extLst>
        </xdr:cNvPr>
        <xdr:cNvGrpSpPr>
          <a:grpSpLocks/>
        </xdr:cNvGrpSpPr>
      </xdr:nvGrpSpPr>
      <xdr:grpSpPr bwMode="auto">
        <a:xfrm>
          <a:off x="1666875" y="0"/>
          <a:ext cx="6429375" cy="962025"/>
          <a:chOff x="65" y="4"/>
          <a:chExt cx="675" cy="101"/>
        </a:xfrm>
      </xdr:grpSpPr>
      <xdr:grpSp>
        <xdr:nvGrpSpPr>
          <xdr:cNvPr id="145410" name="Group 2">
            <a:extLst>
              <a:ext uri="{FF2B5EF4-FFF2-40B4-BE49-F238E27FC236}">
                <a16:creationId xmlns:a16="http://schemas.microsoft.com/office/drawing/2014/main" id="{00000000-0008-0000-0F00-000002380200}"/>
              </a:ext>
            </a:extLst>
          </xdr:cNvPr>
          <xdr:cNvGrpSpPr>
            <a:grpSpLocks/>
          </xdr:cNvGrpSpPr>
        </xdr:nvGrpSpPr>
        <xdr:grpSpPr bwMode="auto">
          <a:xfrm>
            <a:off x="65" y="7"/>
            <a:ext cx="675" cy="98"/>
            <a:chOff x="65" y="7"/>
            <a:chExt cx="675" cy="98"/>
          </a:xfrm>
        </xdr:grpSpPr>
        <xdr:grpSp>
          <xdr:nvGrpSpPr>
            <xdr:cNvPr id="145412" name="Group 4">
              <a:extLst>
                <a:ext uri="{FF2B5EF4-FFF2-40B4-BE49-F238E27FC236}">
                  <a16:creationId xmlns:a16="http://schemas.microsoft.com/office/drawing/2014/main" id="{00000000-0008-0000-0F00-000004380200}"/>
                </a:ext>
              </a:extLst>
            </xdr:cNvPr>
            <xdr:cNvGrpSpPr>
              <a:grpSpLocks/>
            </xdr:cNvGrpSpPr>
          </xdr:nvGrpSpPr>
          <xdr:grpSpPr bwMode="auto">
            <a:xfrm>
              <a:off x="232" y="7"/>
              <a:ext cx="433" cy="93"/>
              <a:chOff x="168" y="7"/>
              <a:chExt cx="433" cy="93"/>
            </a:xfrm>
          </xdr:grpSpPr>
          <xdr:sp macro="" textlink="">
            <xdr:nvSpPr>
              <xdr:cNvPr id="145413" name="Text Box 5">
                <a:extLst>
                  <a:ext uri="{FF2B5EF4-FFF2-40B4-BE49-F238E27FC236}">
                    <a16:creationId xmlns:a16="http://schemas.microsoft.com/office/drawing/2014/main" id="{00000000-0008-0000-0F00-0000053802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45414" name="Text Box 6">
                <a:extLst>
                  <a:ext uri="{FF2B5EF4-FFF2-40B4-BE49-F238E27FC236}">
                    <a16:creationId xmlns:a16="http://schemas.microsoft.com/office/drawing/2014/main" id="{00000000-0008-0000-0F00-0000063802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45415" name="Text Box 7">
                <a:extLst>
                  <a:ext uri="{FF2B5EF4-FFF2-40B4-BE49-F238E27FC236}">
                    <a16:creationId xmlns:a16="http://schemas.microsoft.com/office/drawing/2014/main" id="{00000000-0008-0000-0F00-0000073802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45416" name="Text Box 8">
                <a:extLst>
                  <a:ext uri="{FF2B5EF4-FFF2-40B4-BE49-F238E27FC236}">
                    <a16:creationId xmlns:a16="http://schemas.microsoft.com/office/drawing/2014/main" id="{00000000-0008-0000-0F00-0000083802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45417" name="Text Box 9">
                <a:extLst>
                  <a:ext uri="{FF2B5EF4-FFF2-40B4-BE49-F238E27FC236}">
                    <a16:creationId xmlns:a16="http://schemas.microsoft.com/office/drawing/2014/main" id="{00000000-0008-0000-0F00-0000093802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45418" name="Text Box 10">
                <a:extLst>
                  <a:ext uri="{FF2B5EF4-FFF2-40B4-BE49-F238E27FC236}">
                    <a16:creationId xmlns:a16="http://schemas.microsoft.com/office/drawing/2014/main" id="{00000000-0008-0000-0F00-00000A3802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45419" name="Text Box 11">
                <a:extLst>
                  <a:ext uri="{FF2B5EF4-FFF2-40B4-BE49-F238E27FC236}">
                    <a16:creationId xmlns:a16="http://schemas.microsoft.com/office/drawing/2014/main" id="{00000000-0008-0000-0F00-00000B3802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45420" name="Text Box 12">
                <a:extLst>
                  <a:ext uri="{FF2B5EF4-FFF2-40B4-BE49-F238E27FC236}">
                    <a16:creationId xmlns:a16="http://schemas.microsoft.com/office/drawing/2014/main" id="{00000000-0008-0000-0F00-00000C3802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45421" name="Text Box 13">
                <a:extLst>
                  <a:ext uri="{FF2B5EF4-FFF2-40B4-BE49-F238E27FC236}">
                    <a16:creationId xmlns:a16="http://schemas.microsoft.com/office/drawing/2014/main" id="{00000000-0008-0000-0F00-00000D3802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45422" name="Text Box 14">
                <a:extLst>
                  <a:ext uri="{FF2B5EF4-FFF2-40B4-BE49-F238E27FC236}">
                    <a16:creationId xmlns:a16="http://schemas.microsoft.com/office/drawing/2014/main" id="{00000000-0008-0000-0F00-00000E3802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45423" name="Text Box 15">
                <a:extLst>
                  <a:ext uri="{FF2B5EF4-FFF2-40B4-BE49-F238E27FC236}">
                    <a16:creationId xmlns:a16="http://schemas.microsoft.com/office/drawing/2014/main" id="{00000000-0008-0000-0F00-00000F3802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45424" name="Line 16">
              <a:extLst>
                <a:ext uri="{FF2B5EF4-FFF2-40B4-BE49-F238E27FC236}">
                  <a16:creationId xmlns:a16="http://schemas.microsoft.com/office/drawing/2014/main" id="{00000000-0008-0000-0F00-0000103802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45425" name="Line 17">
              <a:extLst>
                <a:ext uri="{FF2B5EF4-FFF2-40B4-BE49-F238E27FC236}">
                  <a16:creationId xmlns:a16="http://schemas.microsoft.com/office/drawing/2014/main" id="{00000000-0008-0000-0F00-0000113802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45426" name="Line 18">
              <a:extLst>
                <a:ext uri="{FF2B5EF4-FFF2-40B4-BE49-F238E27FC236}">
                  <a16:creationId xmlns:a16="http://schemas.microsoft.com/office/drawing/2014/main" id="{00000000-0008-0000-0F00-0000123802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45427" name="Line 19">
              <a:extLst>
                <a:ext uri="{FF2B5EF4-FFF2-40B4-BE49-F238E27FC236}">
                  <a16:creationId xmlns:a16="http://schemas.microsoft.com/office/drawing/2014/main" id="{00000000-0008-0000-0F00-0000133802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45428" name="Group 20">
            <a:extLst>
              <a:ext uri="{FF2B5EF4-FFF2-40B4-BE49-F238E27FC236}">
                <a16:creationId xmlns:a16="http://schemas.microsoft.com/office/drawing/2014/main" id="{00000000-0008-0000-0F00-000014380200}"/>
              </a:ext>
            </a:extLst>
          </xdr:cNvPr>
          <xdr:cNvGrpSpPr>
            <a:grpSpLocks/>
          </xdr:cNvGrpSpPr>
        </xdr:nvGrpSpPr>
        <xdr:grpSpPr bwMode="auto">
          <a:xfrm>
            <a:off x="272" y="4"/>
            <a:ext cx="457" cy="98"/>
            <a:chOff x="208" y="4"/>
            <a:chExt cx="457" cy="98"/>
          </a:xfrm>
        </xdr:grpSpPr>
        <xdr:sp macro="" textlink="'Cover Sheet'!E5:U5">
          <xdr:nvSpPr>
            <xdr:cNvPr id="145429" name="Text Box 21">
              <a:extLst>
                <a:ext uri="{FF2B5EF4-FFF2-40B4-BE49-F238E27FC236}">
                  <a16:creationId xmlns:a16="http://schemas.microsoft.com/office/drawing/2014/main" id="{00000000-0008-0000-0F00-0000153802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ACC5513-ECB3-4510-A4A3-0AAE9CCAB0CA}"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145430" name="Text Box 22">
              <a:extLst>
                <a:ext uri="{FF2B5EF4-FFF2-40B4-BE49-F238E27FC236}">
                  <a16:creationId xmlns:a16="http://schemas.microsoft.com/office/drawing/2014/main" id="{00000000-0008-0000-0F00-0000163802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451CE7E-9F42-4714-B55A-E54C3C3729AD}"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145431" name="Text Box 23">
              <a:extLst>
                <a:ext uri="{FF2B5EF4-FFF2-40B4-BE49-F238E27FC236}">
                  <a16:creationId xmlns:a16="http://schemas.microsoft.com/office/drawing/2014/main" id="{00000000-0008-0000-0F00-0000173802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Inverted Tee Design Loads</a:t>
              </a:r>
            </a:p>
          </xdr:txBody>
        </xdr:sp>
        <xdr:sp macro="" textlink="'Cover Sheet'!E4:U4">
          <xdr:nvSpPr>
            <xdr:cNvPr id="145432" name="Text Box 24">
              <a:extLst>
                <a:ext uri="{FF2B5EF4-FFF2-40B4-BE49-F238E27FC236}">
                  <a16:creationId xmlns:a16="http://schemas.microsoft.com/office/drawing/2014/main" id="{00000000-0008-0000-0F00-0000183802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EC0CEA1-2646-452D-862D-386C87F9AC4E}"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145433" name="Text Box 25">
              <a:extLst>
                <a:ext uri="{FF2B5EF4-FFF2-40B4-BE49-F238E27FC236}">
                  <a16:creationId xmlns:a16="http://schemas.microsoft.com/office/drawing/2014/main" id="{00000000-0008-0000-0F00-0000193802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454DB52F-2C5A-4B3E-B25E-227D8B6BB3D5}"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145434" name="Text Box 26">
              <a:extLst>
                <a:ext uri="{FF2B5EF4-FFF2-40B4-BE49-F238E27FC236}">
                  <a16:creationId xmlns:a16="http://schemas.microsoft.com/office/drawing/2014/main" id="{00000000-0008-0000-0F00-00001A3802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BA6F9A1A-3C62-4704-95E4-4EABA64A1C69}"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145435" name="Text Box 27">
              <a:extLst>
                <a:ext uri="{FF2B5EF4-FFF2-40B4-BE49-F238E27FC236}">
                  <a16:creationId xmlns:a16="http://schemas.microsoft.com/office/drawing/2014/main" id="{00000000-0008-0000-0F00-00001B3802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8996A246-3890-464D-9612-FB5088622485}" type="TxLink">
                <a:rPr lang="en-US"/>
                <a:pPr/>
                <a:t> </a:t>
              </a:fld>
              <a:endParaRPr lang="en-US"/>
            </a:p>
          </xdr:txBody>
        </xdr:sp>
        <xdr:sp macro="" textlink="'Cover Sheet'!U37:Y37">
          <xdr:nvSpPr>
            <xdr:cNvPr id="145436" name="Text Box 28">
              <a:extLst>
                <a:ext uri="{FF2B5EF4-FFF2-40B4-BE49-F238E27FC236}">
                  <a16:creationId xmlns:a16="http://schemas.microsoft.com/office/drawing/2014/main" id="{00000000-0008-0000-0F00-00001C3802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89C602BC-0DE4-4ECF-9EF1-8A32CBC2F015}" type="TxLink">
                <a:rPr lang="en-US"/>
                <a:pPr/>
                <a:t> </a:t>
              </a:fld>
              <a:endParaRPr lang="en-US"/>
            </a:p>
          </xdr:txBody>
        </xdr:sp>
      </xdr:grpSp>
    </xdr:grpSp>
    <xdr:clientData/>
  </xdr:twoCellAnchor>
  <mc:AlternateContent xmlns:mc="http://schemas.openxmlformats.org/markup-compatibility/2006">
    <mc:Choice xmlns:a14="http://schemas.microsoft.com/office/drawing/2010/main" Requires="a14">
      <xdr:twoCellAnchor editAs="oneCell">
        <xdr:from>
          <xdr:col>8</xdr:col>
          <xdr:colOff>561975</xdr:colOff>
          <xdr:row>335</xdr:row>
          <xdr:rowOff>57150</xdr:rowOff>
        </xdr:from>
        <xdr:to>
          <xdr:col>12</xdr:col>
          <xdr:colOff>409575</xdr:colOff>
          <xdr:row>336</xdr:row>
          <xdr:rowOff>161925</xdr:rowOff>
        </xdr:to>
        <xdr:sp macro="" textlink="">
          <xdr:nvSpPr>
            <xdr:cNvPr id="156712" name="LLDF_ExtBm" descr="Generate Cap Design Data Sheets" hidden="1">
              <a:extLst>
                <a:ext uri="{63B3BB69-23CF-44E3-9099-C40C66FF867C}">
                  <a14:compatExt spid="_x0000_s156712"/>
                </a:ext>
                <a:ext uri="{FF2B5EF4-FFF2-40B4-BE49-F238E27FC236}">
                  <a16:creationId xmlns:a16="http://schemas.microsoft.com/office/drawing/2014/main" id="{00000000-0008-0000-0F00-0000286402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greater of Int and Ext LLDF for Ext bm</a:t>
              </a:r>
            </a:p>
          </xdr:txBody>
        </xdr:sp>
        <xdr:clientData fPrintsWithSheet="0"/>
      </xdr:twoCellAnchor>
    </mc:Choice>
    <mc:Fallback/>
  </mc:AlternateContent>
  <xdr:twoCellAnchor editAs="oneCell">
    <xdr:from>
      <xdr:col>2</xdr:col>
      <xdr:colOff>219075</xdr:colOff>
      <xdr:row>0</xdr:row>
      <xdr:rowOff>104775</xdr:rowOff>
    </xdr:from>
    <xdr:to>
      <xdr:col>4</xdr:col>
      <xdr:colOff>277062</xdr:colOff>
      <xdr:row>5</xdr:row>
      <xdr:rowOff>57150</xdr:rowOff>
    </xdr:to>
    <xdr:pic>
      <xdr:nvPicPr>
        <xdr:cNvPr id="31" name="headerlogo">
          <a:extLst>
            <a:ext uri="{FF2B5EF4-FFF2-40B4-BE49-F238E27FC236}">
              <a16:creationId xmlns:a16="http://schemas.microsoft.com/office/drawing/2014/main" id="{00000000-0008-0000-0F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6900" y="104775"/>
          <a:ext cx="1210512" cy="7620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19050</xdr:colOff>
      <xdr:row>0</xdr:row>
      <xdr:rowOff>0</xdr:rowOff>
    </xdr:from>
    <xdr:to>
      <xdr:col>12</xdr:col>
      <xdr:colOff>561975</xdr:colOff>
      <xdr:row>5</xdr:row>
      <xdr:rowOff>152400</xdr:rowOff>
    </xdr:to>
    <xdr:grpSp>
      <xdr:nvGrpSpPr>
        <xdr:cNvPr id="128001" name="Group 1">
          <a:extLst>
            <a:ext uri="{FF2B5EF4-FFF2-40B4-BE49-F238E27FC236}">
              <a16:creationId xmlns:a16="http://schemas.microsoft.com/office/drawing/2014/main" id="{00000000-0008-0000-1000-000001F40100}"/>
            </a:ext>
          </a:extLst>
        </xdr:cNvPr>
        <xdr:cNvGrpSpPr>
          <a:grpSpLocks/>
        </xdr:cNvGrpSpPr>
      </xdr:nvGrpSpPr>
      <xdr:grpSpPr bwMode="auto">
        <a:xfrm>
          <a:off x="1666875" y="0"/>
          <a:ext cx="6429375" cy="962025"/>
          <a:chOff x="65" y="4"/>
          <a:chExt cx="675" cy="101"/>
        </a:xfrm>
      </xdr:grpSpPr>
      <xdr:grpSp>
        <xdr:nvGrpSpPr>
          <xdr:cNvPr id="128002" name="Group 2">
            <a:extLst>
              <a:ext uri="{FF2B5EF4-FFF2-40B4-BE49-F238E27FC236}">
                <a16:creationId xmlns:a16="http://schemas.microsoft.com/office/drawing/2014/main" id="{00000000-0008-0000-1000-000002F40100}"/>
              </a:ext>
            </a:extLst>
          </xdr:cNvPr>
          <xdr:cNvGrpSpPr>
            <a:grpSpLocks/>
          </xdr:cNvGrpSpPr>
        </xdr:nvGrpSpPr>
        <xdr:grpSpPr bwMode="auto">
          <a:xfrm>
            <a:off x="65" y="7"/>
            <a:ext cx="675" cy="98"/>
            <a:chOff x="65" y="7"/>
            <a:chExt cx="675" cy="98"/>
          </a:xfrm>
        </xdr:grpSpPr>
        <xdr:grpSp>
          <xdr:nvGrpSpPr>
            <xdr:cNvPr id="128004" name="Group 4">
              <a:extLst>
                <a:ext uri="{FF2B5EF4-FFF2-40B4-BE49-F238E27FC236}">
                  <a16:creationId xmlns:a16="http://schemas.microsoft.com/office/drawing/2014/main" id="{00000000-0008-0000-1000-000004F40100}"/>
                </a:ext>
              </a:extLst>
            </xdr:cNvPr>
            <xdr:cNvGrpSpPr>
              <a:grpSpLocks/>
            </xdr:cNvGrpSpPr>
          </xdr:nvGrpSpPr>
          <xdr:grpSpPr bwMode="auto">
            <a:xfrm>
              <a:off x="232" y="7"/>
              <a:ext cx="433" cy="93"/>
              <a:chOff x="168" y="7"/>
              <a:chExt cx="433" cy="93"/>
            </a:xfrm>
          </xdr:grpSpPr>
          <xdr:sp macro="" textlink="">
            <xdr:nvSpPr>
              <xdr:cNvPr id="128005" name="Text Box 5">
                <a:extLst>
                  <a:ext uri="{FF2B5EF4-FFF2-40B4-BE49-F238E27FC236}">
                    <a16:creationId xmlns:a16="http://schemas.microsoft.com/office/drawing/2014/main" id="{00000000-0008-0000-1000-000005F4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28006" name="Text Box 6">
                <a:extLst>
                  <a:ext uri="{FF2B5EF4-FFF2-40B4-BE49-F238E27FC236}">
                    <a16:creationId xmlns:a16="http://schemas.microsoft.com/office/drawing/2014/main" id="{00000000-0008-0000-1000-000006F4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28007" name="Text Box 7">
                <a:extLst>
                  <a:ext uri="{FF2B5EF4-FFF2-40B4-BE49-F238E27FC236}">
                    <a16:creationId xmlns:a16="http://schemas.microsoft.com/office/drawing/2014/main" id="{00000000-0008-0000-1000-000007F4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28008" name="Text Box 8">
                <a:extLst>
                  <a:ext uri="{FF2B5EF4-FFF2-40B4-BE49-F238E27FC236}">
                    <a16:creationId xmlns:a16="http://schemas.microsoft.com/office/drawing/2014/main" id="{00000000-0008-0000-1000-000008F4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28009" name="Text Box 9">
                <a:extLst>
                  <a:ext uri="{FF2B5EF4-FFF2-40B4-BE49-F238E27FC236}">
                    <a16:creationId xmlns:a16="http://schemas.microsoft.com/office/drawing/2014/main" id="{00000000-0008-0000-1000-000009F4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28010" name="Text Box 10">
                <a:extLst>
                  <a:ext uri="{FF2B5EF4-FFF2-40B4-BE49-F238E27FC236}">
                    <a16:creationId xmlns:a16="http://schemas.microsoft.com/office/drawing/2014/main" id="{00000000-0008-0000-1000-00000AF4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28011" name="Text Box 11">
                <a:extLst>
                  <a:ext uri="{FF2B5EF4-FFF2-40B4-BE49-F238E27FC236}">
                    <a16:creationId xmlns:a16="http://schemas.microsoft.com/office/drawing/2014/main" id="{00000000-0008-0000-1000-00000BF4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28012" name="Text Box 12">
                <a:extLst>
                  <a:ext uri="{FF2B5EF4-FFF2-40B4-BE49-F238E27FC236}">
                    <a16:creationId xmlns:a16="http://schemas.microsoft.com/office/drawing/2014/main" id="{00000000-0008-0000-1000-00000CF4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28013" name="Text Box 13">
                <a:extLst>
                  <a:ext uri="{FF2B5EF4-FFF2-40B4-BE49-F238E27FC236}">
                    <a16:creationId xmlns:a16="http://schemas.microsoft.com/office/drawing/2014/main" id="{00000000-0008-0000-1000-00000DF4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28014" name="Text Box 14">
                <a:extLst>
                  <a:ext uri="{FF2B5EF4-FFF2-40B4-BE49-F238E27FC236}">
                    <a16:creationId xmlns:a16="http://schemas.microsoft.com/office/drawing/2014/main" id="{00000000-0008-0000-1000-00000EF4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28015" name="Text Box 15">
                <a:extLst>
                  <a:ext uri="{FF2B5EF4-FFF2-40B4-BE49-F238E27FC236}">
                    <a16:creationId xmlns:a16="http://schemas.microsoft.com/office/drawing/2014/main" id="{00000000-0008-0000-1000-00000FF4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28016" name="Line 16">
              <a:extLst>
                <a:ext uri="{FF2B5EF4-FFF2-40B4-BE49-F238E27FC236}">
                  <a16:creationId xmlns:a16="http://schemas.microsoft.com/office/drawing/2014/main" id="{00000000-0008-0000-1000-000010F4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28017" name="Line 17">
              <a:extLst>
                <a:ext uri="{FF2B5EF4-FFF2-40B4-BE49-F238E27FC236}">
                  <a16:creationId xmlns:a16="http://schemas.microsoft.com/office/drawing/2014/main" id="{00000000-0008-0000-1000-000011F4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28018" name="Line 18">
              <a:extLst>
                <a:ext uri="{FF2B5EF4-FFF2-40B4-BE49-F238E27FC236}">
                  <a16:creationId xmlns:a16="http://schemas.microsoft.com/office/drawing/2014/main" id="{00000000-0008-0000-1000-000012F4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28019" name="Line 19">
              <a:extLst>
                <a:ext uri="{FF2B5EF4-FFF2-40B4-BE49-F238E27FC236}">
                  <a16:creationId xmlns:a16="http://schemas.microsoft.com/office/drawing/2014/main" id="{00000000-0008-0000-1000-000013F4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28020" name="Group 20">
            <a:extLst>
              <a:ext uri="{FF2B5EF4-FFF2-40B4-BE49-F238E27FC236}">
                <a16:creationId xmlns:a16="http://schemas.microsoft.com/office/drawing/2014/main" id="{00000000-0008-0000-1000-000014F40100}"/>
              </a:ext>
            </a:extLst>
          </xdr:cNvPr>
          <xdr:cNvGrpSpPr>
            <a:grpSpLocks/>
          </xdr:cNvGrpSpPr>
        </xdr:nvGrpSpPr>
        <xdr:grpSpPr bwMode="auto">
          <a:xfrm>
            <a:off x="272" y="4"/>
            <a:ext cx="457" cy="98"/>
            <a:chOff x="208" y="4"/>
            <a:chExt cx="457" cy="98"/>
          </a:xfrm>
        </xdr:grpSpPr>
        <xdr:sp macro="" textlink="'Cover Sheet'!E5:U5">
          <xdr:nvSpPr>
            <xdr:cNvPr id="128021" name="Text Box 21">
              <a:extLst>
                <a:ext uri="{FF2B5EF4-FFF2-40B4-BE49-F238E27FC236}">
                  <a16:creationId xmlns:a16="http://schemas.microsoft.com/office/drawing/2014/main" id="{00000000-0008-0000-1000-000015F4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35D57B7-9785-47E1-B648-489F15CE592B}"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128022" name="Text Box 22">
              <a:extLst>
                <a:ext uri="{FF2B5EF4-FFF2-40B4-BE49-F238E27FC236}">
                  <a16:creationId xmlns:a16="http://schemas.microsoft.com/office/drawing/2014/main" id="{00000000-0008-0000-1000-000016F4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5A7ED9EE-06D1-4697-B6A9-7FD493506FE8}"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128023" name="Text Box 23">
              <a:extLst>
                <a:ext uri="{FF2B5EF4-FFF2-40B4-BE49-F238E27FC236}">
                  <a16:creationId xmlns:a16="http://schemas.microsoft.com/office/drawing/2014/main" id="{00000000-0008-0000-1000-000017F4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Inverted Tee Design Loads</a:t>
              </a:r>
            </a:p>
          </xdr:txBody>
        </xdr:sp>
        <xdr:sp macro="" textlink="'Cover Sheet'!E4:U4">
          <xdr:nvSpPr>
            <xdr:cNvPr id="128024" name="Text Box 24">
              <a:extLst>
                <a:ext uri="{FF2B5EF4-FFF2-40B4-BE49-F238E27FC236}">
                  <a16:creationId xmlns:a16="http://schemas.microsoft.com/office/drawing/2014/main" id="{00000000-0008-0000-1000-000018F4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A6ACE4E-AC46-4B0B-87B4-A33006F5632C}"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128025" name="Text Box 25">
              <a:extLst>
                <a:ext uri="{FF2B5EF4-FFF2-40B4-BE49-F238E27FC236}">
                  <a16:creationId xmlns:a16="http://schemas.microsoft.com/office/drawing/2014/main" id="{00000000-0008-0000-1000-000019F4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0609986A-3549-4F7D-B97B-787E6EC220D7}"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128026" name="Text Box 26">
              <a:extLst>
                <a:ext uri="{FF2B5EF4-FFF2-40B4-BE49-F238E27FC236}">
                  <a16:creationId xmlns:a16="http://schemas.microsoft.com/office/drawing/2014/main" id="{00000000-0008-0000-1000-00001AF4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0E0EC706-721F-4A5F-AC57-563CEA01B6A5}"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128027" name="Text Box 27">
              <a:extLst>
                <a:ext uri="{FF2B5EF4-FFF2-40B4-BE49-F238E27FC236}">
                  <a16:creationId xmlns:a16="http://schemas.microsoft.com/office/drawing/2014/main" id="{00000000-0008-0000-1000-00001BF4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6F5D82A-5EF3-4EDE-98A9-7665235D466A}" type="TxLink">
                <a:rPr lang="en-US"/>
                <a:pPr/>
                <a:t> </a:t>
              </a:fld>
              <a:endParaRPr lang="en-US"/>
            </a:p>
          </xdr:txBody>
        </xdr:sp>
        <xdr:sp macro="" textlink="'Cover Sheet'!U37:Y37">
          <xdr:nvSpPr>
            <xdr:cNvPr id="128028" name="Text Box 28">
              <a:extLst>
                <a:ext uri="{FF2B5EF4-FFF2-40B4-BE49-F238E27FC236}">
                  <a16:creationId xmlns:a16="http://schemas.microsoft.com/office/drawing/2014/main" id="{00000000-0008-0000-1000-00001CF4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B71A2008-3882-4E6F-94A1-D37F07623DD4}" type="TxLink">
                <a:rPr lang="en-US"/>
                <a:pPr/>
                <a:t> </a:t>
              </a:fld>
              <a:endParaRPr lang="en-US"/>
            </a:p>
          </xdr:txBody>
        </xdr:sp>
      </xdr:grpSp>
    </xdr:grpSp>
    <xdr:clientData/>
  </xdr:twoCellAnchor>
  <mc:AlternateContent xmlns:mc="http://schemas.openxmlformats.org/markup-compatibility/2006">
    <mc:Choice xmlns:a14="http://schemas.microsoft.com/office/drawing/2010/main" Requires="a14">
      <xdr:twoCellAnchor editAs="oneCell">
        <xdr:from>
          <xdr:col>8</xdr:col>
          <xdr:colOff>457200</xdr:colOff>
          <xdr:row>306</xdr:row>
          <xdr:rowOff>28575</xdr:rowOff>
        </xdr:from>
        <xdr:to>
          <xdr:col>12</xdr:col>
          <xdr:colOff>342900</xdr:colOff>
          <xdr:row>307</xdr:row>
          <xdr:rowOff>133350</xdr:rowOff>
        </xdr:to>
        <xdr:sp macro="" textlink="">
          <xdr:nvSpPr>
            <xdr:cNvPr id="155653" name="LLDF_ExtBm" descr="Generate Cap Design Data Sheets" hidden="1">
              <a:extLst>
                <a:ext uri="{63B3BB69-23CF-44E3-9099-C40C66FF867C}">
                  <a14:compatExt spid="_x0000_s155653"/>
                </a:ext>
                <a:ext uri="{FF2B5EF4-FFF2-40B4-BE49-F238E27FC236}">
                  <a16:creationId xmlns:a16="http://schemas.microsoft.com/office/drawing/2014/main" id="{00000000-0008-0000-1000-0000056002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greater of Int and Ext LLDF for Ext bm</a:t>
              </a:r>
            </a:p>
          </xdr:txBody>
        </xdr:sp>
        <xdr:clientData fPrintsWithSheet="0"/>
      </xdr:twoCellAnchor>
    </mc:Choice>
    <mc:Fallback/>
  </mc:AlternateContent>
  <xdr:twoCellAnchor editAs="oneCell">
    <xdr:from>
      <xdr:col>2</xdr:col>
      <xdr:colOff>66675</xdr:colOff>
      <xdr:row>0</xdr:row>
      <xdr:rowOff>66675</xdr:rowOff>
    </xdr:from>
    <xdr:to>
      <xdr:col>4</xdr:col>
      <xdr:colOff>77037</xdr:colOff>
      <xdr:row>5</xdr:row>
      <xdr:rowOff>19050</xdr:rowOff>
    </xdr:to>
    <xdr:pic>
      <xdr:nvPicPr>
        <xdr:cNvPr id="31" name="headerlogo">
          <a:extLst>
            <a:ext uri="{FF2B5EF4-FFF2-40B4-BE49-F238E27FC236}">
              <a16:creationId xmlns:a16="http://schemas.microsoft.com/office/drawing/2014/main" id="{00000000-0008-0000-10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0" y="66675"/>
          <a:ext cx="1210512"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0</xdr:colOff>
      <xdr:row>0</xdr:row>
      <xdr:rowOff>0</xdr:rowOff>
    </xdr:to>
    <xdr:grpSp>
      <xdr:nvGrpSpPr>
        <xdr:cNvPr id="32769" name="Group 1">
          <a:extLst>
            <a:ext uri="{FF2B5EF4-FFF2-40B4-BE49-F238E27FC236}">
              <a16:creationId xmlns:a16="http://schemas.microsoft.com/office/drawing/2014/main" id="{00000000-0008-0000-1100-000001800000}"/>
            </a:ext>
          </a:extLst>
        </xdr:cNvPr>
        <xdr:cNvGrpSpPr>
          <a:grpSpLocks/>
        </xdr:cNvGrpSpPr>
      </xdr:nvGrpSpPr>
      <xdr:grpSpPr bwMode="auto">
        <a:xfrm>
          <a:off x="1657350" y="0"/>
          <a:ext cx="5848350" cy="0"/>
          <a:chOff x="137" y="0"/>
          <a:chExt cx="923" cy="101"/>
        </a:xfrm>
      </xdr:grpSpPr>
      <xdr:pic>
        <xdr:nvPicPr>
          <xdr:cNvPr id="32770" name="Picture 2" descr="onecoCblk300">
            <a:extLst>
              <a:ext uri="{FF2B5EF4-FFF2-40B4-BE49-F238E27FC236}">
                <a16:creationId xmlns:a16="http://schemas.microsoft.com/office/drawing/2014/main" id="{00000000-0008-0000-1100-00000280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32771" name="Group 3">
            <a:extLst>
              <a:ext uri="{FF2B5EF4-FFF2-40B4-BE49-F238E27FC236}">
                <a16:creationId xmlns:a16="http://schemas.microsoft.com/office/drawing/2014/main" id="{00000000-0008-0000-1100-000003800000}"/>
              </a:ext>
            </a:extLst>
          </xdr:cNvPr>
          <xdr:cNvGrpSpPr>
            <a:grpSpLocks/>
          </xdr:cNvGrpSpPr>
        </xdr:nvGrpSpPr>
        <xdr:grpSpPr bwMode="auto">
          <a:xfrm>
            <a:off x="137" y="0"/>
            <a:ext cx="923" cy="101"/>
            <a:chOff x="137" y="0"/>
            <a:chExt cx="675" cy="101"/>
          </a:xfrm>
        </xdr:grpSpPr>
        <xdr:grpSp>
          <xdr:nvGrpSpPr>
            <xdr:cNvPr id="32772" name="Group 4">
              <a:extLst>
                <a:ext uri="{FF2B5EF4-FFF2-40B4-BE49-F238E27FC236}">
                  <a16:creationId xmlns:a16="http://schemas.microsoft.com/office/drawing/2014/main" id="{00000000-0008-0000-1100-000004800000}"/>
                </a:ext>
              </a:extLst>
            </xdr:cNvPr>
            <xdr:cNvGrpSpPr>
              <a:grpSpLocks/>
            </xdr:cNvGrpSpPr>
          </xdr:nvGrpSpPr>
          <xdr:grpSpPr bwMode="auto">
            <a:xfrm>
              <a:off x="304" y="3"/>
              <a:ext cx="433" cy="93"/>
              <a:chOff x="168" y="7"/>
              <a:chExt cx="433" cy="93"/>
            </a:xfrm>
          </xdr:grpSpPr>
          <xdr:sp macro="" textlink="">
            <xdr:nvSpPr>
              <xdr:cNvPr id="32773" name="Text Box 5">
                <a:extLst>
                  <a:ext uri="{FF2B5EF4-FFF2-40B4-BE49-F238E27FC236}">
                    <a16:creationId xmlns:a16="http://schemas.microsoft.com/office/drawing/2014/main" id="{00000000-0008-0000-1100-0000058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2774" name="Text Box 6">
                <a:extLst>
                  <a:ext uri="{FF2B5EF4-FFF2-40B4-BE49-F238E27FC236}">
                    <a16:creationId xmlns:a16="http://schemas.microsoft.com/office/drawing/2014/main" id="{00000000-0008-0000-1100-0000068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2775" name="Text Box 7">
                <a:extLst>
                  <a:ext uri="{FF2B5EF4-FFF2-40B4-BE49-F238E27FC236}">
                    <a16:creationId xmlns:a16="http://schemas.microsoft.com/office/drawing/2014/main" id="{00000000-0008-0000-1100-0000078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2776" name="Text Box 8">
                <a:extLst>
                  <a:ext uri="{FF2B5EF4-FFF2-40B4-BE49-F238E27FC236}">
                    <a16:creationId xmlns:a16="http://schemas.microsoft.com/office/drawing/2014/main" id="{00000000-0008-0000-1100-0000088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2777" name="Text Box 9">
                <a:extLst>
                  <a:ext uri="{FF2B5EF4-FFF2-40B4-BE49-F238E27FC236}">
                    <a16:creationId xmlns:a16="http://schemas.microsoft.com/office/drawing/2014/main" id="{00000000-0008-0000-1100-0000098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2778" name="Text Box 10">
                <a:extLst>
                  <a:ext uri="{FF2B5EF4-FFF2-40B4-BE49-F238E27FC236}">
                    <a16:creationId xmlns:a16="http://schemas.microsoft.com/office/drawing/2014/main" id="{00000000-0008-0000-1100-00000A8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779" name="Text Box 11">
                <a:extLst>
                  <a:ext uri="{FF2B5EF4-FFF2-40B4-BE49-F238E27FC236}">
                    <a16:creationId xmlns:a16="http://schemas.microsoft.com/office/drawing/2014/main" id="{00000000-0008-0000-1100-00000B8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780" name="Text Box 12">
                <a:extLst>
                  <a:ext uri="{FF2B5EF4-FFF2-40B4-BE49-F238E27FC236}">
                    <a16:creationId xmlns:a16="http://schemas.microsoft.com/office/drawing/2014/main" id="{00000000-0008-0000-1100-00000C8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2781" name="Text Box 13">
                <a:extLst>
                  <a:ext uri="{FF2B5EF4-FFF2-40B4-BE49-F238E27FC236}">
                    <a16:creationId xmlns:a16="http://schemas.microsoft.com/office/drawing/2014/main" id="{00000000-0008-0000-1100-00000D8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2782" name="Text Box 14">
                <a:extLst>
                  <a:ext uri="{FF2B5EF4-FFF2-40B4-BE49-F238E27FC236}">
                    <a16:creationId xmlns:a16="http://schemas.microsoft.com/office/drawing/2014/main" id="{00000000-0008-0000-1100-00000E8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2783" name="Text Box 15">
                <a:extLst>
                  <a:ext uri="{FF2B5EF4-FFF2-40B4-BE49-F238E27FC236}">
                    <a16:creationId xmlns:a16="http://schemas.microsoft.com/office/drawing/2014/main" id="{00000000-0008-0000-1100-00000F8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2784" name="Line 16">
              <a:extLst>
                <a:ext uri="{FF2B5EF4-FFF2-40B4-BE49-F238E27FC236}">
                  <a16:creationId xmlns:a16="http://schemas.microsoft.com/office/drawing/2014/main" id="{00000000-0008-0000-1100-00001080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32785" name="Line 17">
              <a:extLst>
                <a:ext uri="{FF2B5EF4-FFF2-40B4-BE49-F238E27FC236}">
                  <a16:creationId xmlns:a16="http://schemas.microsoft.com/office/drawing/2014/main" id="{00000000-0008-0000-1100-00001180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32786" name="Line 18">
              <a:extLst>
                <a:ext uri="{FF2B5EF4-FFF2-40B4-BE49-F238E27FC236}">
                  <a16:creationId xmlns:a16="http://schemas.microsoft.com/office/drawing/2014/main" id="{00000000-0008-0000-1100-00001280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32787" name="Line 19">
              <a:extLst>
                <a:ext uri="{FF2B5EF4-FFF2-40B4-BE49-F238E27FC236}">
                  <a16:creationId xmlns:a16="http://schemas.microsoft.com/office/drawing/2014/main" id="{00000000-0008-0000-1100-00001380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32788" name="Text Box 20">
              <a:extLst>
                <a:ext uri="{FF2B5EF4-FFF2-40B4-BE49-F238E27FC236}">
                  <a16:creationId xmlns:a16="http://schemas.microsoft.com/office/drawing/2014/main" id="{00000000-0008-0000-1100-00001480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6EFFB619-93FE-4936-869C-EF34D9B0FC70}"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32789" name="Text Box 21">
              <a:extLst>
                <a:ext uri="{FF2B5EF4-FFF2-40B4-BE49-F238E27FC236}">
                  <a16:creationId xmlns:a16="http://schemas.microsoft.com/office/drawing/2014/main" id="{00000000-0008-0000-1100-00001580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6E3A0DF5-278B-4A56-9B77-0C6004780920}"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32790" name="Text Box 22">
              <a:extLst>
                <a:ext uri="{FF2B5EF4-FFF2-40B4-BE49-F238E27FC236}">
                  <a16:creationId xmlns:a16="http://schemas.microsoft.com/office/drawing/2014/main" id="{00000000-0008-0000-1100-00001680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32791" name="Text Box 23">
              <a:extLst>
                <a:ext uri="{FF2B5EF4-FFF2-40B4-BE49-F238E27FC236}">
                  <a16:creationId xmlns:a16="http://schemas.microsoft.com/office/drawing/2014/main" id="{00000000-0008-0000-1100-00001780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C086C61-7FD7-417E-8AFD-88A071B59A67}"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32792" name="Text Box 24">
              <a:extLst>
                <a:ext uri="{FF2B5EF4-FFF2-40B4-BE49-F238E27FC236}">
                  <a16:creationId xmlns:a16="http://schemas.microsoft.com/office/drawing/2014/main" id="{00000000-0008-0000-1100-00001880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7AFE19F8-BB6E-4D7D-BCE9-195A6C1F51A0}"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32793" name="Text Box 25">
              <a:extLst>
                <a:ext uri="{FF2B5EF4-FFF2-40B4-BE49-F238E27FC236}">
                  <a16:creationId xmlns:a16="http://schemas.microsoft.com/office/drawing/2014/main" id="{00000000-0008-0000-1100-00001980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3D94BA84-DC60-4674-9D8B-2823F5584B53}"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32794" name="Text Box 26">
              <a:extLst>
                <a:ext uri="{FF2B5EF4-FFF2-40B4-BE49-F238E27FC236}">
                  <a16:creationId xmlns:a16="http://schemas.microsoft.com/office/drawing/2014/main" id="{00000000-0008-0000-1100-00001A80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0CFA9C6E-2AB8-436D-B7E8-52B6B58B2FA5}" type="TxLink">
                <a:rPr lang="en-US"/>
                <a:pPr/>
                <a:t> </a:t>
              </a:fld>
              <a:endParaRPr lang="en-US"/>
            </a:p>
          </xdr:txBody>
        </xdr:sp>
        <xdr:sp macro="" textlink="'Cover Sheet'!U37:Y37">
          <xdr:nvSpPr>
            <xdr:cNvPr id="32795" name="Text Box 27">
              <a:extLst>
                <a:ext uri="{FF2B5EF4-FFF2-40B4-BE49-F238E27FC236}">
                  <a16:creationId xmlns:a16="http://schemas.microsoft.com/office/drawing/2014/main" id="{00000000-0008-0000-1100-00001B80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5C9E6BFE-A3C8-4D35-9E53-2CF6979A97F4}" type="TxLink">
                <a:rPr lang="en-US"/>
                <a:pPr/>
                <a:t> </a:t>
              </a:fld>
              <a:endParaRPr lang="en-US"/>
            </a:p>
          </xdr:txBody>
        </xdr:sp>
      </xdr:grpSp>
    </xdr:grpSp>
    <xdr:clientData/>
  </xdr:twoCellAnchor>
  <xdr:twoCellAnchor editAs="oneCell">
    <xdr:from>
      <xdr:col>1</xdr:col>
      <xdr:colOff>28591</xdr:colOff>
      <xdr:row>0</xdr:row>
      <xdr:rowOff>0</xdr:rowOff>
    </xdr:from>
    <xdr:to>
      <xdr:col>13</xdr:col>
      <xdr:colOff>66674</xdr:colOff>
      <xdr:row>6</xdr:row>
      <xdr:rowOff>0</xdr:rowOff>
    </xdr:to>
    <xdr:grpSp>
      <xdr:nvGrpSpPr>
        <xdr:cNvPr id="32796" name="Group 28">
          <a:extLst>
            <a:ext uri="{FF2B5EF4-FFF2-40B4-BE49-F238E27FC236}">
              <a16:creationId xmlns:a16="http://schemas.microsoft.com/office/drawing/2014/main" id="{00000000-0008-0000-1100-00001C800000}"/>
            </a:ext>
          </a:extLst>
        </xdr:cNvPr>
        <xdr:cNvGrpSpPr>
          <a:grpSpLocks/>
        </xdr:cNvGrpSpPr>
      </xdr:nvGrpSpPr>
      <xdr:grpSpPr bwMode="auto">
        <a:xfrm>
          <a:off x="1676416" y="0"/>
          <a:ext cx="6429358" cy="971550"/>
          <a:chOff x="65" y="4"/>
          <a:chExt cx="675" cy="101"/>
        </a:xfrm>
      </xdr:grpSpPr>
      <xdr:grpSp>
        <xdr:nvGrpSpPr>
          <xdr:cNvPr id="32797" name="Group 29">
            <a:extLst>
              <a:ext uri="{FF2B5EF4-FFF2-40B4-BE49-F238E27FC236}">
                <a16:creationId xmlns:a16="http://schemas.microsoft.com/office/drawing/2014/main" id="{00000000-0008-0000-1100-00001D800000}"/>
              </a:ext>
            </a:extLst>
          </xdr:cNvPr>
          <xdr:cNvGrpSpPr>
            <a:grpSpLocks/>
          </xdr:cNvGrpSpPr>
        </xdr:nvGrpSpPr>
        <xdr:grpSpPr bwMode="auto">
          <a:xfrm>
            <a:off x="65" y="7"/>
            <a:ext cx="675" cy="98"/>
            <a:chOff x="65" y="7"/>
            <a:chExt cx="675" cy="98"/>
          </a:xfrm>
        </xdr:grpSpPr>
        <xdr:grpSp>
          <xdr:nvGrpSpPr>
            <xdr:cNvPr id="32799" name="Group 31">
              <a:extLst>
                <a:ext uri="{FF2B5EF4-FFF2-40B4-BE49-F238E27FC236}">
                  <a16:creationId xmlns:a16="http://schemas.microsoft.com/office/drawing/2014/main" id="{00000000-0008-0000-1100-00001F800000}"/>
                </a:ext>
              </a:extLst>
            </xdr:cNvPr>
            <xdr:cNvGrpSpPr>
              <a:grpSpLocks/>
            </xdr:cNvGrpSpPr>
          </xdr:nvGrpSpPr>
          <xdr:grpSpPr bwMode="auto">
            <a:xfrm>
              <a:off x="232" y="7"/>
              <a:ext cx="433" cy="93"/>
              <a:chOff x="168" y="7"/>
              <a:chExt cx="433" cy="93"/>
            </a:xfrm>
          </xdr:grpSpPr>
          <xdr:sp macro="" textlink="">
            <xdr:nvSpPr>
              <xdr:cNvPr id="32800" name="Text Box 32">
                <a:extLst>
                  <a:ext uri="{FF2B5EF4-FFF2-40B4-BE49-F238E27FC236}">
                    <a16:creationId xmlns:a16="http://schemas.microsoft.com/office/drawing/2014/main" id="{00000000-0008-0000-1100-0000208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2801" name="Text Box 33">
                <a:extLst>
                  <a:ext uri="{FF2B5EF4-FFF2-40B4-BE49-F238E27FC236}">
                    <a16:creationId xmlns:a16="http://schemas.microsoft.com/office/drawing/2014/main" id="{00000000-0008-0000-1100-0000218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2802" name="Text Box 34">
                <a:extLst>
                  <a:ext uri="{FF2B5EF4-FFF2-40B4-BE49-F238E27FC236}">
                    <a16:creationId xmlns:a16="http://schemas.microsoft.com/office/drawing/2014/main" id="{00000000-0008-0000-1100-0000228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2803" name="Text Box 35">
                <a:extLst>
                  <a:ext uri="{FF2B5EF4-FFF2-40B4-BE49-F238E27FC236}">
                    <a16:creationId xmlns:a16="http://schemas.microsoft.com/office/drawing/2014/main" id="{00000000-0008-0000-1100-0000238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2804" name="Text Box 36">
                <a:extLst>
                  <a:ext uri="{FF2B5EF4-FFF2-40B4-BE49-F238E27FC236}">
                    <a16:creationId xmlns:a16="http://schemas.microsoft.com/office/drawing/2014/main" id="{00000000-0008-0000-1100-0000248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2805" name="Text Box 37">
                <a:extLst>
                  <a:ext uri="{FF2B5EF4-FFF2-40B4-BE49-F238E27FC236}">
                    <a16:creationId xmlns:a16="http://schemas.microsoft.com/office/drawing/2014/main" id="{00000000-0008-0000-1100-0000258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806" name="Text Box 38">
                <a:extLst>
                  <a:ext uri="{FF2B5EF4-FFF2-40B4-BE49-F238E27FC236}">
                    <a16:creationId xmlns:a16="http://schemas.microsoft.com/office/drawing/2014/main" id="{00000000-0008-0000-1100-0000268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807" name="Text Box 39">
                <a:extLst>
                  <a:ext uri="{FF2B5EF4-FFF2-40B4-BE49-F238E27FC236}">
                    <a16:creationId xmlns:a16="http://schemas.microsoft.com/office/drawing/2014/main" id="{00000000-0008-0000-1100-0000278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2808" name="Text Box 40">
                <a:extLst>
                  <a:ext uri="{FF2B5EF4-FFF2-40B4-BE49-F238E27FC236}">
                    <a16:creationId xmlns:a16="http://schemas.microsoft.com/office/drawing/2014/main" id="{00000000-0008-0000-1100-0000288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2809" name="Text Box 41">
                <a:extLst>
                  <a:ext uri="{FF2B5EF4-FFF2-40B4-BE49-F238E27FC236}">
                    <a16:creationId xmlns:a16="http://schemas.microsoft.com/office/drawing/2014/main" id="{00000000-0008-0000-1100-0000298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2810" name="Text Box 42">
                <a:extLst>
                  <a:ext uri="{FF2B5EF4-FFF2-40B4-BE49-F238E27FC236}">
                    <a16:creationId xmlns:a16="http://schemas.microsoft.com/office/drawing/2014/main" id="{00000000-0008-0000-1100-00002A8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2811" name="Line 43">
              <a:extLst>
                <a:ext uri="{FF2B5EF4-FFF2-40B4-BE49-F238E27FC236}">
                  <a16:creationId xmlns:a16="http://schemas.microsoft.com/office/drawing/2014/main" id="{00000000-0008-0000-1100-00002B8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2812" name="Line 44">
              <a:extLst>
                <a:ext uri="{FF2B5EF4-FFF2-40B4-BE49-F238E27FC236}">
                  <a16:creationId xmlns:a16="http://schemas.microsoft.com/office/drawing/2014/main" id="{00000000-0008-0000-1100-00002C8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2813" name="Line 45">
              <a:extLst>
                <a:ext uri="{FF2B5EF4-FFF2-40B4-BE49-F238E27FC236}">
                  <a16:creationId xmlns:a16="http://schemas.microsoft.com/office/drawing/2014/main" id="{00000000-0008-0000-1100-00002D8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2814" name="Line 46">
              <a:extLst>
                <a:ext uri="{FF2B5EF4-FFF2-40B4-BE49-F238E27FC236}">
                  <a16:creationId xmlns:a16="http://schemas.microsoft.com/office/drawing/2014/main" id="{00000000-0008-0000-1100-00002E8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2815" name="Group 47">
            <a:extLst>
              <a:ext uri="{FF2B5EF4-FFF2-40B4-BE49-F238E27FC236}">
                <a16:creationId xmlns:a16="http://schemas.microsoft.com/office/drawing/2014/main" id="{00000000-0008-0000-1100-00002F800000}"/>
              </a:ext>
            </a:extLst>
          </xdr:cNvPr>
          <xdr:cNvGrpSpPr>
            <a:grpSpLocks/>
          </xdr:cNvGrpSpPr>
        </xdr:nvGrpSpPr>
        <xdr:grpSpPr bwMode="auto">
          <a:xfrm>
            <a:off x="272" y="4"/>
            <a:ext cx="457" cy="98"/>
            <a:chOff x="208" y="4"/>
            <a:chExt cx="457" cy="98"/>
          </a:xfrm>
        </xdr:grpSpPr>
        <xdr:sp macro="" textlink="'Cover Sheet'!E5:U5">
          <xdr:nvSpPr>
            <xdr:cNvPr id="32816" name="Text Box 48">
              <a:extLst>
                <a:ext uri="{FF2B5EF4-FFF2-40B4-BE49-F238E27FC236}">
                  <a16:creationId xmlns:a16="http://schemas.microsoft.com/office/drawing/2014/main" id="{00000000-0008-0000-1100-0000308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BD16F80-82E3-440A-B91B-E567AFDB5A1D}"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32817" name="Text Box 49">
              <a:extLst>
                <a:ext uri="{FF2B5EF4-FFF2-40B4-BE49-F238E27FC236}">
                  <a16:creationId xmlns:a16="http://schemas.microsoft.com/office/drawing/2014/main" id="{00000000-0008-0000-1100-0000318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49CE77B0-9F23-4EF2-8B9C-DD9BC0C0A428}"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32818" name="Text Box 50">
              <a:extLst>
                <a:ext uri="{FF2B5EF4-FFF2-40B4-BE49-F238E27FC236}">
                  <a16:creationId xmlns:a16="http://schemas.microsoft.com/office/drawing/2014/main" id="{00000000-0008-0000-1100-0000328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Shear Reinforcing</a:t>
              </a:r>
            </a:p>
          </xdr:txBody>
        </xdr:sp>
        <xdr:sp macro="" textlink="'Cover Sheet'!E4:U4">
          <xdr:nvSpPr>
            <xdr:cNvPr id="32819" name="Text Box 51">
              <a:extLst>
                <a:ext uri="{FF2B5EF4-FFF2-40B4-BE49-F238E27FC236}">
                  <a16:creationId xmlns:a16="http://schemas.microsoft.com/office/drawing/2014/main" id="{00000000-0008-0000-1100-0000338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9793B27-72DC-405E-8B88-A8F1F57986EE}"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32820" name="Text Box 52">
              <a:extLst>
                <a:ext uri="{FF2B5EF4-FFF2-40B4-BE49-F238E27FC236}">
                  <a16:creationId xmlns:a16="http://schemas.microsoft.com/office/drawing/2014/main" id="{00000000-0008-0000-1100-0000348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A958696-32D5-4599-98A8-456B1BC5791F}"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32821" name="Text Box 53">
              <a:extLst>
                <a:ext uri="{FF2B5EF4-FFF2-40B4-BE49-F238E27FC236}">
                  <a16:creationId xmlns:a16="http://schemas.microsoft.com/office/drawing/2014/main" id="{00000000-0008-0000-1100-0000358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3C0752E4-F362-4E4B-92C2-AD809E3D20A9}"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32822" name="Text Box 54">
              <a:extLst>
                <a:ext uri="{FF2B5EF4-FFF2-40B4-BE49-F238E27FC236}">
                  <a16:creationId xmlns:a16="http://schemas.microsoft.com/office/drawing/2014/main" id="{00000000-0008-0000-1100-0000368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362ED825-2BD3-4A69-8B60-88F471B2A911}" type="TxLink">
                <a:rPr lang="en-US"/>
                <a:pPr/>
                <a:t> </a:t>
              </a:fld>
              <a:endParaRPr lang="en-US"/>
            </a:p>
          </xdr:txBody>
        </xdr:sp>
        <xdr:sp macro="" textlink="'Cover Sheet'!U37:Y37">
          <xdr:nvSpPr>
            <xdr:cNvPr id="32823" name="Text Box 55">
              <a:extLst>
                <a:ext uri="{FF2B5EF4-FFF2-40B4-BE49-F238E27FC236}">
                  <a16:creationId xmlns:a16="http://schemas.microsoft.com/office/drawing/2014/main" id="{00000000-0008-0000-1100-0000378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C4FBCA3-3507-43D0-8E12-304C43ACB2CB}" type="TxLink">
                <a:rPr lang="en-US"/>
                <a:pPr/>
                <a:t> </a:t>
              </a:fld>
              <a:endParaRPr lang="en-US"/>
            </a:p>
          </xdr:txBody>
        </xdr:sp>
      </xdr:grpSp>
    </xdr:grpSp>
    <xdr:clientData/>
  </xdr:twoCellAnchor>
  <xdr:twoCellAnchor editAs="absolute">
    <xdr:from>
      <xdr:col>0</xdr:col>
      <xdr:colOff>180975</xdr:colOff>
      <xdr:row>7</xdr:row>
      <xdr:rowOff>238125</xdr:rowOff>
    </xdr:from>
    <xdr:to>
      <xdr:col>0</xdr:col>
      <xdr:colOff>1447800</xdr:colOff>
      <xdr:row>11</xdr:row>
      <xdr:rowOff>180975</xdr:rowOff>
    </xdr:to>
    <xdr:sp macro="[0]!VuMuCombinations" textlink="">
      <xdr:nvSpPr>
        <xdr:cNvPr id="32824" name="Text Box 56">
          <a:extLst>
            <a:ext uri="{FF2B5EF4-FFF2-40B4-BE49-F238E27FC236}">
              <a16:creationId xmlns:a16="http://schemas.microsoft.com/office/drawing/2014/main" id="{00000000-0008-0000-1100-000038800000}"/>
            </a:ext>
          </a:extLst>
        </xdr:cNvPr>
        <xdr:cNvSpPr txBox="1">
          <a:spLocks noChangeArrowheads="1"/>
        </xdr:cNvSpPr>
      </xdr:nvSpPr>
      <xdr:spPr bwMode="auto">
        <a:xfrm>
          <a:off x="180975" y="1371600"/>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Run All Vu, Mu combinations.    (Solves for theta)</a:t>
          </a:r>
        </a:p>
      </xdr:txBody>
    </xdr:sp>
    <xdr:clientData fPrintsWithSheet="0"/>
  </xdr:twoCellAnchor>
  <xdr:twoCellAnchor editAs="absolute">
    <xdr:from>
      <xdr:col>0</xdr:col>
      <xdr:colOff>180975</xdr:colOff>
      <xdr:row>45</xdr:row>
      <xdr:rowOff>19050</xdr:rowOff>
    </xdr:from>
    <xdr:to>
      <xdr:col>0</xdr:col>
      <xdr:colOff>1447800</xdr:colOff>
      <xdr:row>48</xdr:row>
      <xdr:rowOff>209550</xdr:rowOff>
    </xdr:to>
    <xdr:sp macro="[0]!spacingchanges" textlink="">
      <xdr:nvSpPr>
        <xdr:cNvPr id="32869" name="Text Box 101">
          <a:extLst>
            <a:ext uri="{FF2B5EF4-FFF2-40B4-BE49-F238E27FC236}">
              <a16:creationId xmlns:a16="http://schemas.microsoft.com/office/drawing/2014/main" id="{00000000-0008-0000-1100-000065800000}"/>
            </a:ext>
          </a:extLst>
        </xdr:cNvPr>
        <xdr:cNvSpPr txBox="1">
          <a:spLocks noChangeArrowheads="1"/>
        </xdr:cNvSpPr>
      </xdr:nvSpPr>
      <xdr:spPr bwMode="auto">
        <a:xfrm>
          <a:off x="180975" y="8067675"/>
          <a:ext cx="1266825" cy="6762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Show only changes in Design Spacing</a:t>
          </a:r>
        </a:p>
      </xdr:txBody>
    </xdr:sp>
    <xdr:clientData fPrintsWithSheet="0"/>
  </xdr:twoCellAnchor>
  <xdr:twoCellAnchor editAs="absolute">
    <xdr:from>
      <xdr:col>0</xdr:col>
      <xdr:colOff>180975</xdr:colOff>
      <xdr:row>48</xdr:row>
      <xdr:rowOff>257175</xdr:rowOff>
    </xdr:from>
    <xdr:to>
      <xdr:col>0</xdr:col>
      <xdr:colOff>1447800</xdr:colOff>
      <xdr:row>52</xdr:row>
      <xdr:rowOff>0</xdr:rowOff>
    </xdr:to>
    <xdr:sp macro="[0]!showallstirrupspacing" textlink="">
      <xdr:nvSpPr>
        <xdr:cNvPr id="32870" name="Text Box 102">
          <a:extLst>
            <a:ext uri="{FF2B5EF4-FFF2-40B4-BE49-F238E27FC236}">
              <a16:creationId xmlns:a16="http://schemas.microsoft.com/office/drawing/2014/main" id="{00000000-0008-0000-1100-000066800000}"/>
            </a:ext>
          </a:extLst>
        </xdr:cNvPr>
        <xdr:cNvSpPr txBox="1">
          <a:spLocks noChangeArrowheads="1"/>
        </xdr:cNvSpPr>
      </xdr:nvSpPr>
      <xdr:spPr bwMode="auto">
        <a:xfrm>
          <a:off x="180975" y="8791575"/>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Show all Locations </a:t>
          </a:r>
        </a:p>
      </xdr:txBody>
    </xdr:sp>
    <xdr:clientData fPrintsWithSheet="0"/>
  </xdr:twoCellAnchor>
  <xdr:twoCellAnchor editAs="oneCell">
    <xdr:from>
      <xdr:col>13</xdr:col>
      <xdr:colOff>276225</xdr:colOff>
      <xdr:row>30</xdr:row>
      <xdr:rowOff>133350</xdr:rowOff>
    </xdr:from>
    <xdr:to>
      <xdr:col>15</xdr:col>
      <xdr:colOff>542925</xdr:colOff>
      <xdr:row>35</xdr:row>
      <xdr:rowOff>47625</xdr:rowOff>
    </xdr:to>
    <xdr:grpSp>
      <xdr:nvGrpSpPr>
        <xdr:cNvPr id="33108" name="Group 340">
          <a:extLst>
            <a:ext uri="{FF2B5EF4-FFF2-40B4-BE49-F238E27FC236}">
              <a16:creationId xmlns:a16="http://schemas.microsoft.com/office/drawing/2014/main" id="{00000000-0008-0000-1100-000054810000}"/>
            </a:ext>
          </a:extLst>
        </xdr:cNvPr>
        <xdr:cNvGrpSpPr>
          <a:grpSpLocks/>
        </xdr:cNvGrpSpPr>
      </xdr:nvGrpSpPr>
      <xdr:grpSpPr bwMode="auto">
        <a:xfrm>
          <a:off x="8315325" y="5676900"/>
          <a:ext cx="1485900" cy="762000"/>
          <a:chOff x="864" y="472"/>
          <a:chExt cx="156" cy="80"/>
        </a:xfrm>
      </xdr:grpSpPr>
      <xdr:sp macro="" textlink="">
        <xdr:nvSpPr>
          <xdr:cNvPr id="33106" name="Text Box 338">
            <a:extLst>
              <a:ext uri="{FF2B5EF4-FFF2-40B4-BE49-F238E27FC236}">
                <a16:creationId xmlns:a16="http://schemas.microsoft.com/office/drawing/2014/main" id="{00000000-0008-0000-1100-000052810000}"/>
              </a:ext>
            </a:extLst>
          </xdr:cNvPr>
          <xdr:cNvSpPr txBox="1">
            <a:spLocks noChangeArrowheads="1"/>
          </xdr:cNvSpPr>
        </xdr:nvSpPr>
        <xdr:spPr bwMode="auto">
          <a:xfrm>
            <a:off x="864" y="472"/>
            <a:ext cx="156" cy="80"/>
          </a:xfrm>
          <a:prstGeom prst="rect">
            <a:avLst/>
          </a:prstGeom>
          <a:solidFill>
            <a:srgbClr val="FFCC99"/>
          </a:solidFill>
          <a:ln w="9525">
            <a:solidFill>
              <a:srgbClr val="000000"/>
            </a:solidFill>
            <a:miter lim="800000"/>
            <a:headEnd/>
            <a:tailEnd/>
          </a:ln>
        </xdr:spPr>
        <xdr:txBody>
          <a:bodyPr vertOverflow="clip" wrap="square" lIns="27432" tIns="22860" rIns="27432" bIns="0" anchor="t" upright="1"/>
          <a:lstStyle/>
          <a:p>
            <a:pPr algn="ctr" rtl="1">
              <a:defRPr sz="1000"/>
            </a:pPr>
            <a:r>
              <a:rPr lang="en-US" sz="1000" b="1" i="0" strike="noStrike">
                <a:solidFill>
                  <a:srgbClr val="000000"/>
                </a:solidFill>
                <a:latin typeface="Arial"/>
                <a:cs typeface="Arial"/>
              </a:rPr>
              <a:t>Stirrup Arrangement</a:t>
            </a:r>
          </a:p>
        </xdr:txBody>
      </xdr:sp>
    </xdr:grpSp>
    <xdr:clientData fPrintsWithSheet="0"/>
  </xdr:twoCellAnchor>
  <xdr:twoCellAnchor editAs="oneCell">
    <xdr:from>
      <xdr:col>1</xdr:col>
      <xdr:colOff>24848</xdr:colOff>
      <xdr:row>0</xdr:row>
      <xdr:rowOff>16565</xdr:rowOff>
    </xdr:from>
    <xdr:to>
      <xdr:col>3</xdr:col>
      <xdr:colOff>415382</xdr:colOff>
      <xdr:row>4</xdr:row>
      <xdr:rowOff>115956</xdr:rowOff>
    </xdr:to>
    <xdr:pic>
      <xdr:nvPicPr>
        <xdr:cNvPr id="63" name="headerlogo">
          <a:extLst>
            <a:ext uri="{FF2B5EF4-FFF2-40B4-BE49-F238E27FC236}">
              <a16:creationId xmlns:a16="http://schemas.microsoft.com/office/drawing/2014/main" id="{00000000-0008-0000-1100-00003F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3087" y="1656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57150</xdr:colOff>
          <xdr:row>32</xdr:row>
          <xdr:rowOff>76200</xdr:rowOff>
        </xdr:from>
        <xdr:to>
          <xdr:col>15</xdr:col>
          <xdr:colOff>142875</xdr:colOff>
          <xdr:row>33</xdr:row>
          <xdr:rowOff>114300</xdr:rowOff>
        </xdr:to>
        <xdr:sp macro="" textlink="">
          <xdr:nvSpPr>
            <xdr:cNvPr id="33107" name="Drop Down 339" hidden="1">
              <a:extLst>
                <a:ext uri="{63B3BB69-23CF-44E3-9099-C40C66FF867C}">
                  <a14:compatExt spid="_x0000_s33107"/>
                </a:ext>
                <a:ext uri="{FF2B5EF4-FFF2-40B4-BE49-F238E27FC236}">
                  <a16:creationId xmlns:a16="http://schemas.microsoft.com/office/drawing/2014/main" id="{00000000-0008-0000-1100-0000538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0</xdr:colOff>
      <xdr:row>0</xdr:row>
      <xdr:rowOff>0</xdr:rowOff>
    </xdr:to>
    <xdr:grpSp>
      <xdr:nvGrpSpPr>
        <xdr:cNvPr id="48129" name="Group 1">
          <a:extLst>
            <a:ext uri="{FF2B5EF4-FFF2-40B4-BE49-F238E27FC236}">
              <a16:creationId xmlns:a16="http://schemas.microsoft.com/office/drawing/2014/main" id="{00000000-0008-0000-1200-000001BC0000}"/>
            </a:ext>
          </a:extLst>
        </xdr:cNvPr>
        <xdr:cNvGrpSpPr>
          <a:grpSpLocks/>
        </xdr:cNvGrpSpPr>
      </xdr:nvGrpSpPr>
      <xdr:grpSpPr bwMode="auto">
        <a:xfrm>
          <a:off x="1657350" y="0"/>
          <a:ext cx="6391275" cy="0"/>
          <a:chOff x="137" y="0"/>
          <a:chExt cx="923" cy="101"/>
        </a:xfrm>
      </xdr:grpSpPr>
      <xdr:pic>
        <xdr:nvPicPr>
          <xdr:cNvPr id="48130" name="Picture 2" descr="onecoCblk300">
            <a:extLst>
              <a:ext uri="{FF2B5EF4-FFF2-40B4-BE49-F238E27FC236}">
                <a16:creationId xmlns:a16="http://schemas.microsoft.com/office/drawing/2014/main" id="{00000000-0008-0000-1200-000002BC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48131" name="Group 3">
            <a:extLst>
              <a:ext uri="{FF2B5EF4-FFF2-40B4-BE49-F238E27FC236}">
                <a16:creationId xmlns:a16="http://schemas.microsoft.com/office/drawing/2014/main" id="{00000000-0008-0000-1200-000003BC0000}"/>
              </a:ext>
            </a:extLst>
          </xdr:cNvPr>
          <xdr:cNvGrpSpPr>
            <a:grpSpLocks/>
          </xdr:cNvGrpSpPr>
        </xdr:nvGrpSpPr>
        <xdr:grpSpPr bwMode="auto">
          <a:xfrm>
            <a:off x="137" y="0"/>
            <a:ext cx="923" cy="101"/>
            <a:chOff x="137" y="0"/>
            <a:chExt cx="675" cy="101"/>
          </a:xfrm>
        </xdr:grpSpPr>
        <xdr:grpSp>
          <xdr:nvGrpSpPr>
            <xdr:cNvPr id="48132" name="Group 4">
              <a:extLst>
                <a:ext uri="{FF2B5EF4-FFF2-40B4-BE49-F238E27FC236}">
                  <a16:creationId xmlns:a16="http://schemas.microsoft.com/office/drawing/2014/main" id="{00000000-0008-0000-1200-000004BC0000}"/>
                </a:ext>
              </a:extLst>
            </xdr:cNvPr>
            <xdr:cNvGrpSpPr>
              <a:grpSpLocks/>
            </xdr:cNvGrpSpPr>
          </xdr:nvGrpSpPr>
          <xdr:grpSpPr bwMode="auto">
            <a:xfrm>
              <a:off x="304" y="3"/>
              <a:ext cx="433" cy="93"/>
              <a:chOff x="168" y="7"/>
              <a:chExt cx="433" cy="93"/>
            </a:xfrm>
          </xdr:grpSpPr>
          <xdr:sp macro="" textlink="">
            <xdr:nvSpPr>
              <xdr:cNvPr id="48133" name="Text Box 5">
                <a:extLst>
                  <a:ext uri="{FF2B5EF4-FFF2-40B4-BE49-F238E27FC236}">
                    <a16:creationId xmlns:a16="http://schemas.microsoft.com/office/drawing/2014/main" id="{00000000-0008-0000-1200-000005B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8134" name="Text Box 6">
                <a:extLst>
                  <a:ext uri="{FF2B5EF4-FFF2-40B4-BE49-F238E27FC236}">
                    <a16:creationId xmlns:a16="http://schemas.microsoft.com/office/drawing/2014/main" id="{00000000-0008-0000-1200-000006B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8135" name="Text Box 7">
                <a:extLst>
                  <a:ext uri="{FF2B5EF4-FFF2-40B4-BE49-F238E27FC236}">
                    <a16:creationId xmlns:a16="http://schemas.microsoft.com/office/drawing/2014/main" id="{00000000-0008-0000-1200-000007B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8136" name="Text Box 8">
                <a:extLst>
                  <a:ext uri="{FF2B5EF4-FFF2-40B4-BE49-F238E27FC236}">
                    <a16:creationId xmlns:a16="http://schemas.microsoft.com/office/drawing/2014/main" id="{00000000-0008-0000-1200-000008B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8137" name="Text Box 9">
                <a:extLst>
                  <a:ext uri="{FF2B5EF4-FFF2-40B4-BE49-F238E27FC236}">
                    <a16:creationId xmlns:a16="http://schemas.microsoft.com/office/drawing/2014/main" id="{00000000-0008-0000-1200-000009B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8138" name="Text Box 10">
                <a:extLst>
                  <a:ext uri="{FF2B5EF4-FFF2-40B4-BE49-F238E27FC236}">
                    <a16:creationId xmlns:a16="http://schemas.microsoft.com/office/drawing/2014/main" id="{00000000-0008-0000-1200-00000AB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39" name="Text Box 11">
                <a:extLst>
                  <a:ext uri="{FF2B5EF4-FFF2-40B4-BE49-F238E27FC236}">
                    <a16:creationId xmlns:a16="http://schemas.microsoft.com/office/drawing/2014/main" id="{00000000-0008-0000-1200-00000BB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40" name="Text Box 12">
                <a:extLst>
                  <a:ext uri="{FF2B5EF4-FFF2-40B4-BE49-F238E27FC236}">
                    <a16:creationId xmlns:a16="http://schemas.microsoft.com/office/drawing/2014/main" id="{00000000-0008-0000-1200-00000CB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8141" name="Text Box 13">
                <a:extLst>
                  <a:ext uri="{FF2B5EF4-FFF2-40B4-BE49-F238E27FC236}">
                    <a16:creationId xmlns:a16="http://schemas.microsoft.com/office/drawing/2014/main" id="{00000000-0008-0000-1200-00000DB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8142" name="Text Box 14">
                <a:extLst>
                  <a:ext uri="{FF2B5EF4-FFF2-40B4-BE49-F238E27FC236}">
                    <a16:creationId xmlns:a16="http://schemas.microsoft.com/office/drawing/2014/main" id="{00000000-0008-0000-1200-00000EB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8143" name="Text Box 15">
                <a:extLst>
                  <a:ext uri="{FF2B5EF4-FFF2-40B4-BE49-F238E27FC236}">
                    <a16:creationId xmlns:a16="http://schemas.microsoft.com/office/drawing/2014/main" id="{00000000-0008-0000-1200-00000FB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8144" name="Line 16">
              <a:extLst>
                <a:ext uri="{FF2B5EF4-FFF2-40B4-BE49-F238E27FC236}">
                  <a16:creationId xmlns:a16="http://schemas.microsoft.com/office/drawing/2014/main" id="{00000000-0008-0000-1200-000010BC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48145" name="Line 17">
              <a:extLst>
                <a:ext uri="{FF2B5EF4-FFF2-40B4-BE49-F238E27FC236}">
                  <a16:creationId xmlns:a16="http://schemas.microsoft.com/office/drawing/2014/main" id="{00000000-0008-0000-1200-000011BC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48146" name="Line 18">
              <a:extLst>
                <a:ext uri="{FF2B5EF4-FFF2-40B4-BE49-F238E27FC236}">
                  <a16:creationId xmlns:a16="http://schemas.microsoft.com/office/drawing/2014/main" id="{00000000-0008-0000-1200-000012BC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48147" name="Line 19">
              <a:extLst>
                <a:ext uri="{FF2B5EF4-FFF2-40B4-BE49-F238E27FC236}">
                  <a16:creationId xmlns:a16="http://schemas.microsoft.com/office/drawing/2014/main" id="{00000000-0008-0000-1200-000013BC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48148" name="Text Box 20">
              <a:extLst>
                <a:ext uri="{FF2B5EF4-FFF2-40B4-BE49-F238E27FC236}">
                  <a16:creationId xmlns:a16="http://schemas.microsoft.com/office/drawing/2014/main" id="{00000000-0008-0000-1200-000014BC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2B26A34-2D16-4390-8097-A4970CA3D599}"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48149" name="Text Box 21">
              <a:extLst>
                <a:ext uri="{FF2B5EF4-FFF2-40B4-BE49-F238E27FC236}">
                  <a16:creationId xmlns:a16="http://schemas.microsoft.com/office/drawing/2014/main" id="{00000000-0008-0000-1200-000015BC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5D7C01F5-7847-4D5F-8994-E73251B4C788}"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48150" name="Text Box 22">
              <a:extLst>
                <a:ext uri="{FF2B5EF4-FFF2-40B4-BE49-F238E27FC236}">
                  <a16:creationId xmlns:a16="http://schemas.microsoft.com/office/drawing/2014/main" id="{00000000-0008-0000-1200-000016BC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48151" name="Text Box 23">
              <a:extLst>
                <a:ext uri="{FF2B5EF4-FFF2-40B4-BE49-F238E27FC236}">
                  <a16:creationId xmlns:a16="http://schemas.microsoft.com/office/drawing/2014/main" id="{00000000-0008-0000-1200-000017BC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F5D3577-657C-4ADC-9097-7EBB45BA2AAF}"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48152" name="Text Box 24">
              <a:extLst>
                <a:ext uri="{FF2B5EF4-FFF2-40B4-BE49-F238E27FC236}">
                  <a16:creationId xmlns:a16="http://schemas.microsoft.com/office/drawing/2014/main" id="{00000000-0008-0000-1200-000018BC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05CB34DA-1FC2-40E5-9AD5-6F2D6D4F555A}"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48153" name="Text Box 25">
              <a:extLst>
                <a:ext uri="{FF2B5EF4-FFF2-40B4-BE49-F238E27FC236}">
                  <a16:creationId xmlns:a16="http://schemas.microsoft.com/office/drawing/2014/main" id="{00000000-0008-0000-1200-000019BC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731CE836-4B2E-498C-9EE0-58BDE4B5A35D}"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48154" name="Text Box 26">
              <a:extLst>
                <a:ext uri="{FF2B5EF4-FFF2-40B4-BE49-F238E27FC236}">
                  <a16:creationId xmlns:a16="http://schemas.microsoft.com/office/drawing/2014/main" id="{00000000-0008-0000-1200-00001ABC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4A50E97A-35AA-46DA-B783-8F22FF970885}" type="TxLink">
                <a:rPr lang="en-US"/>
                <a:pPr/>
                <a:t> </a:t>
              </a:fld>
              <a:endParaRPr lang="en-US"/>
            </a:p>
          </xdr:txBody>
        </xdr:sp>
        <xdr:sp macro="" textlink="'Cover Sheet'!U37:Y37">
          <xdr:nvSpPr>
            <xdr:cNvPr id="48155" name="Text Box 27">
              <a:extLst>
                <a:ext uri="{FF2B5EF4-FFF2-40B4-BE49-F238E27FC236}">
                  <a16:creationId xmlns:a16="http://schemas.microsoft.com/office/drawing/2014/main" id="{00000000-0008-0000-1200-00001BBC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CD568133-8833-4A25-8110-FE60F28D1DF8}"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57150</xdr:colOff>
      <xdr:row>6</xdr:row>
      <xdr:rowOff>0</xdr:rowOff>
    </xdr:to>
    <xdr:grpSp>
      <xdr:nvGrpSpPr>
        <xdr:cNvPr id="48156" name="Group 28">
          <a:extLst>
            <a:ext uri="{FF2B5EF4-FFF2-40B4-BE49-F238E27FC236}">
              <a16:creationId xmlns:a16="http://schemas.microsoft.com/office/drawing/2014/main" id="{00000000-0008-0000-1200-00001CBC0000}"/>
            </a:ext>
          </a:extLst>
        </xdr:cNvPr>
        <xdr:cNvGrpSpPr>
          <a:grpSpLocks/>
        </xdr:cNvGrpSpPr>
      </xdr:nvGrpSpPr>
      <xdr:grpSpPr bwMode="auto">
        <a:xfrm>
          <a:off x="1676400" y="0"/>
          <a:ext cx="6429375" cy="971550"/>
          <a:chOff x="65" y="4"/>
          <a:chExt cx="675" cy="101"/>
        </a:xfrm>
      </xdr:grpSpPr>
      <xdr:grpSp>
        <xdr:nvGrpSpPr>
          <xdr:cNvPr id="48157" name="Group 29">
            <a:extLst>
              <a:ext uri="{FF2B5EF4-FFF2-40B4-BE49-F238E27FC236}">
                <a16:creationId xmlns:a16="http://schemas.microsoft.com/office/drawing/2014/main" id="{00000000-0008-0000-1200-00001DBC0000}"/>
              </a:ext>
            </a:extLst>
          </xdr:cNvPr>
          <xdr:cNvGrpSpPr>
            <a:grpSpLocks/>
          </xdr:cNvGrpSpPr>
        </xdr:nvGrpSpPr>
        <xdr:grpSpPr bwMode="auto">
          <a:xfrm>
            <a:off x="65" y="7"/>
            <a:ext cx="675" cy="98"/>
            <a:chOff x="65" y="7"/>
            <a:chExt cx="675" cy="98"/>
          </a:xfrm>
        </xdr:grpSpPr>
        <xdr:grpSp>
          <xdr:nvGrpSpPr>
            <xdr:cNvPr id="48159" name="Group 31">
              <a:extLst>
                <a:ext uri="{FF2B5EF4-FFF2-40B4-BE49-F238E27FC236}">
                  <a16:creationId xmlns:a16="http://schemas.microsoft.com/office/drawing/2014/main" id="{00000000-0008-0000-1200-00001FBC0000}"/>
                </a:ext>
              </a:extLst>
            </xdr:cNvPr>
            <xdr:cNvGrpSpPr>
              <a:grpSpLocks/>
            </xdr:cNvGrpSpPr>
          </xdr:nvGrpSpPr>
          <xdr:grpSpPr bwMode="auto">
            <a:xfrm>
              <a:off x="232" y="7"/>
              <a:ext cx="433" cy="93"/>
              <a:chOff x="168" y="7"/>
              <a:chExt cx="433" cy="93"/>
            </a:xfrm>
          </xdr:grpSpPr>
          <xdr:sp macro="" textlink="">
            <xdr:nvSpPr>
              <xdr:cNvPr id="48160" name="Text Box 32">
                <a:extLst>
                  <a:ext uri="{FF2B5EF4-FFF2-40B4-BE49-F238E27FC236}">
                    <a16:creationId xmlns:a16="http://schemas.microsoft.com/office/drawing/2014/main" id="{00000000-0008-0000-1200-000020B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8161" name="Text Box 33">
                <a:extLst>
                  <a:ext uri="{FF2B5EF4-FFF2-40B4-BE49-F238E27FC236}">
                    <a16:creationId xmlns:a16="http://schemas.microsoft.com/office/drawing/2014/main" id="{00000000-0008-0000-1200-000021B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8162" name="Text Box 34">
                <a:extLst>
                  <a:ext uri="{FF2B5EF4-FFF2-40B4-BE49-F238E27FC236}">
                    <a16:creationId xmlns:a16="http://schemas.microsoft.com/office/drawing/2014/main" id="{00000000-0008-0000-1200-000022B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8163" name="Text Box 35">
                <a:extLst>
                  <a:ext uri="{FF2B5EF4-FFF2-40B4-BE49-F238E27FC236}">
                    <a16:creationId xmlns:a16="http://schemas.microsoft.com/office/drawing/2014/main" id="{00000000-0008-0000-1200-000023B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8164" name="Text Box 36">
                <a:extLst>
                  <a:ext uri="{FF2B5EF4-FFF2-40B4-BE49-F238E27FC236}">
                    <a16:creationId xmlns:a16="http://schemas.microsoft.com/office/drawing/2014/main" id="{00000000-0008-0000-1200-000024B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8165" name="Text Box 37">
                <a:extLst>
                  <a:ext uri="{FF2B5EF4-FFF2-40B4-BE49-F238E27FC236}">
                    <a16:creationId xmlns:a16="http://schemas.microsoft.com/office/drawing/2014/main" id="{00000000-0008-0000-1200-000025B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66" name="Text Box 38">
                <a:extLst>
                  <a:ext uri="{FF2B5EF4-FFF2-40B4-BE49-F238E27FC236}">
                    <a16:creationId xmlns:a16="http://schemas.microsoft.com/office/drawing/2014/main" id="{00000000-0008-0000-1200-000026B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67" name="Text Box 39">
                <a:extLst>
                  <a:ext uri="{FF2B5EF4-FFF2-40B4-BE49-F238E27FC236}">
                    <a16:creationId xmlns:a16="http://schemas.microsoft.com/office/drawing/2014/main" id="{00000000-0008-0000-1200-000027B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8168" name="Text Box 40">
                <a:extLst>
                  <a:ext uri="{FF2B5EF4-FFF2-40B4-BE49-F238E27FC236}">
                    <a16:creationId xmlns:a16="http://schemas.microsoft.com/office/drawing/2014/main" id="{00000000-0008-0000-1200-000028B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8169" name="Text Box 41">
                <a:extLst>
                  <a:ext uri="{FF2B5EF4-FFF2-40B4-BE49-F238E27FC236}">
                    <a16:creationId xmlns:a16="http://schemas.microsoft.com/office/drawing/2014/main" id="{00000000-0008-0000-1200-000029B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8170" name="Text Box 42">
                <a:extLst>
                  <a:ext uri="{FF2B5EF4-FFF2-40B4-BE49-F238E27FC236}">
                    <a16:creationId xmlns:a16="http://schemas.microsoft.com/office/drawing/2014/main" id="{00000000-0008-0000-1200-00002AB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8171" name="Line 43">
              <a:extLst>
                <a:ext uri="{FF2B5EF4-FFF2-40B4-BE49-F238E27FC236}">
                  <a16:creationId xmlns:a16="http://schemas.microsoft.com/office/drawing/2014/main" id="{00000000-0008-0000-1200-00002BB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8172" name="Line 44">
              <a:extLst>
                <a:ext uri="{FF2B5EF4-FFF2-40B4-BE49-F238E27FC236}">
                  <a16:creationId xmlns:a16="http://schemas.microsoft.com/office/drawing/2014/main" id="{00000000-0008-0000-1200-00002CB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8173" name="Line 45">
              <a:extLst>
                <a:ext uri="{FF2B5EF4-FFF2-40B4-BE49-F238E27FC236}">
                  <a16:creationId xmlns:a16="http://schemas.microsoft.com/office/drawing/2014/main" id="{00000000-0008-0000-1200-00002DB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8174" name="Line 46">
              <a:extLst>
                <a:ext uri="{FF2B5EF4-FFF2-40B4-BE49-F238E27FC236}">
                  <a16:creationId xmlns:a16="http://schemas.microsoft.com/office/drawing/2014/main" id="{00000000-0008-0000-1200-00002EB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8175" name="Group 47">
            <a:extLst>
              <a:ext uri="{FF2B5EF4-FFF2-40B4-BE49-F238E27FC236}">
                <a16:creationId xmlns:a16="http://schemas.microsoft.com/office/drawing/2014/main" id="{00000000-0008-0000-1200-00002FBC0000}"/>
              </a:ext>
            </a:extLst>
          </xdr:cNvPr>
          <xdr:cNvGrpSpPr>
            <a:grpSpLocks/>
          </xdr:cNvGrpSpPr>
        </xdr:nvGrpSpPr>
        <xdr:grpSpPr bwMode="auto">
          <a:xfrm>
            <a:off x="272" y="4"/>
            <a:ext cx="457" cy="98"/>
            <a:chOff x="208" y="4"/>
            <a:chExt cx="457" cy="98"/>
          </a:xfrm>
        </xdr:grpSpPr>
        <xdr:sp macro="" textlink="'Cover Sheet'!E5:U5">
          <xdr:nvSpPr>
            <xdr:cNvPr id="48176" name="Text Box 48">
              <a:extLst>
                <a:ext uri="{FF2B5EF4-FFF2-40B4-BE49-F238E27FC236}">
                  <a16:creationId xmlns:a16="http://schemas.microsoft.com/office/drawing/2014/main" id="{00000000-0008-0000-1200-000030B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888E395-D007-4BD6-9B91-EED40605E018}"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48177" name="Text Box 49">
              <a:extLst>
                <a:ext uri="{FF2B5EF4-FFF2-40B4-BE49-F238E27FC236}">
                  <a16:creationId xmlns:a16="http://schemas.microsoft.com/office/drawing/2014/main" id="{00000000-0008-0000-1200-000031B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8063D27-7258-4327-86A0-1672BF785A10}"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48178" name="Text Box 50">
              <a:extLst>
                <a:ext uri="{FF2B5EF4-FFF2-40B4-BE49-F238E27FC236}">
                  <a16:creationId xmlns:a16="http://schemas.microsoft.com/office/drawing/2014/main" id="{00000000-0008-0000-1200-000032B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Shear Reinforcing</a:t>
              </a:r>
            </a:p>
          </xdr:txBody>
        </xdr:sp>
        <xdr:sp macro="" textlink="'Cover Sheet'!E4:U4">
          <xdr:nvSpPr>
            <xdr:cNvPr id="48179" name="Text Box 51">
              <a:extLst>
                <a:ext uri="{FF2B5EF4-FFF2-40B4-BE49-F238E27FC236}">
                  <a16:creationId xmlns:a16="http://schemas.microsoft.com/office/drawing/2014/main" id="{00000000-0008-0000-1200-000033B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EA78B06-7A48-4256-B34C-F847EB981E07}"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48180" name="Text Box 52">
              <a:extLst>
                <a:ext uri="{FF2B5EF4-FFF2-40B4-BE49-F238E27FC236}">
                  <a16:creationId xmlns:a16="http://schemas.microsoft.com/office/drawing/2014/main" id="{00000000-0008-0000-1200-000034B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FA67761-A747-42D3-B648-E86B084ABAA3}"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48181" name="Text Box 53">
              <a:extLst>
                <a:ext uri="{FF2B5EF4-FFF2-40B4-BE49-F238E27FC236}">
                  <a16:creationId xmlns:a16="http://schemas.microsoft.com/office/drawing/2014/main" id="{00000000-0008-0000-1200-000035B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04628731-B237-440F-B243-EA0868E4B238}"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48182" name="Text Box 54">
              <a:extLst>
                <a:ext uri="{FF2B5EF4-FFF2-40B4-BE49-F238E27FC236}">
                  <a16:creationId xmlns:a16="http://schemas.microsoft.com/office/drawing/2014/main" id="{00000000-0008-0000-1200-000036B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5A1458AE-8D60-41AC-8F66-A104D2EF8EB9}" type="TxLink">
                <a:rPr lang="en-US"/>
                <a:pPr/>
                <a:t> </a:t>
              </a:fld>
              <a:endParaRPr lang="en-US"/>
            </a:p>
          </xdr:txBody>
        </xdr:sp>
        <xdr:sp macro="" textlink="'Cover Sheet'!U37:Y37">
          <xdr:nvSpPr>
            <xdr:cNvPr id="48183" name="Text Box 55">
              <a:extLst>
                <a:ext uri="{FF2B5EF4-FFF2-40B4-BE49-F238E27FC236}">
                  <a16:creationId xmlns:a16="http://schemas.microsoft.com/office/drawing/2014/main" id="{00000000-0008-0000-1200-000037B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546BB01-F684-4486-8EE6-C2A0CC16E2D0}" type="TxLink">
                <a:rPr lang="en-US"/>
                <a:pPr/>
                <a:t> </a:t>
              </a:fld>
              <a:endParaRPr lang="en-US"/>
            </a:p>
          </xdr:txBody>
        </xdr:sp>
      </xdr:grpSp>
    </xdr:grpSp>
    <xdr:clientData/>
  </xdr:twoCellAnchor>
  <xdr:twoCellAnchor editAs="absolute">
    <xdr:from>
      <xdr:col>0</xdr:col>
      <xdr:colOff>0</xdr:colOff>
      <xdr:row>13</xdr:row>
      <xdr:rowOff>95250</xdr:rowOff>
    </xdr:from>
    <xdr:to>
      <xdr:col>0</xdr:col>
      <xdr:colOff>1266825</xdr:colOff>
      <xdr:row>16</xdr:row>
      <xdr:rowOff>180975</xdr:rowOff>
    </xdr:to>
    <xdr:sp macro="[0]!SingleTheta" textlink="">
      <xdr:nvSpPr>
        <xdr:cNvPr id="48185" name="Text Box 57">
          <a:extLst>
            <a:ext uri="{FF2B5EF4-FFF2-40B4-BE49-F238E27FC236}">
              <a16:creationId xmlns:a16="http://schemas.microsoft.com/office/drawing/2014/main" id="{00000000-0008-0000-1200-000039BC0000}"/>
            </a:ext>
          </a:extLst>
        </xdr:cNvPr>
        <xdr:cNvSpPr txBox="1">
          <a:spLocks noChangeArrowheads="1"/>
        </xdr:cNvSpPr>
      </xdr:nvSpPr>
      <xdr:spPr bwMode="auto">
        <a:xfrm>
          <a:off x="0" y="2276475"/>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Solve for theta</a:t>
          </a:r>
        </a:p>
      </xdr:txBody>
    </xdr:sp>
    <xdr:clientData fPrintsWithSheet="0"/>
  </xdr:twoCellAnchor>
  <xdr:twoCellAnchor editAs="oneCell">
    <xdr:from>
      <xdr:col>1</xdr:col>
      <xdr:colOff>133350</xdr:colOff>
      <xdr:row>0</xdr:row>
      <xdr:rowOff>76200</xdr:rowOff>
    </xdr:from>
    <xdr:to>
      <xdr:col>3</xdr:col>
      <xdr:colOff>324687</xdr:colOff>
      <xdr:row>5</xdr:row>
      <xdr:rowOff>28575</xdr:rowOff>
    </xdr:to>
    <xdr:pic>
      <xdr:nvPicPr>
        <xdr:cNvPr id="58" name="headerlogo">
          <a:extLst>
            <a:ext uri="{FF2B5EF4-FFF2-40B4-BE49-F238E27FC236}">
              <a16:creationId xmlns:a16="http://schemas.microsoft.com/office/drawing/2014/main" id="{00000000-0008-0000-1200-00003A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81175" y="76200"/>
          <a:ext cx="1210512"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absoluteAnchor>
    <xdr:pos x="0" y="0"/>
    <xdr:ext cx="9039225" cy="6524625"/>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0.85175</cdr:x>
      <cdr:y>0.032</cdr:y>
    </cdr:from>
    <cdr:to>
      <cdr:x>0.95825</cdr:x>
      <cdr:y>0.0665</cdr:y>
    </cdr:to>
    <cdr:sp macro="" textlink="'Shear(M)'!$E$27">
      <cdr:nvSpPr>
        <cdr:cNvPr id="38916" name="Text Box 4"/>
        <cdr:cNvSpPr txBox="1">
          <a:spLocks xmlns:a="http://schemas.openxmlformats.org/drawingml/2006/main" noChangeArrowheads="1" noTextEdit="1"/>
        </cdr:cNvSpPr>
      </cdr:nvSpPr>
      <cdr:spPr bwMode="auto">
        <a:xfrm xmlns:a="http://schemas.openxmlformats.org/drawingml/2006/main">
          <a:off x="7699160" y="208788"/>
          <a:ext cx="962677" cy="22510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1">
            <a:defRPr sz="1000"/>
          </a:pPr>
          <a:fld id="{DEC70E98-71D7-45A4-AF36-9B65EDB7C6BB}" type="TxLink">
            <a:rPr lang="en-US" sz="1000" b="1" i="0" u="none" strike="noStrike">
              <a:solidFill>
                <a:srgbClr val="000000"/>
              </a:solidFill>
              <a:latin typeface="Arial"/>
              <a:cs typeface="Arial"/>
            </a:rPr>
            <a:pPr algn="l" rtl="1">
              <a:defRPr sz="1000"/>
            </a:pPr>
            <a:t>Single #5</a:t>
          </a:fld>
          <a:endParaRPr lang="en-US" sz="1000" b="1" i="0" strike="noStrike">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editAs="oneCell">
    <xdr:from>
      <xdr:col>1</xdr:col>
      <xdr:colOff>12554</xdr:colOff>
      <xdr:row>0</xdr:row>
      <xdr:rowOff>0</xdr:rowOff>
    </xdr:from>
    <xdr:to>
      <xdr:col>14</xdr:col>
      <xdr:colOff>9525</xdr:colOff>
      <xdr:row>6</xdr:row>
      <xdr:rowOff>28575</xdr:rowOff>
    </xdr:to>
    <xdr:grpSp>
      <xdr:nvGrpSpPr>
        <xdr:cNvPr id="2" name="Group 1">
          <a:extLst>
            <a:ext uri="{FF2B5EF4-FFF2-40B4-BE49-F238E27FC236}">
              <a16:creationId xmlns:a16="http://schemas.microsoft.com/office/drawing/2014/main" id="{00000000-0008-0000-1400-000002000000}"/>
            </a:ext>
          </a:extLst>
        </xdr:cNvPr>
        <xdr:cNvGrpSpPr>
          <a:grpSpLocks/>
        </xdr:cNvGrpSpPr>
      </xdr:nvGrpSpPr>
      <xdr:grpSpPr bwMode="auto">
        <a:xfrm>
          <a:off x="1659819" y="0"/>
          <a:ext cx="8435000" cy="969869"/>
          <a:chOff x="65" y="4"/>
          <a:chExt cx="675" cy="101"/>
        </a:xfrm>
      </xdr:grpSpPr>
      <xdr:grpSp>
        <xdr:nvGrpSpPr>
          <xdr:cNvPr id="3" name="Group 2">
            <a:extLst>
              <a:ext uri="{FF2B5EF4-FFF2-40B4-BE49-F238E27FC236}">
                <a16:creationId xmlns:a16="http://schemas.microsoft.com/office/drawing/2014/main" id="{00000000-0008-0000-1400-000003000000}"/>
              </a:ext>
            </a:extLst>
          </xdr:cNvPr>
          <xdr:cNvGrpSpPr>
            <a:grpSpLocks/>
          </xdr:cNvGrpSpPr>
        </xdr:nvGrpSpPr>
        <xdr:grpSpPr bwMode="auto">
          <a:xfrm>
            <a:off x="65" y="7"/>
            <a:ext cx="675" cy="98"/>
            <a:chOff x="65" y="7"/>
            <a:chExt cx="675" cy="98"/>
          </a:xfrm>
        </xdr:grpSpPr>
        <xdr:grpSp>
          <xdr:nvGrpSpPr>
            <xdr:cNvPr id="14" name="Group 4">
              <a:extLst>
                <a:ext uri="{FF2B5EF4-FFF2-40B4-BE49-F238E27FC236}">
                  <a16:creationId xmlns:a16="http://schemas.microsoft.com/office/drawing/2014/main" id="{00000000-0008-0000-1400-00000E000000}"/>
                </a:ext>
              </a:extLst>
            </xdr:cNvPr>
            <xdr:cNvGrpSpPr>
              <a:grpSpLocks/>
            </xdr:cNvGrpSpPr>
          </xdr:nvGrpSpPr>
          <xdr:grpSpPr bwMode="auto">
            <a:xfrm>
              <a:off x="232" y="7"/>
              <a:ext cx="433" cy="93"/>
              <a:chOff x="168" y="7"/>
              <a:chExt cx="433" cy="93"/>
            </a:xfrm>
          </xdr:grpSpPr>
          <xdr:sp macro="" textlink="">
            <xdr:nvSpPr>
              <xdr:cNvPr id="19" name="Text Box 5">
                <a:extLst>
                  <a:ext uri="{FF2B5EF4-FFF2-40B4-BE49-F238E27FC236}">
                    <a16:creationId xmlns:a16="http://schemas.microsoft.com/office/drawing/2014/main" id="{00000000-0008-0000-1400-0000130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0" name="Text Box 6">
                <a:extLst>
                  <a:ext uri="{FF2B5EF4-FFF2-40B4-BE49-F238E27FC236}">
                    <a16:creationId xmlns:a16="http://schemas.microsoft.com/office/drawing/2014/main" id="{00000000-0008-0000-1400-0000140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1" name="Text Box 7">
                <a:extLst>
                  <a:ext uri="{FF2B5EF4-FFF2-40B4-BE49-F238E27FC236}">
                    <a16:creationId xmlns:a16="http://schemas.microsoft.com/office/drawing/2014/main" id="{00000000-0008-0000-1400-0000150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2" name="Text Box 8">
                <a:extLst>
                  <a:ext uri="{FF2B5EF4-FFF2-40B4-BE49-F238E27FC236}">
                    <a16:creationId xmlns:a16="http://schemas.microsoft.com/office/drawing/2014/main" id="{00000000-0008-0000-1400-0000160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3" name="Text Box 9">
                <a:extLst>
                  <a:ext uri="{FF2B5EF4-FFF2-40B4-BE49-F238E27FC236}">
                    <a16:creationId xmlns:a16="http://schemas.microsoft.com/office/drawing/2014/main" id="{00000000-0008-0000-1400-0000170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4" name="Text Box 10">
                <a:extLst>
                  <a:ext uri="{FF2B5EF4-FFF2-40B4-BE49-F238E27FC236}">
                    <a16:creationId xmlns:a16="http://schemas.microsoft.com/office/drawing/2014/main" id="{00000000-0008-0000-1400-0000180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5" name="Text Box 11">
                <a:extLst>
                  <a:ext uri="{FF2B5EF4-FFF2-40B4-BE49-F238E27FC236}">
                    <a16:creationId xmlns:a16="http://schemas.microsoft.com/office/drawing/2014/main" id="{00000000-0008-0000-1400-0000190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6" name="Text Box 12">
                <a:extLst>
                  <a:ext uri="{FF2B5EF4-FFF2-40B4-BE49-F238E27FC236}">
                    <a16:creationId xmlns:a16="http://schemas.microsoft.com/office/drawing/2014/main" id="{00000000-0008-0000-1400-00001A0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7" name="Text Box 13">
                <a:extLst>
                  <a:ext uri="{FF2B5EF4-FFF2-40B4-BE49-F238E27FC236}">
                    <a16:creationId xmlns:a16="http://schemas.microsoft.com/office/drawing/2014/main" id="{00000000-0008-0000-1400-00001B0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8" name="Text Box 14">
                <a:extLst>
                  <a:ext uri="{FF2B5EF4-FFF2-40B4-BE49-F238E27FC236}">
                    <a16:creationId xmlns:a16="http://schemas.microsoft.com/office/drawing/2014/main" id="{00000000-0008-0000-1400-00001C0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 name="Text Box 15">
                <a:extLst>
                  <a:ext uri="{FF2B5EF4-FFF2-40B4-BE49-F238E27FC236}">
                    <a16:creationId xmlns:a16="http://schemas.microsoft.com/office/drawing/2014/main" id="{00000000-0008-0000-1400-00001D0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5" name="Line 16">
              <a:extLst>
                <a:ext uri="{FF2B5EF4-FFF2-40B4-BE49-F238E27FC236}">
                  <a16:creationId xmlns:a16="http://schemas.microsoft.com/office/drawing/2014/main" id="{00000000-0008-0000-1400-00000F0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6" name="Line 17">
              <a:extLst>
                <a:ext uri="{FF2B5EF4-FFF2-40B4-BE49-F238E27FC236}">
                  <a16:creationId xmlns:a16="http://schemas.microsoft.com/office/drawing/2014/main" id="{00000000-0008-0000-1400-0000100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7" name="Line 18">
              <a:extLst>
                <a:ext uri="{FF2B5EF4-FFF2-40B4-BE49-F238E27FC236}">
                  <a16:creationId xmlns:a16="http://schemas.microsoft.com/office/drawing/2014/main" id="{00000000-0008-0000-1400-0000110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8" name="Line 19">
              <a:extLst>
                <a:ext uri="{FF2B5EF4-FFF2-40B4-BE49-F238E27FC236}">
                  <a16:creationId xmlns:a16="http://schemas.microsoft.com/office/drawing/2014/main" id="{00000000-0008-0000-1400-0000120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 name="Group 20">
            <a:extLst>
              <a:ext uri="{FF2B5EF4-FFF2-40B4-BE49-F238E27FC236}">
                <a16:creationId xmlns:a16="http://schemas.microsoft.com/office/drawing/2014/main" id="{00000000-0008-0000-1400-000004000000}"/>
              </a:ext>
            </a:extLst>
          </xdr:cNvPr>
          <xdr:cNvGrpSpPr>
            <a:grpSpLocks/>
          </xdr:cNvGrpSpPr>
        </xdr:nvGrpSpPr>
        <xdr:grpSpPr bwMode="auto">
          <a:xfrm>
            <a:off x="272" y="4"/>
            <a:ext cx="457" cy="98"/>
            <a:chOff x="208" y="4"/>
            <a:chExt cx="457" cy="98"/>
          </a:xfrm>
        </xdr:grpSpPr>
        <xdr:sp macro="" textlink="'Cover Sheet'!E5:U5">
          <xdr:nvSpPr>
            <xdr:cNvPr id="5" name="Text Box 21">
              <a:extLst>
                <a:ext uri="{FF2B5EF4-FFF2-40B4-BE49-F238E27FC236}">
                  <a16:creationId xmlns:a16="http://schemas.microsoft.com/office/drawing/2014/main" id="{00000000-0008-0000-1400-0000050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2694917-68AF-4E4D-BF1A-D0A4A3C5420D}"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6" name="Text Box 22">
              <a:extLst>
                <a:ext uri="{FF2B5EF4-FFF2-40B4-BE49-F238E27FC236}">
                  <a16:creationId xmlns:a16="http://schemas.microsoft.com/office/drawing/2014/main" id="{00000000-0008-0000-1400-0000060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BD4A87C6-8DE5-4FBE-95CF-6218D35DBFAF}"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7" name="Text Box 23">
              <a:extLst>
                <a:ext uri="{FF2B5EF4-FFF2-40B4-BE49-F238E27FC236}">
                  <a16:creationId xmlns:a16="http://schemas.microsoft.com/office/drawing/2014/main" id="{00000000-0008-0000-1400-0000070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Bent</a:t>
              </a:r>
              <a:r>
                <a:rPr lang="en-US" sz="900" b="1" i="0" strike="noStrike" baseline="0">
                  <a:solidFill>
                    <a:srgbClr val="000000"/>
                  </a:solidFill>
                  <a:latin typeface="Arial"/>
                  <a:cs typeface="Arial"/>
                </a:rPr>
                <a:t> Cap Design Summary</a:t>
              </a:r>
              <a:endParaRPr lang="en-US" sz="900" b="1" i="0" strike="noStrike">
                <a:solidFill>
                  <a:srgbClr val="000000"/>
                </a:solidFill>
                <a:latin typeface="Arial"/>
                <a:cs typeface="Arial"/>
              </a:endParaRPr>
            </a:p>
          </xdr:txBody>
        </xdr:sp>
        <xdr:sp macro="" textlink="'Cover Sheet'!E4:U4">
          <xdr:nvSpPr>
            <xdr:cNvPr id="8" name="Text Box 24">
              <a:extLst>
                <a:ext uri="{FF2B5EF4-FFF2-40B4-BE49-F238E27FC236}">
                  <a16:creationId xmlns:a16="http://schemas.microsoft.com/office/drawing/2014/main" id="{00000000-0008-0000-1400-0000080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72E8889-22DB-4D75-8F30-EC3884FAFBC4}"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9" name="Text Box 25">
              <a:extLst>
                <a:ext uri="{FF2B5EF4-FFF2-40B4-BE49-F238E27FC236}">
                  <a16:creationId xmlns:a16="http://schemas.microsoft.com/office/drawing/2014/main" id="{00000000-0008-0000-1400-0000090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766DA97-3B86-4266-AAB2-3CFB928D23D9}"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10" name="Text Box 26">
              <a:extLst>
                <a:ext uri="{FF2B5EF4-FFF2-40B4-BE49-F238E27FC236}">
                  <a16:creationId xmlns:a16="http://schemas.microsoft.com/office/drawing/2014/main" id="{00000000-0008-0000-1400-00000A0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C87B3BC-8C23-4014-A834-D139D8D7CF7A}"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11" name="Text Box 27">
              <a:extLst>
                <a:ext uri="{FF2B5EF4-FFF2-40B4-BE49-F238E27FC236}">
                  <a16:creationId xmlns:a16="http://schemas.microsoft.com/office/drawing/2014/main" id="{00000000-0008-0000-1400-00000B0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2DC9C87-72E7-4AFC-9030-16FD1AC43567}" type="TxLink">
                <a:rPr lang="en-US"/>
                <a:pPr/>
                <a:t> </a:t>
              </a:fld>
              <a:endParaRPr lang="en-US"/>
            </a:p>
          </xdr:txBody>
        </xdr:sp>
        <xdr:sp macro="" textlink="'Cover Sheet'!U37:Y37">
          <xdr:nvSpPr>
            <xdr:cNvPr id="12" name="Text Box 28">
              <a:extLst>
                <a:ext uri="{FF2B5EF4-FFF2-40B4-BE49-F238E27FC236}">
                  <a16:creationId xmlns:a16="http://schemas.microsoft.com/office/drawing/2014/main" id="{00000000-0008-0000-1400-00000C0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9FC12B-FB46-4D8E-A41D-000AE1D665AF}" type="TxLink">
                <a:rPr lang="en-US"/>
                <a:pPr/>
                <a:t> </a:t>
              </a:fld>
              <a:endParaRPr lang="en-US"/>
            </a:p>
          </xdr:txBody>
        </xdr:sp>
      </xdr:grpSp>
    </xdr:grpSp>
    <xdr:clientData/>
  </xdr:twoCellAnchor>
  <xdr:twoCellAnchor editAs="oneCell">
    <xdr:from>
      <xdr:col>1</xdr:col>
      <xdr:colOff>38100</xdr:colOff>
      <xdr:row>0</xdr:row>
      <xdr:rowOff>28575</xdr:rowOff>
    </xdr:from>
    <xdr:to>
      <xdr:col>2</xdr:col>
      <xdr:colOff>572337</xdr:colOff>
      <xdr:row>4</xdr:row>
      <xdr:rowOff>142875</xdr:rowOff>
    </xdr:to>
    <xdr:pic>
      <xdr:nvPicPr>
        <xdr:cNvPr id="30" name="headerlogo">
          <a:extLst>
            <a:ext uri="{FF2B5EF4-FFF2-40B4-BE49-F238E27FC236}">
              <a16:creationId xmlns:a16="http://schemas.microsoft.com/office/drawing/2014/main" id="{00000000-0008-0000-14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28575"/>
          <a:ext cx="1210512" cy="7620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12</xdr:col>
      <xdr:colOff>57150</xdr:colOff>
      <xdr:row>5</xdr:row>
      <xdr:rowOff>152400</xdr:rowOff>
    </xdr:to>
    <xdr:grpSp>
      <xdr:nvGrpSpPr>
        <xdr:cNvPr id="57373" name="Group 29">
          <a:extLst>
            <a:ext uri="{FF2B5EF4-FFF2-40B4-BE49-F238E27FC236}">
              <a16:creationId xmlns:a16="http://schemas.microsoft.com/office/drawing/2014/main" id="{00000000-0008-0000-1500-00001DE00000}"/>
            </a:ext>
          </a:extLst>
        </xdr:cNvPr>
        <xdr:cNvGrpSpPr>
          <a:grpSpLocks/>
        </xdr:cNvGrpSpPr>
      </xdr:nvGrpSpPr>
      <xdr:grpSpPr bwMode="auto">
        <a:xfrm>
          <a:off x="1666875" y="0"/>
          <a:ext cx="6438900" cy="962025"/>
          <a:chOff x="65" y="4"/>
          <a:chExt cx="675" cy="101"/>
        </a:xfrm>
      </xdr:grpSpPr>
      <xdr:grpSp>
        <xdr:nvGrpSpPr>
          <xdr:cNvPr id="57374" name="Group 30">
            <a:extLst>
              <a:ext uri="{FF2B5EF4-FFF2-40B4-BE49-F238E27FC236}">
                <a16:creationId xmlns:a16="http://schemas.microsoft.com/office/drawing/2014/main" id="{00000000-0008-0000-1500-00001EE00000}"/>
              </a:ext>
            </a:extLst>
          </xdr:cNvPr>
          <xdr:cNvGrpSpPr>
            <a:grpSpLocks/>
          </xdr:cNvGrpSpPr>
        </xdr:nvGrpSpPr>
        <xdr:grpSpPr bwMode="auto">
          <a:xfrm>
            <a:off x="65" y="7"/>
            <a:ext cx="675" cy="98"/>
            <a:chOff x="65" y="7"/>
            <a:chExt cx="675" cy="98"/>
          </a:xfrm>
        </xdr:grpSpPr>
        <xdr:grpSp>
          <xdr:nvGrpSpPr>
            <xdr:cNvPr id="57376" name="Group 32">
              <a:extLst>
                <a:ext uri="{FF2B5EF4-FFF2-40B4-BE49-F238E27FC236}">
                  <a16:creationId xmlns:a16="http://schemas.microsoft.com/office/drawing/2014/main" id="{00000000-0008-0000-1500-000020E00000}"/>
                </a:ext>
              </a:extLst>
            </xdr:cNvPr>
            <xdr:cNvGrpSpPr>
              <a:grpSpLocks/>
            </xdr:cNvGrpSpPr>
          </xdr:nvGrpSpPr>
          <xdr:grpSpPr bwMode="auto">
            <a:xfrm>
              <a:off x="232" y="7"/>
              <a:ext cx="433" cy="93"/>
              <a:chOff x="168" y="7"/>
              <a:chExt cx="433" cy="93"/>
            </a:xfrm>
          </xdr:grpSpPr>
          <xdr:sp macro="" textlink="">
            <xdr:nvSpPr>
              <xdr:cNvPr id="57377" name="Text Box 33">
                <a:extLst>
                  <a:ext uri="{FF2B5EF4-FFF2-40B4-BE49-F238E27FC236}">
                    <a16:creationId xmlns:a16="http://schemas.microsoft.com/office/drawing/2014/main" id="{00000000-0008-0000-1500-000021E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7378" name="Text Box 34">
                <a:extLst>
                  <a:ext uri="{FF2B5EF4-FFF2-40B4-BE49-F238E27FC236}">
                    <a16:creationId xmlns:a16="http://schemas.microsoft.com/office/drawing/2014/main" id="{00000000-0008-0000-1500-000022E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7379" name="Text Box 35">
                <a:extLst>
                  <a:ext uri="{FF2B5EF4-FFF2-40B4-BE49-F238E27FC236}">
                    <a16:creationId xmlns:a16="http://schemas.microsoft.com/office/drawing/2014/main" id="{00000000-0008-0000-1500-000023E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7380" name="Text Box 36">
                <a:extLst>
                  <a:ext uri="{FF2B5EF4-FFF2-40B4-BE49-F238E27FC236}">
                    <a16:creationId xmlns:a16="http://schemas.microsoft.com/office/drawing/2014/main" id="{00000000-0008-0000-1500-000024E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7381" name="Text Box 37">
                <a:extLst>
                  <a:ext uri="{FF2B5EF4-FFF2-40B4-BE49-F238E27FC236}">
                    <a16:creationId xmlns:a16="http://schemas.microsoft.com/office/drawing/2014/main" id="{00000000-0008-0000-1500-000025E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7382" name="Text Box 38">
                <a:extLst>
                  <a:ext uri="{FF2B5EF4-FFF2-40B4-BE49-F238E27FC236}">
                    <a16:creationId xmlns:a16="http://schemas.microsoft.com/office/drawing/2014/main" id="{00000000-0008-0000-1500-000026E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7383" name="Text Box 39">
                <a:extLst>
                  <a:ext uri="{FF2B5EF4-FFF2-40B4-BE49-F238E27FC236}">
                    <a16:creationId xmlns:a16="http://schemas.microsoft.com/office/drawing/2014/main" id="{00000000-0008-0000-1500-000027E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7384" name="Text Box 40">
                <a:extLst>
                  <a:ext uri="{FF2B5EF4-FFF2-40B4-BE49-F238E27FC236}">
                    <a16:creationId xmlns:a16="http://schemas.microsoft.com/office/drawing/2014/main" id="{00000000-0008-0000-1500-000028E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7385" name="Text Box 41">
                <a:extLst>
                  <a:ext uri="{FF2B5EF4-FFF2-40B4-BE49-F238E27FC236}">
                    <a16:creationId xmlns:a16="http://schemas.microsoft.com/office/drawing/2014/main" id="{00000000-0008-0000-1500-000029E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7386" name="Text Box 42">
                <a:extLst>
                  <a:ext uri="{FF2B5EF4-FFF2-40B4-BE49-F238E27FC236}">
                    <a16:creationId xmlns:a16="http://schemas.microsoft.com/office/drawing/2014/main" id="{00000000-0008-0000-1500-00002AE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7387" name="Text Box 43">
                <a:extLst>
                  <a:ext uri="{FF2B5EF4-FFF2-40B4-BE49-F238E27FC236}">
                    <a16:creationId xmlns:a16="http://schemas.microsoft.com/office/drawing/2014/main" id="{00000000-0008-0000-1500-00002BE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7388" name="Line 44">
              <a:extLst>
                <a:ext uri="{FF2B5EF4-FFF2-40B4-BE49-F238E27FC236}">
                  <a16:creationId xmlns:a16="http://schemas.microsoft.com/office/drawing/2014/main" id="{00000000-0008-0000-1500-00002CE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7389" name="Line 45">
              <a:extLst>
                <a:ext uri="{FF2B5EF4-FFF2-40B4-BE49-F238E27FC236}">
                  <a16:creationId xmlns:a16="http://schemas.microsoft.com/office/drawing/2014/main" id="{00000000-0008-0000-1500-00002DE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7390" name="Line 46">
              <a:extLst>
                <a:ext uri="{FF2B5EF4-FFF2-40B4-BE49-F238E27FC236}">
                  <a16:creationId xmlns:a16="http://schemas.microsoft.com/office/drawing/2014/main" id="{00000000-0008-0000-1500-00002EE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7391" name="Line 47">
              <a:extLst>
                <a:ext uri="{FF2B5EF4-FFF2-40B4-BE49-F238E27FC236}">
                  <a16:creationId xmlns:a16="http://schemas.microsoft.com/office/drawing/2014/main" id="{00000000-0008-0000-1500-00002FE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7392" name="Group 48">
            <a:extLst>
              <a:ext uri="{FF2B5EF4-FFF2-40B4-BE49-F238E27FC236}">
                <a16:creationId xmlns:a16="http://schemas.microsoft.com/office/drawing/2014/main" id="{00000000-0008-0000-1500-000030E00000}"/>
              </a:ext>
            </a:extLst>
          </xdr:cNvPr>
          <xdr:cNvGrpSpPr>
            <a:grpSpLocks/>
          </xdr:cNvGrpSpPr>
        </xdr:nvGrpSpPr>
        <xdr:grpSpPr bwMode="auto">
          <a:xfrm>
            <a:off x="272" y="4"/>
            <a:ext cx="457" cy="98"/>
            <a:chOff x="208" y="4"/>
            <a:chExt cx="457" cy="98"/>
          </a:xfrm>
        </xdr:grpSpPr>
        <xdr:sp macro="" textlink="'Cover Sheet'!E5:U5">
          <xdr:nvSpPr>
            <xdr:cNvPr id="57393" name="Text Box 49">
              <a:extLst>
                <a:ext uri="{FF2B5EF4-FFF2-40B4-BE49-F238E27FC236}">
                  <a16:creationId xmlns:a16="http://schemas.microsoft.com/office/drawing/2014/main" id="{00000000-0008-0000-1500-000031E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722097A-E41A-42BD-B888-DBBB9F810F58}"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57394" name="Text Box 50">
              <a:extLst>
                <a:ext uri="{FF2B5EF4-FFF2-40B4-BE49-F238E27FC236}">
                  <a16:creationId xmlns:a16="http://schemas.microsoft.com/office/drawing/2014/main" id="{00000000-0008-0000-1500-000032E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9678BC27-3974-4F4B-89F5-CE8A49FFD9E0}"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B$8">
          <xdr:nvSpPr>
            <xdr:cNvPr id="57395" name="Text Box 51">
              <a:extLst>
                <a:ext uri="{FF2B5EF4-FFF2-40B4-BE49-F238E27FC236}">
                  <a16:creationId xmlns:a16="http://schemas.microsoft.com/office/drawing/2014/main" id="{00000000-0008-0000-1500-000033E00000}"/>
                </a:ext>
              </a:extLst>
            </xdr:cNvPr>
            <xdr:cNvSpPr txBox="1">
              <a:spLocks noChangeAspect="1" noChangeArrowheads="1" noTextEdit="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fld id="{1889294A-4D4A-481C-B1E8-AB9F2706A35D}" type="TxLink">
                <a:rPr lang="en-US" sz="900" b="1" i="0" u="none" strike="noStrike">
                  <a:solidFill>
                    <a:srgbClr val="000000"/>
                  </a:solidFill>
                  <a:latin typeface="Arial"/>
                  <a:cs typeface="Arial"/>
                </a:rPr>
                <a:pPr algn="l" rtl="1">
                  <a:defRPr sz="1000"/>
                </a:pPr>
                <a:t>Live Load on Column</a:t>
              </a:fld>
              <a:endParaRPr lang="en-US" sz="900" b="1" i="0" strike="noStrike">
                <a:solidFill>
                  <a:srgbClr val="000000"/>
                </a:solidFill>
                <a:latin typeface="Arial"/>
                <a:cs typeface="Arial"/>
              </a:endParaRPr>
            </a:p>
          </xdr:txBody>
        </xdr:sp>
        <xdr:sp macro="" textlink="'Cover Sheet'!E4:U4">
          <xdr:nvSpPr>
            <xdr:cNvPr id="57396" name="Text Box 52">
              <a:extLst>
                <a:ext uri="{FF2B5EF4-FFF2-40B4-BE49-F238E27FC236}">
                  <a16:creationId xmlns:a16="http://schemas.microsoft.com/office/drawing/2014/main" id="{00000000-0008-0000-1500-000034E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852B67A-A85D-4E27-9DB6-666C2642B125}"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57397" name="Text Box 53">
              <a:extLst>
                <a:ext uri="{FF2B5EF4-FFF2-40B4-BE49-F238E27FC236}">
                  <a16:creationId xmlns:a16="http://schemas.microsoft.com/office/drawing/2014/main" id="{00000000-0008-0000-1500-000035E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8ED1F2CB-CE15-4C57-9B19-347D86BB8145}"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57398" name="Text Box 54">
              <a:extLst>
                <a:ext uri="{FF2B5EF4-FFF2-40B4-BE49-F238E27FC236}">
                  <a16:creationId xmlns:a16="http://schemas.microsoft.com/office/drawing/2014/main" id="{00000000-0008-0000-1500-000036E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8707B240-0BA2-4A1A-9AF1-655614E6A260}"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57399" name="Text Box 55">
              <a:extLst>
                <a:ext uri="{FF2B5EF4-FFF2-40B4-BE49-F238E27FC236}">
                  <a16:creationId xmlns:a16="http://schemas.microsoft.com/office/drawing/2014/main" id="{00000000-0008-0000-1500-000037E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A014D88-0AA2-4AF0-92AD-DEB5036F6BA8}" type="TxLink">
                <a:rPr lang="en-US"/>
                <a:pPr/>
                <a:t> </a:t>
              </a:fld>
              <a:endParaRPr lang="en-US"/>
            </a:p>
          </xdr:txBody>
        </xdr:sp>
        <xdr:sp macro="" textlink="'Cover Sheet'!U37:Y37">
          <xdr:nvSpPr>
            <xdr:cNvPr id="57400" name="Text Box 56">
              <a:extLst>
                <a:ext uri="{FF2B5EF4-FFF2-40B4-BE49-F238E27FC236}">
                  <a16:creationId xmlns:a16="http://schemas.microsoft.com/office/drawing/2014/main" id="{00000000-0008-0000-1500-000038E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933D589B-E9B0-440F-A04B-B02987522EE5}"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168477</xdr:colOff>
      <xdr:row>4</xdr:row>
      <xdr:rowOff>135255</xdr:rowOff>
    </xdr:to>
    <xdr:pic>
      <xdr:nvPicPr>
        <xdr:cNvPr id="30" name="headerlogo">
          <a:extLst>
            <a:ext uri="{FF2B5EF4-FFF2-40B4-BE49-F238E27FC236}">
              <a16:creationId xmlns:a16="http://schemas.microsoft.com/office/drawing/2014/main" id="{00000000-0008-0000-15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53278" name="Group 30">
          <a:extLst>
            <a:ext uri="{FF2B5EF4-FFF2-40B4-BE49-F238E27FC236}">
              <a16:creationId xmlns:a16="http://schemas.microsoft.com/office/drawing/2014/main" id="{00000000-0008-0000-1600-00001ED00000}"/>
            </a:ext>
          </a:extLst>
        </xdr:cNvPr>
        <xdr:cNvGrpSpPr>
          <a:grpSpLocks/>
        </xdr:cNvGrpSpPr>
      </xdr:nvGrpSpPr>
      <xdr:grpSpPr bwMode="auto">
        <a:xfrm>
          <a:off x="1657350" y="0"/>
          <a:ext cx="6429375" cy="962025"/>
          <a:chOff x="65" y="4"/>
          <a:chExt cx="675" cy="101"/>
        </a:xfrm>
      </xdr:grpSpPr>
      <xdr:grpSp>
        <xdr:nvGrpSpPr>
          <xdr:cNvPr id="53279" name="Group 31">
            <a:extLst>
              <a:ext uri="{FF2B5EF4-FFF2-40B4-BE49-F238E27FC236}">
                <a16:creationId xmlns:a16="http://schemas.microsoft.com/office/drawing/2014/main" id="{00000000-0008-0000-1600-00001FD00000}"/>
              </a:ext>
            </a:extLst>
          </xdr:cNvPr>
          <xdr:cNvGrpSpPr>
            <a:grpSpLocks/>
          </xdr:cNvGrpSpPr>
        </xdr:nvGrpSpPr>
        <xdr:grpSpPr bwMode="auto">
          <a:xfrm>
            <a:off x="65" y="7"/>
            <a:ext cx="675" cy="98"/>
            <a:chOff x="65" y="7"/>
            <a:chExt cx="675" cy="98"/>
          </a:xfrm>
        </xdr:grpSpPr>
        <xdr:grpSp>
          <xdr:nvGrpSpPr>
            <xdr:cNvPr id="53281" name="Group 33">
              <a:extLst>
                <a:ext uri="{FF2B5EF4-FFF2-40B4-BE49-F238E27FC236}">
                  <a16:creationId xmlns:a16="http://schemas.microsoft.com/office/drawing/2014/main" id="{00000000-0008-0000-1600-000021D00000}"/>
                </a:ext>
              </a:extLst>
            </xdr:cNvPr>
            <xdr:cNvGrpSpPr>
              <a:grpSpLocks/>
            </xdr:cNvGrpSpPr>
          </xdr:nvGrpSpPr>
          <xdr:grpSpPr bwMode="auto">
            <a:xfrm>
              <a:off x="232" y="7"/>
              <a:ext cx="433" cy="93"/>
              <a:chOff x="168" y="7"/>
              <a:chExt cx="433" cy="93"/>
            </a:xfrm>
          </xdr:grpSpPr>
          <xdr:sp macro="" textlink="">
            <xdr:nvSpPr>
              <xdr:cNvPr id="53282" name="Text Box 34">
                <a:extLst>
                  <a:ext uri="{FF2B5EF4-FFF2-40B4-BE49-F238E27FC236}">
                    <a16:creationId xmlns:a16="http://schemas.microsoft.com/office/drawing/2014/main" id="{00000000-0008-0000-1600-000022D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3283" name="Text Box 35">
                <a:extLst>
                  <a:ext uri="{FF2B5EF4-FFF2-40B4-BE49-F238E27FC236}">
                    <a16:creationId xmlns:a16="http://schemas.microsoft.com/office/drawing/2014/main" id="{00000000-0008-0000-1600-000023D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3284" name="Text Box 36">
                <a:extLst>
                  <a:ext uri="{FF2B5EF4-FFF2-40B4-BE49-F238E27FC236}">
                    <a16:creationId xmlns:a16="http://schemas.microsoft.com/office/drawing/2014/main" id="{00000000-0008-0000-1600-000024D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3285" name="Text Box 37">
                <a:extLst>
                  <a:ext uri="{FF2B5EF4-FFF2-40B4-BE49-F238E27FC236}">
                    <a16:creationId xmlns:a16="http://schemas.microsoft.com/office/drawing/2014/main" id="{00000000-0008-0000-1600-000025D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3286" name="Text Box 38">
                <a:extLst>
                  <a:ext uri="{FF2B5EF4-FFF2-40B4-BE49-F238E27FC236}">
                    <a16:creationId xmlns:a16="http://schemas.microsoft.com/office/drawing/2014/main" id="{00000000-0008-0000-1600-000026D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3287" name="Text Box 39">
                <a:extLst>
                  <a:ext uri="{FF2B5EF4-FFF2-40B4-BE49-F238E27FC236}">
                    <a16:creationId xmlns:a16="http://schemas.microsoft.com/office/drawing/2014/main" id="{00000000-0008-0000-1600-000027D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3288" name="Text Box 40">
                <a:extLst>
                  <a:ext uri="{FF2B5EF4-FFF2-40B4-BE49-F238E27FC236}">
                    <a16:creationId xmlns:a16="http://schemas.microsoft.com/office/drawing/2014/main" id="{00000000-0008-0000-1600-000028D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3289" name="Text Box 41">
                <a:extLst>
                  <a:ext uri="{FF2B5EF4-FFF2-40B4-BE49-F238E27FC236}">
                    <a16:creationId xmlns:a16="http://schemas.microsoft.com/office/drawing/2014/main" id="{00000000-0008-0000-1600-000029D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3290" name="Text Box 42">
                <a:extLst>
                  <a:ext uri="{FF2B5EF4-FFF2-40B4-BE49-F238E27FC236}">
                    <a16:creationId xmlns:a16="http://schemas.microsoft.com/office/drawing/2014/main" id="{00000000-0008-0000-1600-00002AD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3291" name="Text Box 43">
                <a:extLst>
                  <a:ext uri="{FF2B5EF4-FFF2-40B4-BE49-F238E27FC236}">
                    <a16:creationId xmlns:a16="http://schemas.microsoft.com/office/drawing/2014/main" id="{00000000-0008-0000-1600-00002BD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3292" name="Text Box 44">
                <a:extLst>
                  <a:ext uri="{FF2B5EF4-FFF2-40B4-BE49-F238E27FC236}">
                    <a16:creationId xmlns:a16="http://schemas.microsoft.com/office/drawing/2014/main" id="{00000000-0008-0000-1600-00002CD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3293" name="Line 45">
              <a:extLst>
                <a:ext uri="{FF2B5EF4-FFF2-40B4-BE49-F238E27FC236}">
                  <a16:creationId xmlns:a16="http://schemas.microsoft.com/office/drawing/2014/main" id="{00000000-0008-0000-1600-00002DD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3294" name="Line 46">
              <a:extLst>
                <a:ext uri="{FF2B5EF4-FFF2-40B4-BE49-F238E27FC236}">
                  <a16:creationId xmlns:a16="http://schemas.microsoft.com/office/drawing/2014/main" id="{00000000-0008-0000-1600-00002ED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3295" name="Line 47">
              <a:extLst>
                <a:ext uri="{FF2B5EF4-FFF2-40B4-BE49-F238E27FC236}">
                  <a16:creationId xmlns:a16="http://schemas.microsoft.com/office/drawing/2014/main" id="{00000000-0008-0000-1600-00002FD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3296" name="Line 48">
              <a:extLst>
                <a:ext uri="{FF2B5EF4-FFF2-40B4-BE49-F238E27FC236}">
                  <a16:creationId xmlns:a16="http://schemas.microsoft.com/office/drawing/2014/main" id="{00000000-0008-0000-1600-000030D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3297" name="Group 49">
            <a:extLst>
              <a:ext uri="{FF2B5EF4-FFF2-40B4-BE49-F238E27FC236}">
                <a16:creationId xmlns:a16="http://schemas.microsoft.com/office/drawing/2014/main" id="{00000000-0008-0000-1600-000031D00000}"/>
              </a:ext>
            </a:extLst>
          </xdr:cNvPr>
          <xdr:cNvGrpSpPr>
            <a:grpSpLocks/>
          </xdr:cNvGrpSpPr>
        </xdr:nvGrpSpPr>
        <xdr:grpSpPr bwMode="auto">
          <a:xfrm>
            <a:off x="272" y="4"/>
            <a:ext cx="457" cy="98"/>
            <a:chOff x="208" y="4"/>
            <a:chExt cx="457" cy="98"/>
          </a:xfrm>
        </xdr:grpSpPr>
        <xdr:sp macro="" textlink="'Cover Sheet'!E5:U5">
          <xdr:nvSpPr>
            <xdr:cNvPr id="53298" name="Text Box 50">
              <a:extLst>
                <a:ext uri="{FF2B5EF4-FFF2-40B4-BE49-F238E27FC236}">
                  <a16:creationId xmlns:a16="http://schemas.microsoft.com/office/drawing/2014/main" id="{00000000-0008-0000-1600-000032D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4B44C61-ECB1-47E3-BA2F-C7AC56303C92}"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53299" name="Text Box 51">
              <a:extLst>
                <a:ext uri="{FF2B5EF4-FFF2-40B4-BE49-F238E27FC236}">
                  <a16:creationId xmlns:a16="http://schemas.microsoft.com/office/drawing/2014/main" id="{00000000-0008-0000-1600-000033D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DECEA77F-467C-47BF-B572-AF7814BE2EB2}"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53300" name="Text Box 52">
              <a:extLst>
                <a:ext uri="{FF2B5EF4-FFF2-40B4-BE49-F238E27FC236}">
                  <a16:creationId xmlns:a16="http://schemas.microsoft.com/office/drawing/2014/main" id="{00000000-0008-0000-1600-000034D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Design Loads - CE and BR</a:t>
              </a:r>
            </a:p>
          </xdr:txBody>
        </xdr:sp>
        <xdr:sp macro="" textlink="'Cover Sheet'!E4:U4">
          <xdr:nvSpPr>
            <xdr:cNvPr id="53301" name="Text Box 53">
              <a:extLst>
                <a:ext uri="{FF2B5EF4-FFF2-40B4-BE49-F238E27FC236}">
                  <a16:creationId xmlns:a16="http://schemas.microsoft.com/office/drawing/2014/main" id="{00000000-0008-0000-1600-000035D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CEC087E-0866-4EDB-9172-2CFE18371CB1}"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53302" name="Text Box 54">
              <a:extLst>
                <a:ext uri="{FF2B5EF4-FFF2-40B4-BE49-F238E27FC236}">
                  <a16:creationId xmlns:a16="http://schemas.microsoft.com/office/drawing/2014/main" id="{00000000-0008-0000-1600-000036D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5939E566-869A-4B53-B9AF-96F420228D63}"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53303" name="Text Box 55">
              <a:extLst>
                <a:ext uri="{FF2B5EF4-FFF2-40B4-BE49-F238E27FC236}">
                  <a16:creationId xmlns:a16="http://schemas.microsoft.com/office/drawing/2014/main" id="{00000000-0008-0000-1600-000037D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4D0505E3-5F7E-4E79-9764-926E9DFA60BB}"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53304" name="Text Box 56">
              <a:extLst>
                <a:ext uri="{FF2B5EF4-FFF2-40B4-BE49-F238E27FC236}">
                  <a16:creationId xmlns:a16="http://schemas.microsoft.com/office/drawing/2014/main" id="{00000000-0008-0000-1600-000038D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A0BD757F-11F1-4938-82EB-CCC3DF2C9EAA}" type="TxLink">
                <a:rPr lang="en-US"/>
                <a:pPr/>
                <a:t> </a:t>
              </a:fld>
              <a:endParaRPr lang="en-US"/>
            </a:p>
          </xdr:txBody>
        </xdr:sp>
        <xdr:sp macro="" textlink="'Cover Sheet'!U37:Y37">
          <xdr:nvSpPr>
            <xdr:cNvPr id="53305" name="Text Box 57">
              <a:extLst>
                <a:ext uri="{FF2B5EF4-FFF2-40B4-BE49-F238E27FC236}">
                  <a16:creationId xmlns:a16="http://schemas.microsoft.com/office/drawing/2014/main" id="{00000000-0008-0000-1600-000039D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56B5E00-2FF3-4E73-981B-47CBB06D85F3}"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174192</xdr:colOff>
      <xdr:row>4</xdr:row>
      <xdr:rowOff>135255</xdr:rowOff>
    </xdr:to>
    <xdr:pic>
      <xdr:nvPicPr>
        <xdr:cNvPr id="30" name="headerlogo">
          <a:extLst>
            <a:ext uri="{FF2B5EF4-FFF2-40B4-BE49-F238E27FC236}">
              <a16:creationId xmlns:a16="http://schemas.microsoft.com/office/drawing/2014/main" id="{00000000-0008-0000-16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54301" name="Group 29">
          <a:extLst>
            <a:ext uri="{FF2B5EF4-FFF2-40B4-BE49-F238E27FC236}">
              <a16:creationId xmlns:a16="http://schemas.microsoft.com/office/drawing/2014/main" id="{00000000-0008-0000-1700-00001DD40000}"/>
            </a:ext>
          </a:extLst>
        </xdr:cNvPr>
        <xdr:cNvGrpSpPr>
          <a:grpSpLocks/>
        </xdr:cNvGrpSpPr>
      </xdr:nvGrpSpPr>
      <xdr:grpSpPr bwMode="auto">
        <a:xfrm>
          <a:off x="1657350" y="0"/>
          <a:ext cx="6429375" cy="962025"/>
          <a:chOff x="65" y="4"/>
          <a:chExt cx="675" cy="101"/>
        </a:xfrm>
      </xdr:grpSpPr>
      <xdr:grpSp>
        <xdr:nvGrpSpPr>
          <xdr:cNvPr id="54302" name="Group 30">
            <a:extLst>
              <a:ext uri="{FF2B5EF4-FFF2-40B4-BE49-F238E27FC236}">
                <a16:creationId xmlns:a16="http://schemas.microsoft.com/office/drawing/2014/main" id="{00000000-0008-0000-1700-00001ED40000}"/>
              </a:ext>
            </a:extLst>
          </xdr:cNvPr>
          <xdr:cNvGrpSpPr>
            <a:grpSpLocks/>
          </xdr:cNvGrpSpPr>
        </xdr:nvGrpSpPr>
        <xdr:grpSpPr bwMode="auto">
          <a:xfrm>
            <a:off x="65" y="7"/>
            <a:ext cx="675" cy="98"/>
            <a:chOff x="65" y="7"/>
            <a:chExt cx="675" cy="98"/>
          </a:xfrm>
        </xdr:grpSpPr>
        <xdr:grpSp>
          <xdr:nvGrpSpPr>
            <xdr:cNvPr id="54304" name="Group 32">
              <a:extLst>
                <a:ext uri="{FF2B5EF4-FFF2-40B4-BE49-F238E27FC236}">
                  <a16:creationId xmlns:a16="http://schemas.microsoft.com/office/drawing/2014/main" id="{00000000-0008-0000-1700-000020D40000}"/>
                </a:ext>
              </a:extLst>
            </xdr:cNvPr>
            <xdr:cNvGrpSpPr>
              <a:grpSpLocks/>
            </xdr:cNvGrpSpPr>
          </xdr:nvGrpSpPr>
          <xdr:grpSpPr bwMode="auto">
            <a:xfrm>
              <a:off x="232" y="7"/>
              <a:ext cx="433" cy="93"/>
              <a:chOff x="168" y="7"/>
              <a:chExt cx="433" cy="93"/>
            </a:xfrm>
          </xdr:grpSpPr>
          <xdr:sp macro="" textlink="">
            <xdr:nvSpPr>
              <xdr:cNvPr id="54305" name="Text Box 33">
                <a:extLst>
                  <a:ext uri="{FF2B5EF4-FFF2-40B4-BE49-F238E27FC236}">
                    <a16:creationId xmlns:a16="http://schemas.microsoft.com/office/drawing/2014/main" id="{00000000-0008-0000-1700-000021D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4306" name="Text Box 34">
                <a:extLst>
                  <a:ext uri="{FF2B5EF4-FFF2-40B4-BE49-F238E27FC236}">
                    <a16:creationId xmlns:a16="http://schemas.microsoft.com/office/drawing/2014/main" id="{00000000-0008-0000-1700-000022D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4307" name="Text Box 35">
                <a:extLst>
                  <a:ext uri="{FF2B5EF4-FFF2-40B4-BE49-F238E27FC236}">
                    <a16:creationId xmlns:a16="http://schemas.microsoft.com/office/drawing/2014/main" id="{00000000-0008-0000-1700-000023D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4308" name="Text Box 36">
                <a:extLst>
                  <a:ext uri="{FF2B5EF4-FFF2-40B4-BE49-F238E27FC236}">
                    <a16:creationId xmlns:a16="http://schemas.microsoft.com/office/drawing/2014/main" id="{00000000-0008-0000-1700-000024D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4309" name="Text Box 37">
                <a:extLst>
                  <a:ext uri="{FF2B5EF4-FFF2-40B4-BE49-F238E27FC236}">
                    <a16:creationId xmlns:a16="http://schemas.microsoft.com/office/drawing/2014/main" id="{00000000-0008-0000-1700-000025D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4310" name="Text Box 38">
                <a:extLst>
                  <a:ext uri="{FF2B5EF4-FFF2-40B4-BE49-F238E27FC236}">
                    <a16:creationId xmlns:a16="http://schemas.microsoft.com/office/drawing/2014/main" id="{00000000-0008-0000-1700-000026D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4311" name="Text Box 39">
                <a:extLst>
                  <a:ext uri="{FF2B5EF4-FFF2-40B4-BE49-F238E27FC236}">
                    <a16:creationId xmlns:a16="http://schemas.microsoft.com/office/drawing/2014/main" id="{00000000-0008-0000-1700-000027D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4312" name="Text Box 40">
                <a:extLst>
                  <a:ext uri="{FF2B5EF4-FFF2-40B4-BE49-F238E27FC236}">
                    <a16:creationId xmlns:a16="http://schemas.microsoft.com/office/drawing/2014/main" id="{00000000-0008-0000-1700-000028D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4313" name="Text Box 41">
                <a:extLst>
                  <a:ext uri="{FF2B5EF4-FFF2-40B4-BE49-F238E27FC236}">
                    <a16:creationId xmlns:a16="http://schemas.microsoft.com/office/drawing/2014/main" id="{00000000-0008-0000-1700-000029D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4314" name="Text Box 42">
                <a:extLst>
                  <a:ext uri="{FF2B5EF4-FFF2-40B4-BE49-F238E27FC236}">
                    <a16:creationId xmlns:a16="http://schemas.microsoft.com/office/drawing/2014/main" id="{00000000-0008-0000-1700-00002AD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4315" name="Text Box 43">
                <a:extLst>
                  <a:ext uri="{FF2B5EF4-FFF2-40B4-BE49-F238E27FC236}">
                    <a16:creationId xmlns:a16="http://schemas.microsoft.com/office/drawing/2014/main" id="{00000000-0008-0000-1700-00002BD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4316" name="Line 44">
              <a:extLst>
                <a:ext uri="{FF2B5EF4-FFF2-40B4-BE49-F238E27FC236}">
                  <a16:creationId xmlns:a16="http://schemas.microsoft.com/office/drawing/2014/main" id="{00000000-0008-0000-1700-00002CD4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4317" name="Line 45">
              <a:extLst>
                <a:ext uri="{FF2B5EF4-FFF2-40B4-BE49-F238E27FC236}">
                  <a16:creationId xmlns:a16="http://schemas.microsoft.com/office/drawing/2014/main" id="{00000000-0008-0000-1700-00002DD4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4318" name="Line 46">
              <a:extLst>
                <a:ext uri="{FF2B5EF4-FFF2-40B4-BE49-F238E27FC236}">
                  <a16:creationId xmlns:a16="http://schemas.microsoft.com/office/drawing/2014/main" id="{00000000-0008-0000-1700-00002ED4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4319" name="Line 47">
              <a:extLst>
                <a:ext uri="{FF2B5EF4-FFF2-40B4-BE49-F238E27FC236}">
                  <a16:creationId xmlns:a16="http://schemas.microsoft.com/office/drawing/2014/main" id="{00000000-0008-0000-1700-00002FD4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4320" name="Group 48">
            <a:extLst>
              <a:ext uri="{FF2B5EF4-FFF2-40B4-BE49-F238E27FC236}">
                <a16:creationId xmlns:a16="http://schemas.microsoft.com/office/drawing/2014/main" id="{00000000-0008-0000-1700-000030D40000}"/>
              </a:ext>
            </a:extLst>
          </xdr:cNvPr>
          <xdr:cNvGrpSpPr>
            <a:grpSpLocks/>
          </xdr:cNvGrpSpPr>
        </xdr:nvGrpSpPr>
        <xdr:grpSpPr bwMode="auto">
          <a:xfrm>
            <a:off x="272" y="4"/>
            <a:ext cx="457" cy="98"/>
            <a:chOff x="208" y="4"/>
            <a:chExt cx="457" cy="98"/>
          </a:xfrm>
        </xdr:grpSpPr>
        <xdr:sp macro="" textlink="'Cover Sheet'!E5:U5">
          <xdr:nvSpPr>
            <xdr:cNvPr id="54321" name="Text Box 49">
              <a:extLst>
                <a:ext uri="{FF2B5EF4-FFF2-40B4-BE49-F238E27FC236}">
                  <a16:creationId xmlns:a16="http://schemas.microsoft.com/office/drawing/2014/main" id="{00000000-0008-0000-1700-000031D4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0A9C866-2730-4DA6-A9CC-2CFFEB311566}"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54322" name="Text Box 50">
              <a:extLst>
                <a:ext uri="{FF2B5EF4-FFF2-40B4-BE49-F238E27FC236}">
                  <a16:creationId xmlns:a16="http://schemas.microsoft.com/office/drawing/2014/main" id="{00000000-0008-0000-1700-000032D4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442B6AD-56AE-41CB-A12B-C4CFBFBEEE88}"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54323" name="Text Box 51">
              <a:extLst>
                <a:ext uri="{FF2B5EF4-FFF2-40B4-BE49-F238E27FC236}">
                  <a16:creationId xmlns:a16="http://schemas.microsoft.com/office/drawing/2014/main" id="{00000000-0008-0000-1700-000033D4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Design Loads - Wind</a:t>
              </a:r>
            </a:p>
          </xdr:txBody>
        </xdr:sp>
        <xdr:sp macro="" textlink="'Cover Sheet'!E4:U4">
          <xdr:nvSpPr>
            <xdr:cNvPr id="54324" name="Text Box 52">
              <a:extLst>
                <a:ext uri="{FF2B5EF4-FFF2-40B4-BE49-F238E27FC236}">
                  <a16:creationId xmlns:a16="http://schemas.microsoft.com/office/drawing/2014/main" id="{00000000-0008-0000-1700-000034D4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C1B7A9A-EBD9-4373-9696-8AD91424A3BB}"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54325" name="Text Box 53">
              <a:extLst>
                <a:ext uri="{FF2B5EF4-FFF2-40B4-BE49-F238E27FC236}">
                  <a16:creationId xmlns:a16="http://schemas.microsoft.com/office/drawing/2014/main" id="{00000000-0008-0000-1700-000035D4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E1CB02A-53B6-4AC4-A2C7-FF1680AF7932}"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54326" name="Text Box 54">
              <a:extLst>
                <a:ext uri="{FF2B5EF4-FFF2-40B4-BE49-F238E27FC236}">
                  <a16:creationId xmlns:a16="http://schemas.microsoft.com/office/drawing/2014/main" id="{00000000-0008-0000-1700-000036D4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85996D2B-A778-4EA6-A633-2139FD6417FB}"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54327" name="Text Box 55">
              <a:extLst>
                <a:ext uri="{FF2B5EF4-FFF2-40B4-BE49-F238E27FC236}">
                  <a16:creationId xmlns:a16="http://schemas.microsoft.com/office/drawing/2014/main" id="{00000000-0008-0000-1700-000037D4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12E502B-ADCC-40EA-A7CF-847A7212EEF6}" type="TxLink">
                <a:rPr lang="en-US"/>
                <a:pPr/>
                <a:t> </a:t>
              </a:fld>
              <a:endParaRPr lang="en-US"/>
            </a:p>
          </xdr:txBody>
        </xdr:sp>
        <xdr:sp macro="" textlink="'Cover Sheet'!U37:Y37">
          <xdr:nvSpPr>
            <xdr:cNvPr id="54328" name="Text Box 56">
              <a:extLst>
                <a:ext uri="{FF2B5EF4-FFF2-40B4-BE49-F238E27FC236}">
                  <a16:creationId xmlns:a16="http://schemas.microsoft.com/office/drawing/2014/main" id="{00000000-0008-0000-1700-000038D4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9EEFA85A-5F81-4F17-9EC8-C8F6DFC653D9}" type="TxLink">
                <a:rPr lang="en-US"/>
                <a:pPr/>
                <a:t> </a:t>
              </a:fld>
              <a:endParaRPr lang="en-US"/>
            </a:p>
          </xdr:txBody>
        </xdr:sp>
      </xdr:grpSp>
    </xdr:grpSp>
    <xdr:clientData/>
  </xdr:twoCellAnchor>
  <xdr:twoCellAnchor editAs="oneCell">
    <xdr:from>
      <xdr:col>1</xdr:col>
      <xdr:colOff>19050</xdr:colOff>
      <xdr:row>0</xdr:row>
      <xdr:rowOff>19050</xdr:rowOff>
    </xdr:from>
    <xdr:to>
      <xdr:col>3</xdr:col>
      <xdr:colOff>96087</xdr:colOff>
      <xdr:row>4</xdr:row>
      <xdr:rowOff>133350</xdr:rowOff>
    </xdr:to>
    <xdr:pic>
      <xdr:nvPicPr>
        <xdr:cNvPr id="31" name="headerlogo">
          <a:extLst>
            <a:ext uri="{FF2B5EF4-FFF2-40B4-BE49-F238E27FC236}">
              <a16:creationId xmlns:a16="http://schemas.microsoft.com/office/drawing/2014/main" id="{00000000-0008-0000-17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19050"/>
          <a:ext cx="1210512" cy="762000"/>
        </a:xfrm>
        <a:prstGeom prst="rect">
          <a:avLst/>
        </a:prstGeom>
      </xdr:spPr>
    </xdr:pic>
    <xdr:clientData/>
  </xdr:twoCellAnchor>
  <xdr:twoCellAnchor editAs="oneCell">
    <xdr:from>
      <xdr:col>8</xdr:col>
      <xdr:colOff>28576</xdr:colOff>
      <xdr:row>13</xdr:row>
      <xdr:rowOff>0</xdr:rowOff>
    </xdr:from>
    <xdr:to>
      <xdr:col>11</xdr:col>
      <xdr:colOff>91440</xdr:colOff>
      <xdr:row>23</xdr:row>
      <xdr:rowOff>19177</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2"/>
        <a:stretch>
          <a:fillRect/>
        </a:stretch>
      </xdr:blipFill>
      <xdr:spPr>
        <a:xfrm>
          <a:off x="5800726" y="1905001"/>
          <a:ext cx="1724024" cy="2048002"/>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53340</xdr:colOff>
      <xdr:row>5</xdr:row>
      <xdr:rowOff>152400</xdr:rowOff>
    </xdr:to>
    <xdr:grpSp>
      <xdr:nvGrpSpPr>
        <xdr:cNvPr id="55325" name="Group 29">
          <a:extLst>
            <a:ext uri="{FF2B5EF4-FFF2-40B4-BE49-F238E27FC236}">
              <a16:creationId xmlns:a16="http://schemas.microsoft.com/office/drawing/2014/main" id="{00000000-0008-0000-1800-00001DD80000}"/>
            </a:ext>
          </a:extLst>
        </xdr:cNvPr>
        <xdr:cNvGrpSpPr>
          <a:grpSpLocks/>
        </xdr:cNvGrpSpPr>
      </xdr:nvGrpSpPr>
      <xdr:grpSpPr bwMode="auto">
        <a:xfrm>
          <a:off x="1657350" y="0"/>
          <a:ext cx="6435090" cy="962025"/>
          <a:chOff x="65" y="4"/>
          <a:chExt cx="675" cy="101"/>
        </a:xfrm>
      </xdr:grpSpPr>
      <xdr:grpSp>
        <xdr:nvGrpSpPr>
          <xdr:cNvPr id="55326" name="Group 30">
            <a:extLst>
              <a:ext uri="{FF2B5EF4-FFF2-40B4-BE49-F238E27FC236}">
                <a16:creationId xmlns:a16="http://schemas.microsoft.com/office/drawing/2014/main" id="{00000000-0008-0000-1800-00001ED80000}"/>
              </a:ext>
            </a:extLst>
          </xdr:cNvPr>
          <xdr:cNvGrpSpPr>
            <a:grpSpLocks/>
          </xdr:cNvGrpSpPr>
        </xdr:nvGrpSpPr>
        <xdr:grpSpPr bwMode="auto">
          <a:xfrm>
            <a:off x="65" y="7"/>
            <a:ext cx="675" cy="98"/>
            <a:chOff x="65" y="7"/>
            <a:chExt cx="675" cy="98"/>
          </a:xfrm>
        </xdr:grpSpPr>
        <xdr:grpSp>
          <xdr:nvGrpSpPr>
            <xdr:cNvPr id="55328" name="Group 32">
              <a:extLst>
                <a:ext uri="{FF2B5EF4-FFF2-40B4-BE49-F238E27FC236}">
                  <a16:creationId xmlns:a16="http://schemas.microsoft.com/office/drawing/2014/main" id="{00000000-0008-0000-1800-000020D80000}"/>
                </a:ext>
              </a:extLst>
            </xdr:cNvPr>
            <xdr:cNvGrpSpPr>
              <a:grpSpLocks/>
            </xdr:cNvGrpSpPr>
          </xdr:nvGrpSpPr>
          <xdr:grpSpPr bwMode="auto">
            <a:xfrm>
              <a:off x="232" y="7"/>
              <a:ext cx="433" cy="93"/>
              <a:chOff x="168" y="7"/>
              <a:chExt cx="433" cy="93"/>
            </a:xfrm>
          </xdr:grpSpPr>
          <xdr:sp macro="" textlink="">
            <xdr:nvSpPr>
              <xdr:cNvPr id="55329" name="Text Box 33">
                <a:extLst>
                  <a:ext uri="{FF2B5EF4-FFF2-40B4-BE49-F238E27FC236}">
                    <a16:creationId xmlns:a16="http://schemas.microsoft.com/office/drawing/2014/main" id="{00000000-0008-0000-1800-000021D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5330" name="Text Box 34">
                <a:extLst>
                  <a:ext uri="{FF2B5EF4-FFF2-40B4-BE49-F238E27FC236}">
                    <a16:creationId xmlns:a16="http://schemas.microsoft.com/office/drawing/2014/main" id="{00000000-0008-0000-1800-000022D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5331" name="Text Box 35">
                <a:extLst>
                  <a:ext uri="{FF2B5EF4-FFF2-40B4-BE49-F238E27FC236}">
                    <a16:creationId xmlns:a16="http://schemas.microsoft.com/office/drawing/2014/main" id="{00000000-0008-0000-1800-000023D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5332" name="Text Box 36">
                <a:extLst>
                  <a:ext uri="{FF2B5EF4-FFF2-40B4-BE49-F238E27FC236}">
                    <a16:creationId xmlns:a16="http://schemas.microsoft.com/office/drawing/2014/main" id="{00000000-0008-0000-1800-000024D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5333" name="Text Box 37">
                <a:extLst>
                  <a:ext uri="{FF2B5EF4-FFF2-40B4-BE49-F238E27FC236}">
                    <a16:creationId xmlns:a16="http://schemas.microsoft.com/office/drawing/2014/main" id="{00000000-0008-0000-1800-000025D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5334" name="Text Box 38">
                <a:extLst>
                  <a:ext uri="{FF2B5EF4-FFF2-40B4-BE49-F238E27FC236}">
                    <a16:creationId xmlns:a16="http://schemas.microsoft.com/office/drawing/2014/main" id="{00000000-0008-0000-1800-000026D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5335" name="Text Box 39">
                <a:extLst>
                  <a:ext uri="{FF2B5EF4-FFF2-40B4-BE49-F238E27FC236}">
                    <a16:creationId xmlns:a16="http://schemas.microsoft.com/office/drawing/2014/main" id="{00000000-0008-0000-1800-000027D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5336" name="Text Box 40">
                <a:extLst>
                  <a:ext uri="{FF2B5EF4-FFF2-40B4-BE49-F238E27FC236}">
                    <a16:creationId xmlns:a16="http://schemas.microsoft.com/office/drawing/2014/main" id="{00000000-0008-0000-1800-000028D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5337" name="Text Box 41">
                <a:extLst>
                  <a:ext uri="{FF2B5EF4-FFF2-40B4-BE49-F238E27FC236}">
                    <a16:creationId xmlns:a16="http://schemas.microsoft.com/office/drawing/2014/main" id="{00000000-0008-0000-1800-000029D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5338" name="Text Box 42">
                <a:extLst>
                  <a:ext uri="{FF2B5EF4-FFF2-40B4-BE49-F238E27FC236}">
                    <a16:creationId xmlns:a16="http://schemas.microsoft.com/office/drawing/2014/main" id="{00000000-0008-0000-1800-00002AD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5339" name="Text Box 43">
                <a:extLst>
                  <a:ext uri="{FF2B5EF4-FFF2-40B4-BE49-F238E27FC236}">
                    <a16:creationId xmlns:a16="http://schemas.microsoft.com/office/drawing/2014/main" id="{00000000-0008-0000-1800-00002BD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5340" name="Line 44">
              <a:extLst>
                <a:ext uri="{FF2B5EF4-FFF2-40B4-BE49-F238E27FC236}">
                  <a16:creationId xmlns:a16="http://schemas.microsoft.com/office/drawing/2014/main" id="{00000000-0008-0000-1800-00002CD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5341" name="Line 45">
              <a:extLst>
                <a:ext uri="{FF2B5EF4-FFF2-40B4-BE49-F238E27FC236}">
                  <a16:creationId xmlns:a16="http://schemas.microsoft.com/office/drawing/2014/main" id="{00000000-0008-0000-1800-00002DD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5342" name="Line 46">
              <a:extLst>
                <a:ext uri="{FF2B5EF4-FFF2-40B4-BE49-F238E27FC236}">
                  <a16:creationId xmlns:a16="http://schemas.microsoft.com/office/drawing/2014/main" id="{00000000-0008-0000-1800-00002ED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5343" name="Line 47">
              <a:extLst>
                <a:ext uri="{FF2B5EF4-FFF2-40B4-BE49-F238E27FC236}">
                  <a16:creationId xmlns:a16="http://schemas.microsoft.com/office/drawing/2014/main" id="{00000000-0008-0000-1800-00002FD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5344" name="Group 48">
            <a:extLst>
              <a:ext uri="{FF2B5EF4-FFF2-40B4-BE49-F238E27FC236}">
                <a16:creationId xmlns:a16="http://schemas.microsoft.com/office/drawing/2014/main" id="{00000000-0008-0000-1800-000030D80000}"/>
              </a:ext>
            </a:extLst>
          </xdr:cNvPr>
          <xdr:cNvGrpSpPr>
            <a:grpSpLocks/>
          </xdr:cNvGrpSpPr>
        </xdr:nvGrpSpPr>
        <xdr:grpSpPr bwMode="auto">
          <a:xfrm>
            <a:off x="272" y="4"/>
            <a:ext cx="457" cy="98"/>
            <a:chOff x="208" y="4"/>
            <a:chExt cx="457" cy="98"/>
          </a:xfrm>
        </xdr:grpSpPr>
        <xdr:sp macro="" textlink="'Cover Sheet'!E5:U5">
          <xdr:nvSpPr>
            <xdr:cNvPr id="55345" name="Text Box 49">
              <a:extLst>
                <a:ext uri="{FF2B5EF4-FFF2-40B4-BE49-F238E27FC236}">
                  <a16:creationId xmlns:a16="http://schemas.microsoft.com/office/drawing/2014/main" id="{00000000-0008-0000-1800-000031D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030EFF3-135C-42BD-B4C0-3E50E691BF38}"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55346" name="Text Box 50">
              <a:extLst>
                <a:ext uri="{FF2B5EF4-FFF2-40B4-BE49-F238E27FC236}">
                  <a16:creationId xmlns:a16="http://schemas.microsoft.com/office/drawing/2014/main" id="{00000000-0008-0000-1800-000032D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78D39A3-A2DA-4A38-977C-D5CFF5CD7D63}"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55347" name="Text Box 51">
              <a:extLst>
                <a:ext uri="{FF2B5EF4-FFF2-40B4-BE49-F238E27FC236}">
                  <a16:creationId xmlns:a16="http://schemas.microsoft.com/office/drawing/2014/main" id="{00000000-0008-0000-1800-000033D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Analysis</a:t>
              </a:r>
            </a:p>
          </xdr:txBody>
        </xdr:sp>
        <xdr:sp macro="" textlink="'Cover Sheet'!E4:U4">
          <xdr:nvSpPr>
            <xdr:cNvPr id="55348" name="Text Box 52">
              <a:extLst>
                <a:ext uri="{FF2B5EF4-FFF2-40B4-BE49-F238E27FC236}">
                  <a16:creationId xmlns:a16="http://schemas.microsoft.com/office/drawing/2014/main" id="{00000000-0008-0000-1800-000034D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736BB5F-1BE7-41DA-8983-A42A48E4C8B3}"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55349" name="Text Box 53">
              <a:extLst>
                <a:ext uri="{FF2B5EF4-FFF2-40B4-BE49-F238E27FC236}">
                  <a16:creationId xmlns:a16="http://schemas.microsoft.com/office/drawing/2014/main" id="{00000000-0008-0000-1800-000035D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2091D699-9727-4747-8117-B4F41FE714F6}"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55350" name="Text Box 54">
              <a:extLst>
                <a:ext uri="{FF2B5EF4-FFF2-40B4-BE49-F238E27FC236}">
                  <a16:creationId xmlns:a16="http://schemas.microsoft.com/office/drawing/2014/main" id="{00000000-0008-0000-1800-000036D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6D712C3-B4E2-4A12-B327-4870E80988CB}"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55351" name="Text Box 55">
              <a:extLst>
                <a:ext uri="{FF2B5EF4-FFF2-40B4-BE49-F238E27FC236}">
                  <a16:creationId xmlns:a16="http://schemas.microsoft.com/office/drawing/2014/main" id="{00000000-0008-0000-1800-000037D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26EB497-B4BC-4D44-B8C4-BD348B500503}" type="TxLink">
                <a:rPr lang="en-US"/>
                <a:pPr/>
                <a:t> </a:t>
              </a:fld>
              <a:endParaRPr lang="en-US"/>
            </a:p>
          </xdr:txBody>
        </xdr:sp>
        <xdr:sp macro="" textlink="'Cover Sheet'!U37:Y37">
          <xdr:nvSpPr>
            <xdr:cNvPr id="55352" name="Text Box 56">
              <a:extLst>
                <a:ext uri="{FF2B5EF4-FFF2-40B4-BE49-F238E27FC236}">
                  <a16:creationId xmlns:a16="http://schemas.microsoft.com/office/drawing/2014/main" id="{00000000-0008-0000-1800-000038D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587E7ACB-BC51-402C-8D52-7F2B121F4210}"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77037</xdr:colOff>
      <xdr:row>4</xdr:row>
      <xdr:rowOff>131445</xdr:rowOff>
    </xdr:to>
    <xdr:pic>
      <xdr:nvPicPr>
        <xdr:cNvPr id="30" name="headerlogo">
          <a:extLst>
            <a:ext uri="{FF2B5EF4-FFF2-40B4-BE49-F238E27FC236}">
              <a16:creationId xmlns:a16="http://schemas.microsoft.com/office/drawing/2014/main" id="{00000000-0008-0000-18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57150</xdr:colOff>
      <xdr:row>5</xdr:row>
      <xdr:rowOff>152400</xdr:rowOff>
    </xdr:to>
    <xdr:grpSp>
      <xdr:nvGrpSpPr>
        <xdr:cNvPr id="56349" name="Group 29">
          <a:extLst>
            <a:ext uri="{FF2B5EF4-FFF2-40B4-BE49-F238E27FC236}">
              <a16:creationId xmlns:a16="http://schemas.microsoft.com/office/drawing/2014/main" id="{00000000-0008-0000-1900-00001DDC0000}"/>
            </a:ext>
          </a:extLst>
        </xdr:cNvPr>
        <xdr:cNvGrpSpPr>
          <a:grpSpLocks/>
        </xdr:cNvGrpSpPr>
      </xdr:nvGrpSpPr>
      <xdr:grpSpPr bwMode="auto">
        <a:xfrm>
          <a:off x="1657350" y="0"/>
          <a:ext cx="6438900" cy="962025"/>
          <a:chOff x="65" y="4"/>
          <a:chExt cx="675" cy="101"/>
        </a:xfrm>
      </xdr:grpSpPr>
      <xdr:grpSp>
        <xdr:nvGrpSpPr>
          <xdr:cNvPr id="56350" name="Group 30">
            <a:extLst>
              <a:ext uri="{FF2B5EF4-FFF2-40B4-BE49-F238E27FC236}">
                <a16:creationId xmlns:a16="http://schemas.microsoft.com/office/drawing/2014/main" id="{00000000-0008-0000-1900-00001EDC0000}"/>
              </a:ext>
            </a:extLst>
          </xdr:cNvPr>
          <xdr:cNvGrpSpPr>
            <a:grpSpLocks/>
          </xdr:cNvGrpSpPr>
        </xdr:nvGrpSpPr>
        <xdr:grpSpPr bwMode="auto">
          <a:xfrm>
            <a:off x="65" y="7"/>
            <a:ext cx="675" cy="98"/>
            <a:chOff x="65" y="7"/>
            <a:chExt cx="675" cy="98"/>
          </a:xfrm>
        </xdr:grpSpPr>
        <xdr:grpSp>
          <xdr:nvGrpSpPr>
            <xdr:cNvPr id="56352" name="Group 32">
              <a:extLst>
                <a:ext uri="{FF2B5EF4-FFF2-40B4-BE49-F238E27FC236}">
                  <a16:creationId xmlns:a16="http://schemas.microsoft.com/office/drawing/2014/main" id="{00000000-0008-0000-1900-000020DC0000}"/>
                </a:ext>
              </a:extLst>
            </xdr:cNvPr>
            <xdr:cNvGrpSpPr>
              <a:grpSpLocks/>
            </xdr:cNvGrpSpPr>
          </xdr:nvGrpSpPr>
          <xdr:grpSpPr bwMode="auto">
            <a:xfrm>
              <a:off x="232" y="7"/>
              <a:ext cx="433" cy="93"/>
              <a:chOff x="168" y="7"/>
              <a:chExt cx="433" cy="93"/>
            </a:xfrm>
          </xdr:grpSpPr>
          <xdr:sp macro="" textlink="">
            <xdr:nvSpPr>
              <xdr:cNvPr id="56353" name="Text Box 33">
                <a:extLst>
                  <a:ext uri="{FF2B5EF4-FFF2-40B4-BE49-F238E27FC236}">
                    <a16:creationId xmlns:a16="http://schemas.microsoft.com/office/drawing/2014/main" id="{00000000-0008-0000-1900-000021D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6354" name="Text Box 34">
                <a:extLst>
                  <a:ext uri="{FF2B5EF4-FFF2-40B4-BE49-F238E27FC236}">
                    <a16:creationId xmlns:a16="http://schemas.microsoft.com/office/drawing/2014/main" id="{00000000-0008-0000-1900-000022D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6355" name="Text Box 35">
                <a:extLst>
                  <a:ext uri="{FF2B5EF4-FFF2-40B4-BE49-F238E27FC236}">
                    <a16:creationId xmlns:a16="http://schemas.microsoft.com/office/drawing/2014/main" id="{00000000-0008-0000-1900-000023D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6356" name="Text Box 36">
                <a:extLst>
                  <a:ext uri="{FF2B5EF4-FFF2-40B4-BE49-F238E27FC236}">
                    <a16:creationId xmlns:a16="http://schemas.microsoft.com/office/drawing/2014/main" id="{00000000-0008-0000-1900-000024D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6357" name="Text Box 37">
                <a:extLst>
                  <a:ext uri="{FF2B5EF4-FFF2-40B4-BE49-F238E27FC236}">
                    <a16:creationId xmlns:a16="http://schemas.microsoft.com/office/drawing/2014/main" id="{00000000-0008-0000-1900-000025D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6358" name="Text Box 38">
                <a:extLst>
                  <a:ext uri="{FF2B5EF4-FFF2-40B4-BE49-F238E27FC236}">
                    <a16:creationId xmlns:a16="http://schemas.microsoft.com/office/drawing/2014/main" id="{00000000-0008-0000-1900-000026D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6359" name="Text Box 39">
                <a:extLst>
                  <a:ext uri="{FF2B5EF4-FFF2-40B4-BE49-F238E27FC236}">
                    <a16:creationId xmlns:a16="http://schemas.microsoft.com/office/drawing/2014/main" id="{00000000-0008-0000-1900-000027D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6360" name="Text Box 40">
                <a:extLst>
                  <a:ext uri="{FF2B5EF4-FFF2-40B4-BE49-F238E27FC236}">
                    <a16:creationId xmlns:a16="http://schemas.microsoft.com/office/drawing/2014/main" id="{00000000-0008-0000-1900-000028D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6361" name="Text Box 41">
                <a:extLst>
                  <a:ext uri="{FF2B5EF4-FFF2-40B4-BE49-F238E27FC236}">
                    <a16:creationId xmlns:a16="http://schemas.microsoft.com/office/drawing/2014/main" id="{00000000-0008-0000-1900-000029D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6362" name="Text Box 42">
                <a:extLst>
                  <a:ext uri="{FF2B5EF4-FFF2-40B4-BE49-F238E27FC236}">
                    <a16:creationId xmlns:a16="http://schemas.microsoft.com/office/drawing/2014/main" id="{00000000-0008-0000-1900-00002AD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6363" name="Text Box 43">
                <a:extLst>
                  <a:ext uri="{FF2B5EF4-FFF2-40B4-BE49-F238E27FC236}">
                    <a16:creationId xmlns:a16="http://schemas.microsoft.com/office/drawing/2014/main" id="{00000000-0008-0000-1900-00002BD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6364" name="Line 44">
              <a:extLst>
                <a:ext uri="{FF2B5EF4-FFF2-40B4-BE49-F238E27FC236}">
                  <a16:creationId xmlns:a16="http://schemas.microsoft.com/office/drawing/2014/main" id="{00000000-0008-0000-1900-00002CD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6365" name="Line 45">
              <a:extLst>
                <a:ext uri="{FF2B5EF4-FFF2-40B4-BE49-F238E27FC236}">
                  <a16:creationId xmlns:a16="http://schemas.microsoft.com/office/drawing/2014/main" id="{00000000-0008-0000-1900-00002DD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6366" name="Line 46">
              <a:extLst>
                <a:ext uri="{FF2B5EF4-FFF2-40B4-BE49-F238E27FC236}">
                  <a16:creationId xmlns:a16="http://schemas.microsoft.com/office/drawing/2014/main" id="{00000000-0008-0000-1900-00002ED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6367" name="Line 47">
              <a:extLst>
                <a:ext uri="{FF2B5EF4-FFF2-40B4-BE49-F238E27FC236}">
                  <a16:creationId xmlns:a16="http://schemas.microsoft.com/office/drawing/2014/main" id="{00000000-0008-0000-1900-00002FD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6368" name="Group 48">
            <a:extLst>
              <a:ext uri="{FF2B5EF4-FFF2-40B4-BE49-F238E27FC236}">
                <a16:creationId xmlns:a16="http://schemas.microsoft.com/office/drawing/2014/main" id="{00000000-0008-0000-1900-000030DC0000}"/>
              </a:ext>
            </a:extLst>
          </xdr:cNvPr>
          <xdr:cNvGrpSpPr>
            <a:grpSpLocks/>
          </xdr:cNvGrpSpPr>
        </xdr:nvGrpSpPr>
        <xdr:grpSpPr bwMode="auto">
          <a:xfrm>
            <a:off x="272" y="4"/>
            <a:ext cx="457" cy="98"/>
            <a:chOff x="208" y="4"/>
            <a:chExt cx="457" cy="98"/>
          </a:xfrm>
        </xdr:grpSpPr>
        <xdr:sp macro="" textlink="'Cover Sheet'!E5:U5">
          <xdr:nvSpPr>
            <xdr:cNvPr id="56369" name="Text Box 49">
              <a:extLst>
                <a:ext uri="{FF2B5EF4-FFF2-40B4-BE49-F238E27FC236}">
                  <a16:creationId xmlns:a16="http://schemas.microsoft.com/office/drawing/2014/main" id="{00000000-0008-0000-1900-000031D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C8A458DB-E91D-444A-A28B-7D2DF60E5288}"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56370" name="Text Box 50">
              <a:extLst>
                <a:ext uri="{FF2B5EF4-FFF2-40B4-BE49-F238E27FC236}">
                  <a16:creationId xmlns:a16="http://schemas.microsoft.com/office/drawing/2014/main" id="{00000000-0008-0000-1900-000032D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E6E46828-3A46-4D29-BFF6-8A17D2BDE763}"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56371" name="Text Box 51">
              <a:extLst>
                <a:ext uri="{FF2B5EF4-FFF2-40B4-BE49-F238E27FC236}">
                  <a16:creationId xmlns:a16="http://schemas.microsoft.com/office/drawing/2014/main" id="{00000000-0008-0000-1900-000033D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Analysis</a:t>
              </a:r>
            </a:p>
          </xdr:txBody>
        </xdr:sp>
        <xdr:sp macro="" textlink="'Cover Sheet'!E4:U4">
          <xdr:nvSpPr>
            <xdr:cNvPr id="56372" name="Text Box 52">
              <a:extLst>
                <a:ext uri="{FF2B5EF4-FFF2-40B4-BE49-F238E27FC236}">
                  <a16:creationId xmlns:a16="http://schemas.microsoft.com/office/drawing/2014/main" id="{00000000-0008-0000-1900-000034D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6AEB0A0-37E7-4E57-A103-57302313FFE3}"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56373" name="Text Box 53">
              <a:extLst>
                <a:ext uri="{FF2B5EF4-FFF2-40B4-BE49-F238E27FC236}">
                  <a16:creationId xmlns:a16="http://schemas.microsoft.com/office/drawing/2014/main" id="{00000000-0008-0000-1900-000035D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F90BB711-EB45-418D-8AF6-3E253F2DACE8}"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56374" name="Text Box 54">
              <a:extLst>
                <a:ext uri="{FF2B5EF4-FFF2-40B4-BE49-F238E27FC236}">
                  <a16:creationId xmlns:a16="http://schemas.microsoft.com/office/drawing/2014/main" id="{00000000-0008-0000-1900-000036D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0E05D2C-0140-4DBB-9969-6E759514E98C}"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56375" name="Text Box 55">
              <a:extLst>
                <a:ext uri="{FF2B5EF4-FFF2-40B4-BE49-F238E27FC236}">
                  <a16:creationId xmlns:a16="http://schemas.microsoft.com/office/drawing/2014/main" id="{00000000-0008-0000-1900-000037D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CE8CD7AD-6673-4373-9C6C-0E894F699C56}" type="TxLink">
                <a:rPr lang="en-US"/>
                <a:pPr/>
                <a:t> </a:t>
              </a:fld>
              <a:endParaRPr lang="en-US"/>
            </a:p>
          </xdr:txBody>
        </xdr:sp>
        <xdr:sp macro="" textlink="'Cover Sheet'!U37:Y37">
          <xdr:nvSpPr>
            <xdr:cNvPr id="56376" name="Text Box 56">
              <a:extLst>
                <a:ext uri="{FF2B5EF4-FFF2-40B4-BE49-F238E27FC236}">
                  <a16:creationId xmlns:a16="http://schemas.microsoft.com/office/drawing/2014/main" id="{00000000-0008-0000-1900-000038D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6B9E25CC-4784-4780-8ADE-880B12DB085F}" type="TxLink">
                <a:rPr lang="en-US"/>
                <a:pPr/>
                <a:t> </a:t>
              </a:fld>
              <a:endParaRPr lang="en-US"/>
            </a:p>
          </xdr:txBody>
        </xdr:sp>
      </xdr:grpSp>
    </xdr:grpSp>
    <xdr:clientData/>
  </xdr:twoCellAnchor>
  <xdr:twoCellAnchor editAs="oneCell">
    <xdr:from>
      <xdr:col>1</xdr:col>
      <xdr:colOff>38100</xdr:colOff>
      <xdr:row>0</xdr:row>
      <xdr:rowOff>28575</xdr:rowOff>
    </xdr:from>
    <xdr:to>
      <xdr:col>3</xdr:col>
      <xdr:colOff>96087</xdr:colOff>
      <xdr:row>4</xdr:row>
      <xdr:rowOff>135255</xdr:rowOff>
    </xdr:to>
    <xdr:pic>
      <xdr:nvPicPr>
        <xdr:cNvPr id="30" name="headerlogo">
          <a:extLst>
            <a:ext uri="{FF2B5EF4-FFF2-40B4-BE49-F238E27FC236}">
              <a16:creationId xmlns:a16="http://schemas.microsoft.com/office/drawing/2014/main" id="{00000000-0008-0000-19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28575"/>
          <a:ext cx="1210512"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9511</xdr:colOff>
      <xdr:row>0</xdr:row>
      <xdr:rowOff>0</xdr:rowOff>
    </xdr:from>
    <xdr:to>
      <xdr:col>12</xdr:col>
      <xdr:colOff>38100</xdr:colOff>
      <xdr:row>5</xdr:row>
      <xdr:rowOff>133350</xdr:rowOff>
    </xdr:to>
    <xdr:grpSp>
      <xdr:nvGrpSpPr>
        <xdr:cNvPr id="118785" name="Group 1">
          <a:extLst>
            <a:ext uri="{FF2B5EF4-FFF2-40B4-BE49-F238E27FC236}">
              <a16:creationId xmlns:a16="http://schemas.microsoft.com/office/drawing/2014/main" id="{00000000-0008-0000-1A00-000001D00100}"/>
            </a:ext>
          </a:extLst>
        </xdr:cNvPr>
        <xdr:cNvGrpSpPr>
          <a:grpSpLocks/>
        </xdr:cNvGrpSpPr>
      </xdr:nvGrpSpPr>
      <xdr:grpSpPr bwMode="auto">
        <a:xfrm>
          <a:off x="1657336" y="0"/>
          <a:ext cx="6419864" cy="942975"/>
          <a:chOff x="65" y="4"/>
          <a:chExt cx="675" cy="101"/>
        </a:xfrm>
      </xdr:grpSpPr>
      <xdr:grpSp>
        <xdr:nvGrpSpPr>
          <xdr:cNvPr id="118786" name="Group 2">
            <a:extLst>
              <a:ext uri="{FF2B5EF4-FFF2-40B4-BE49-F238E27FC236}">
                <a16:creationId xmlns:a16="http://schemas.microsoft.com/office/drawing/2014/main" id="{00000000-0008-0000-1A00-000002D00100}"/>
              </a:ext>
            </a:extLst>
          </xdr:cNvPr>
          <xdr:cNvGrpSpPr>
            <a:grpSpLocks/>
          </xdr:cNvGrpSpPr>
        </xdr:nvGrpSpPr>
        <xdr:grpSpPr bwMode="auto">
          <a:xfrm>
            <a:off x="65" y="7"/>
            <a:ext cx="675" cy="98"/>
            <a:chOff x="65" y="7"/>
            <a:chExt cx="675" cy="98"/>
          </a:xfrm>
        </xdr:grpSpPr>
        <xdr:grpSp>
          <xdr:nvGrpSpPr>
            <xdr:cNvPr id="118788" name="Group 4">
              <a:extLst>
                <a:ext uri="{FF2B5EF4-FFF2-40B4-BE49-F238E27FC236}">
                  <a16:creationId xmlns:a16="http://schemas.microsoft.com/office/drawing/2014/main" id="{00000000-0008-0000-1A00-000004D00100}"/>
                </a:ext>
              </a:extLst>
            </xdr:cNvPr>
            <xdr:cNvGrpSpPr>
              <a:grpSpLocks/>
            </xdr:cNvGrpSpPr>
          </xdr:nvGrpSpPr>
          <xdr:grpSpPr bwMode="auto">
            <a:xfrm>
              <a:off x="232" y="7"/>
              <a:ext cx="433" cy="93"/>
              <a:chOff x="168" y="7"/>
              <a:chExt cx="433" cy="93"/>
            </a:xfrm>
          </xdr:grpSpPr>
          <xdr:sp macro="" textlink="">
            <xdr:nvSpPr>
              <xdr:cNvPr id="118789" name="Text Box 5">
                <a:extLst>
                  <a:ext uri="{FF2B5EF4-FFF2-40B4-BE49-F238E27FC236}">
                    <a16:creationId xmlns:a16="http://schemas.microsoft.com/office/drawing/2014/main" id="{00000000-0008-0000-1A00-000005D0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18790" name="Text Box 6">
                <a:extLst>
                  <a:ext uri="{FF2B5EF4-FFF2-40B4-BE49-F238E27FC236}">
                    <a16:creationId xmlns:a16="http://schemas.microsoft.com/office/drawing/2014/main" id="{00000000-0008-0000-1A00-000006D0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18791" name="Text Box 7">
                <a:extLst>
                  <a:ext uri="{FF2B5EF4-FFF2-40B4-BE49-F238E27FC236}">
                    <a16:creationId xmlns:a16="http://schemas.microsoft.com/office/drawing/2014/main" id="{00000000-0008-0000-1A00-000007D0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18792" name="Text Box 8">
                <a:extLst>
                  <a:ext uri="{FF2B5EF4-FFF2-40B4-BE49-F238E27FC236}">
                    <a16:creationId xmlns:a16="http://schemas.microsoft.com/office/drawing/2014/main" id="{00000000-0008-0000-1A00-000008D0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18793" name="Text Box 9">
                <a:extLst>
                  <a:ext uri="{FF2B5EF4-FFF2-40B4-BE49-F238E27FC236}">
                    <a16:creationId xmlns:a16="http://schemas.microsoft.com/office/drawing/2014/main" id="{00000000-0008-0000-1A00-000009D0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18794" name="Text Box 10">
                <a:extLst>
                  <a:ext uri="{FF2B5EF4-FFF2-40B4-BE49-F238E27FC236}">
                    <a16:creationId xmlns:a16="http://schemas.microsoft.com/office/drawing/2014/main" id="{00000000-0008-0000-1A00-00000AD0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18795" name="Text Box 11">
                <a:extLst>
                  <a:ext uri="{FF2B5EF4-FFF2-40B4-BE49-F238E27FC236}">
                    <a16:creationId xmlns:a16="http://schemas.microsoft.com/office/drawing/2014/main" id="{00000000-0008-0000-1A00-00000BD0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18796" name="Text Box 12">
                <a:extLst>
                  <a:ext uri="{FF2B5EF4-FFF2-40B4-BE49-F238E27FC236}">
                    <a16:creationId xmlns:a16="http://schemas.microsoft.com/office/drawing/2014/main" id="{00000000-0008-0000-1A00-00000CD0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18797" name="Text Box 13">
                <a:extLst>
                  <a:ext uri="{FF2B5EF4-FFF2-40B4-BE49-F238E27FC236}">
                    <a16:creationId xmlns:a16="http://schemas.microsoft.com/office/drawing/2014/main" id="{00000000-0008-0000-1A00-00000DD0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18798" name="Text Box 14">
                <a:extLst>
                  <a:ext uri="{FF2B5EF4-FFF2-40B4-BE49-F238E27FC236}">
                    <a16:creationId xmlns:a16="http://schemas.microsoft.com/office/drawing/2014/main" id="{00000000-0008-0000-1A00-00000ED0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18799" name="Text Box 15">
                <a:extLst>
                  <a:ext uri="{FF2B5EF4-FFF2-40B4-BE49-F238E27FC236}">
                    <a16:creationId xmlns:a16="http://schemas.microsoft.com/office/drawing/2014/main" id="{00000000-0008-0000-1A00-00000FD0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18800" name="Line 16">
              <a:extLst>
                <a:ext uri="{FF2B5EF4-FFF2-40B4-BE49-F238E27FC236}">
                  <a16:creationId xmlns:a16="http://schemas.microsoft.com/office/drawing/2014/main" id="{00000000-0008-0000-1A00-000010D0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18801" name="Line 17">
              <a:extLst>
                <a:ext uri="{FF2B5EF4-FFF2-40B4-BE49-F238E27FC236}">
                  <a16:creationId xmlns:a16="http://schemas.microsoft.com/office/drawing/2014/main" id="{00000000-0008-0000-1A00-000011D0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18802" name="Line 18">
              <a:extLst>
                <a:ext uri="{FF2B5EF4-FFF2-40B4-BE49-F238E27FC236}">
                  <a16:creationId xmlns:a16="http://schemas.microsoft.com/office/drawing/2014/main" id="{00000000-0008-0000-1A00-000012D0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18803" name="Line 19">
              <a:extLst>
                <a:ext uri="{FF2B5EF4-FFF2-40B4-BE49-F238E27FC236}">
                  <a16:creationId xmlns:a16="http://schemas.microsoft.com/office/drawing/2014/main" id="{00000000-0008-0000-1A00-000013D0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18804" name="Group 20">
            <a:extLst>
              <a:ext uri="{FF2B5EF4-FFF2-40B4-BE49-F238E27FC236}">
                <a16:creationId xmlns:a16="http://schemas.microsoft.com/office/drawing/2014/main" id="{00000000-0008-0000-1A00-000014D00100}"/>
              </a:ext>
            </a:extLst>
          </xdr:cNvPr>
          <xdr:cNvGrpSpPr>
            <a:grpSpLocks/>
          </xdr:cNvGrpSpPr>
        </xdr:nvGrpSpPr>
        <xdr:grpSpPr bwMode="auto">
          <a:xfrm>
            <a:off x="272" y="4"/>
            <a:ext cx="457" cy="98"/>
            <a:chOff x="208" y="4"/>
            <a:chExt cx="457" cy="98"/>
          </a:xfrm>
        </xdr:grpSpPr>
        <xdr:sp macro="" textlink="'Cover Sheet'!E5:U5">
          <xdr:nvSpPr>
            <xdr:cNvPr id="118805" name="Text Box 21">
              <a:extLst>
                <a:ext uri="{FF2B5EF4-FFF2-40B4-BE49-F238E27FC236}">
                  <a16:creationId xmlns:a16="http://schemas.microsoft.com/office/drawing/2014/main" id="{00000000-0008-0000-1A00-000015D0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B8D3C4D-A067-4005-8322-B7470A514729}" type="TxLink">
                <a:rPr lang="en-US" sz="900" b="1" i="0" u="none" strike="noStrike">
                  <a:solidFill>
                    <a:srgbClr val="000000"/>
                  </a:solidFill>
                  <a:latin typeface="Arial"/>
                  <a:cs typeface="Arial"/>
                </a:rPr>
                <a:pPr algn="l" rtl="1">
                  <a:defRPr sz="1000"/>
                </a:pPr>
                <a:t>TEST</a:t>
              </a:fld>
              <a:endParaRPr lang="en-US" sz="900" b="1" i="0" strike="noStrike">
                <a:solidFill>
                  <a:srgbClr val="000000"/>
                </a:solidFill>
                <a:latin typeface="Arial"/>
                <a:cs typeface="Arial"/>
              </a:endParaRPr>
            </a:p>
          </xdr:txBody>
        </xdr:sp>
        <xdr:sp macro="" textlink="'Cover Sheet'!Z4:AG4">
          <xdr:nvSpPr>
            <xdr:cNvPr id="118806" name="Text Box 22">
              <a:extLst>
                <a:ext uri="{FF2B5EF4-FFF2-40B4-BE49-F238E27FC236}">
                  <a16:creationId xmlns:a16="http://schemas.microsoft.com/office/drawing/2014/main" id="{00000000-0008-0000-1A00-000016D0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0AA44428-C113-4186-A7F3-038070E01022}"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
          <xdr:nvSpPr>
            <xdr:cNvPr id="118807" name="Text Box 23">
              <a:extLst>
                <a:ext uri="{FF2B5EF4-FFF2-40B4-BE49-F238E27FC236}">
                  <a16:creationId xmlns:a16="http://schemas.microsoft.com/office/drawing/2014/main" id="{00000000-0008-0000-1A00-000017D0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Drilled Shaft Loads</a:t>
              </a:r>
            </a:p>
          </xdr:txBody>
        </xdr:sp>
        <xdr:sp macro="" textlink="'Cover Sheet'!E4:U4">
          <xdr:nvSpPr>
            <xdr:cNvPr id="118808" name="Text Box 24">
              <a:extLst>
                <a:ext uri="{FF2B5EF4-FFF2-40B4-BE49-F238E27FC236}">
                  <a16:creationId xmlns:a16="http://schemas.microsoft.com/office/drawing/2014/main" id="{00000000-0008-0000-1A00-000018D0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4FC8BB8-E85A-42F9-B31D-8DC995DFA4F3}" type="TxLink">
                <a:rPr lang="en-US" sz="900" b="1" i="0" u="none" strike="noStrike">
                  <a:solidFill>
                    <a:srgbClr val="000000"/>
                  </a:solidFill>
                  <a:latin typeface="Arial"/>
                  <a:cs typeface="Arial"/>
                </a:rPr>
                <a:pPr algn="l" rtl="1">
                  <a:defRPr sz="1000"/>
                </a:pPr>
                <a:t>TEST PROJECT</a:t>
              </a:fld>
              <a:endParaRPr lang="en-US" sz="900" b="1" i="0" strike="noStrike">
                <a:solidFill>
                  <a:srgbClr val="000000"/>
                </a:solidFill>
                <a:latin typeface="Arial"/>
                <a:cs typeface="Arial"/>
              </a:endParaRPr>
            </a:p>
          </xdr:txBody>
        </xdr:sp>
        <xdr:sp macro="" textlink="'Cover Sheet'!U34:Y34">
          <xdr:nvSpPr>
            <xdr:cNvPr id="118809" name="Text Box 25">
              <a:extLst>
                <a:ext uri="{FF2B5EF4-FFF2-40B4-BE49-F238E27FC236}">
                  <a16:creationId xmlns:a16="http://schemas.microsoft.com/office/drawing/2014/main" id="{00000000-0008-0000-1A00-000019D0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8BBA625C-93A6-42B9-B3BB-335D66CC0ED6}" type="TxLink">
                <a:rPr lang="en-US" sz="900" b="1" i="0" u="none" strike="noStrike">
                  <a:solidFill>
                    <a:srgbClr val="000000"/>
                  </a:solidFill>
                  <a:latin typeface="Arial"/>
                  <a:cs typeface="Arial"/>
                </a:rPr>
                <a:pPr algn="l" rtl="1">
                  <a:defRPr sz="1000"/>
                </a:pPr>
                <a:t> </a:t>
              </a:fld>
              <a:endParaRPr lang="en-US" sz="900" b="1" i="0" strike="noStrike">
                <a:solidFill>
                  <a:srgbClr val="000000"/>
                </a:solidFill>
                <a:latin typeface="Arial"/>
                <a:cs typeface="Arial"/>
              </a:endParaRPr>
            </a:p>
          </xdr:txBody>
        </xdr:sp>
        <xdr:sp macro="" textlink="'Cover Sheet'!AC34:AG34">
          <xdr:nvSpPr>
            <xdr:cNvPr id="118810" name="Text Box 26">
              <a:extLst>
                <a:ext uri="{FF2B5EF4-FFF2-40B4-BE49-F238E27FC236}">
                  <a16:creationId xmlns:a16="http://schemas.microsoft.com/office/drawing/2014/main" id="{00000000-0008-0000-1A00-00001AD0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1434B46B-77D0-45A3-9E8C-6A2723821515}" type="TxLink">
                <a:rPr lang="en-US" sz="900" b="1" i="0" u="none" strike="noStrike">
                  <a:solidFill>
                    <a:srgbClr val="000000"/>
                  </a:solidFill>
                  <a:latin typeface="Arial"/>
                  <a:cs typeface="Arial"/>
                </a:rPr>
                <a:pPr algn="l" rtl="1">
                  <a:defRPr sz="1000"/>
                </a:pPr>
                <a:t>8/19/2022</a:t>
              </a:fld>
              <a:endParaRPr lang="en-US" sz="900" b="1" i="0" strike="noStrike">
                <a:solidFill>
                  <a:srgbClr val="000000"/>
                </a:solidFill>
                <a:latin typeface="Arial"/>
                <a:cs typeface="Arial"/>
              </a:endParaRPr>
            </a:p>
          </xdr:txBody>
        </xdr:sp>
        <xdr:sp macro="" textlink="'Cover Sheet'!AC37:AG37">
          <xdr:nvSpPr>
            <xdr:cNvPr id="118811" name="Text Box 27">
              <a:extLst>
                <a:ext uri="{FF2B5EF4-FFF2-40B4-BE49-F238E27FC236}">
                  <a16:creationId xmlns:a16="http://schemas.microsoft.com/office/drawing/2014/main" id="{00000000-0008-0000-1A00-00001BD0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B14B35AF-138D-4020-B499-932593BCECD6}" type="TxLink">
                <a:rPr lang="en-US"/>
                <a:pPr/>
                <a:t> </a:t>
              </a:fld>
              <a:endParaRPr lang="en-US"/>
            </a:p>
          </xdr:txBody>
        </xdr:sp>
        <xdr:sp macro="" textlink="'Cover Sheet'!U37:Y37">
          <xdr:nvSpPr>
            <xdr:cNvPr id="118812" name="Text Box 28">
              <a:extLst>
                <a:ext uri="{FF2B5EF4-FFF2-40B4-BE49-F238E27FC236}">
                  <a16:creationId xmlns:a16="http://schemas.microsoft.com/office/drawing/2014/main" id="{00000000-0008-0000-1A00-00001CD0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698C6F1F-15C0-4F75-A82A-B39E5A2AB4A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67512</xdr:colOff>
      <xdr:row>4</xdr:row>
      <xdr:rowOff>142875</xdr:rowOff>
    </xdr:to>
    <xdr:pic>
      <xdr:nvPicPr>
        <xdr:cNvPr id="30" name="headerlogo">
          <a:extLst>
            <a:ext uri="{FF2B5EF4-FFF2-40B4-BE49-F238E27FC236}">
              <a16:creationId xmlns:a16="http://schemas.microsoft.com/office/drawing/2014/main" id="{00000000-0008-0000-1A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16</xdr:col>
      <xdr:colOff>173355</xdr:colOff>
      <xdr:row>58</xdr:row>
      <xdr:rowOff>0</xdr:rowOff>
    </xdr:from>
    <xdr:to>
      <xdr:col>17</xdr:col>
      <xdr:colOff>344805</xdr:colOff>
      <xdr:row>60</xdr:row>
      <xdr:rowOff>133350</xdr:rowOff>
    </xdr:to>
    <xdr:sp macro="[0]!return_aesthetic" textlink="">
      <xdr:nvSpPr>
        <xdr:cNvPr id="42007" name="Text Box 23">
          <a:extLst>
            <a:ext uri="{FF2B5EF4-FFF2-40B4-BE49-F238E27FC236}">
              <a16:creationId xmlns:a16="http://schemas.microsoft.com/office/drawing/2014/main" id="{00000000-0008-0000-1B00-000017A40000}"/>
            </a:ext>
          </a:extLst>
        </xdr:cNvPr>
        <xdr:cNvSpPr txBox="1">
          <a:spLocks noChangeArrowheads="1"/>
        </xdr:cNvSpPr>
      </xdr:nvSpPr>
      <xdr:spPr bwMode="auto">
        <a:xfrm>
          <a:off x="12030075" y="9696450"/>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Return to Spreadsheet</a:t>
          </a:r>
        </a:p>
      </xdr:txBody>
    </xdr:sp>
    <xdr:clientData fPrintsWithSheet="0"/>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9525</xdr:rowOff>
        </xdr:from>
        <xdr:to>
          <xdr:col>5</xdr:col>
          <xdr:colOff>600075</xdr:colOff>
          <xdr:row>6</xdr:row>
          <xdr:rowOff>114300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1C00-0000011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Arial"/>
                  <a:cs typeface="Arial"/>
                </a:rPr>
                <a:t>Press to Change Password to Lock/Unlock Cells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9.xml"/><Relationship Id="rId1" Type="http://schemas.openxmlformats.org/officeDocument/2006/relationships/printerSettings" Target="../printerSettings/printerSettings28.bin"/><Relationship Id="rId4" Type="http://schemas.openxmlformats.org/officeDocument/2006/relationships/comments" Target="../comments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30.xml"/><Relationship Id="rId1" Type="http://schemas.openxmlformats.org/officeDocument/2006/relationships/printerSettings" Target="../printerSettings/printerSettings29.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rogDoc">
    <tabColor indexed="41"/>
  </sheetPr>
  <dimension ref="A1:AV499"/>
  <sheetViews>
    <sheetView showGridLines="0" tabSelected="1" view="pageBreakPreview" topLeftCell="A49" zoomScaleNormal="100" zoomScaleSheetLayoutView="100" workbookViewId="0">
      <selection activeCell="H34" sqref="H34"/>
    </sheetView>
  </sheetViews>
  <sheetFormatPr defaultRowHeight="12.75"/>
  <cols>
    <col min="1" max="1" width="24.7109375" style="337" customWidth="1"/>
    <col min="3" max="4" width="8.7109375" customWidth="1"/>
    <col min="5" max="5" width="11.42578125" customWidth="1"/>
    <col min="6" max="11" width="8.7109375" customWidth="1"/>
    <col min="12" max="12" width="3.42578125" style="337" customWidth="1"/>
    <col min="13" max="44" width="9.140625" style="337"/>
  </cols>
  <sheetData>
    <row r="1" spans="1:16" ht="13.5" thickBot="1">
      <c r="A1" s="1315">
        <v>7</v>
      </c>
      <c r="B1" s="1420" t="s">
        <v>693</v>
      </c>
      <c r="C1" s="1420"/>
      <c r="D1" s="1420"/>
      <c r="E1" s="1420"/>
      <c r="F1" s="1420"/>
      <c r="G1" s="1420"/>
      <c r="H1" s="1420"/>
      <c r="I1" s="1420"/>
      <c r="J1" s="1420"/>
      <c r="K1" s="1420"/>
    </row>
    <row r="2" spans="1:16">
      <c r="B2" s="201"/>
      <c r="C2" s="201"/>
      <c r="D2" s="201"/>
      <c r="E2" s="201"/>
      <c r="F2" s="201"/>
      <c r="G2" s="201"/>
      <c r="H2" s="201"/>
      <c r="I2" s="201"/>
      <c r="J2" s="201"/>
      <c r="K2" s="201"/>
    </row>
    <row r="3" spans="1:16" ht="15">
      <c r="B3" s="1421" t="s">
        <v>1226</v>
      </c>
      <c r="C3" s="1421"/>
      <c r="D3" s="1421"/>
      <c r="E3" s="1421"/>
      <c r="F3" s="1421"/>
      <c r="G3" s="1421"/>
      <c r="H3" s="1421"/>
      <c r="I3" s="1421"/>
      <c r="J3" s="1421"/>
      <c r="K3" s="1421"/>
    </row>
    <row r="4" spans="1:16" ht="18.75">
      <c r="B4" s="202"/>
      <c r="C4" s="202"/>
      <c r="D4" s="202"/>
      <c r="E4" s="202"/>
      <c r="F4" s="202"/>
      <c r="G4" s="202"/>
      <c r="H4" s="202"/>
      <c r="I4" s="202"/>
      <c r="J4" s="202"/>
      <c r="K4" s="202"/>
    </row>
    <row r="5" spans="1:16">
      <c r="B5" s="203" t="s">
        <v>694</v>
      </c>
      <c r="C5" s="1422" t="s">
        <v>695</v>
      </c>
      <c r="D5" s="1422"/>
      <c r="E5" s="204" t="s">
        <v>276</v>
      </c>
      <c r="F5" s="1422" t="s">
        <v>700</v>
      </c>
      <c r="G5" s="1422"/>
      <c r="H5" s="1422" t="s">
        <v>701</v>
      </c>
      <c r="I5" s="1422"/>
      <c r="J5" s="1422" t="s">
        <v>702</v>
      </c>
      <c r="K5" s="1422"/>
      <c r="M5" s="620" t="s">
        <v>694</v>
      </c>
      <c r="N5" s="620"/>
      <c r="O5" s="620"/>
      <c r="P5" s="620"/>
    </row>
    <row r="6" spans="1:16">
      <c r="B6" s="205" t="s">
        <v>703</v>
      </c>
      <c r="C6" s="1407" t="s">
        <v>704</v>
      </c>
      <c r="D6" s="1407"/>
      <c r="E6" s="206">
        <v>38777</v>
      </c>
      <c r="F6" s="1408" t="s">
        <v>709</v>
      </c>
      <c r="G6" s="1407"/>
      <c r="H6" s="1408" t="s">
        <v>35</v>
      </c>
      <c r="I6" s="1407"/>
      <c r="J6" s="1408" t="s">
        <v>36</v>
      </c>
      <c r="K6" s="1407"/>
    </row>
    <row r="7" spans="1:16">
      <c r="B7" s="1058" t="s">
        <v>405</v>
      </c>
      <c r="C7" s="1416" t="s">
        <v>1138</v>
      </c>
      <c r="D7" s="1417"/>
      <c r="E7" s="1059">
        <v>38868</v>
      </c>
      <c r="F7" s="1416" t="s">
        <v>35</v>
      </c>
      <c r="G7" s="1417"/>
      <c r="H7" s="1423" t="s">
        <v>1137</v>
      </c>
      <c r="I7" s="1424"/>
      <c r="J7" s="1416" t="s">
        <v>36</v>
      </c>
      <c r="K7" s="1417"/>
      <c r="M7" s="337" t="s">
        <v>407</v>
      </c>
    </row>
    <row r="8" spans="1:16">
      <c r="B8" s="1064"/>
      <c r="C8" s="1062"/>
      <c r="D8" s="1063"/>
      <c r="E8" s="1061"/>
      <c r="F8" s="1062"/>
      <c r="G8" s="1063"/>
      <c r="H8" s="1065"/>
      <c r="I8" s="1066"/>
      <c r="J8" s="1062"/>
      <c r="K8" s="1063"/>
      <c r="M8" s="337" t="s">
        <v>408</v>
      </c>
    </row>
    <row r="9" spans="1:16">
      <c r="B9" s="1060">
        <v>1</v>
      </c>
      <c r="C9" s="1414" t="s">
        <v>1138</v>
      </c>
      <c r="D9" s="1415"/>
      <c r="E9" s="1061">
        <v>39002</v>
      </c>
      <c r="F9" s="1414" t="s">
        <v>709</v>
      </c>
      <c r="G9" s="1415"/>
      <c r="H9" s="1418" t="s">
        <v>406</v>
      </c>
      <c r="I9" s="1419"/>
      <c r="J9" s="1416" t="s">
        <v>36</v>
      </c>
      <c r="K9" s="1417"/>
      <c r="M9" s="337" t="s">
        <v>549</v>
      </c>
    </row>
    <row r="10" spans="1:16">
      <c r="B10" s="207">
        <v>1.1000000000000001</v>
      </c>
      <c r="C10" s="1414" t="s">
        <v>1138</v>
      </c>
      <c r="D10" s="1415"/>
      <c r="E10" s="206">
        <v>39034</v>
      </c>
      <c r="F10" s="1414" t="s">
        <v>709</v>
      </c>
      <c r="G10" s="1415"/>
      <c r="H10" s="1418" t="s">
        <v>406</v>
      </c>
      <c r="I10" s="1419"/>
      <c r="J10" s="1416" t="s">
        <v>36</v>
      </c>
      <c r="K10" s="1417"/>
      <c r="M10" s="337" t="s">
        <v>1204</v>
      </c>
    </row>
    <row r="11" spans="1:16">
      <c r="B11" s="207">
        <v>2</v>
      </c>
      <c r="C11" s="1414" t="s">
        <v>1138</v>
      </c>
      <c r="D11" s="1415"/>
      <c r="E11" s="206">
        <v>39275</v>
      </c>
      <c r="F11" s="1408" t="s">
        <v>709</v>
      </c>
      <c r="G11" s="1407"/>
      <c r="H11" s="1408" t="s">
        <v>84</v>
      </c>
      <c r="I11" s="1407"/>
      <c r="J11" s="1416" t="s">
        <v>36</v>
      </c>
      <c r="K11" s="1417"/>
      <c r="M11" s="337" t="s">
        <v>328</v>
      </c>
    </row>
    <row r="12" spans="1:16">
      <c r="B12" s="207">
        <v>3</v>
      </c>
      <c r="C12" s="1414" t="s">
        <v>1138</v>
      </c>
      <c r="D12" s="1415"/>
      <c r="E12" s="206">
        <v>39503</v>
      </c>
      <c r="F12" s="1408" t="s">
        <v>709</v>
      </c>
      <c r="G12" s="1407"/>
      <c r="H12" s="1408"/>
      <c r="I12" s="1407"/>
      <c r="J12" s="1408"/>
      <c r="K12" s="1407"/>
      <c r="M12" s="337" t="s">
        <v>716</v>
      </c>
    </row>
    <row r="13" spans="1:16">
      <c r="B13" s="207">
        <v>4</v>
      </c>
      <c r="C13" s="1414" t="s">
        <v>1138</v>
      </c>
      <c r="D13" s="1415"/>
      <c r="E13" s="206">
        <v>39889</v>
      </c>
      <c r="F13" s="1408" t="s">
        <v>709</v>
      </c>
      <c r="G13" s="1407"/>
      <c r="H13" s="1408"/>
      <c r="I13" s="1407"/>
      <c r="J13" s="1408"/>
      <c r="K13" s="1407"/>
      <c r="N13" s="337" t="s">
        <v>744</v>
      </c>
    </row>
    <row r="14" spans="1:16">
      <c r="B14" s="207">
        <v>5</v>
      </c>
      <c r="C14" s="1408" t="s">
        <v>1138</v>
      </c>
      <c r="D14" s="1407"/>
      <c r="E14" s="206">
        <v>39918</v>
      </c>
      <c r="F14" s="1408" t="s">
        <v>35</v>
      </c>
      <c r="G14" s="1407"/>
      <c r="H14" s="1408"/>
      <c r="I14" s="1407"/>
      <c r="J14" s="1408"/>
      <c r="K14" s="1407"/>
      <c r="N14" s="337" t="s">
        <v>67</v>
      </c>
    </row>
    <row r="15" spans="1:16">
      <c r="B15" s="207">
        <v>6</v>
      </c>
      <c r="C15" s="1411" t="s">
        <v>1138</v>
      </c>
      <c r="D15" s="1407"/>
      <c r="E15" s="206">
        <v>39945</v>
      </c>
      <c r="F15" s="1411" t="s">
        <v>35</v>
      </c>
      <c r="G15" s="1407"/>
      <c r="H15" s="1408"/>
      <c r="I15" s="1407"/>
      <c r="J15" s="1408"/>
      <c r="K15" s="1407"/>
      <c r="N15" s="337" t="s">
        <v>1153</v>
      </c>
    </row>
    <row r="16" spans="1:16">
      <c r="B16" s="208">
        <v>6.01</v>
      </c>
      <c r="C16" s="1413" t="s">
        <v>1138</v>
      </c>
      <c r="D16" s="1407"/>
      <c r="E16" s="206">
        <v>39999</v>
      </c>
      <c r="F16" s="1413" t="s">
        <v>35</v>
      </c>
      <c r="G16" s="1407"/>
      <c r="H16" s="1408"/>
      <c r="I16" s="1407"/>
      <c r="J16" s="1408"/>
      <c r="K16" s="1407"/>
      <c r="N16" s="337" t="s">
        <v>158</v>
      </c>
    </row>
    <row r="17" spans="2:14">
      <c r="B17" s="208">
        <v>6.02</v>
      </c>
      <c r="C17" s="1412" t="s">
        <v>1138</v>
      </c>
      <c r="D17" s="1407"/>
      <c r="E17" s="206">
        <v>40002</v>
      </c>
      <c r="F17" s="1412" t="s">
        <v>35</v>
      </c>
      <c r="G17" s="1407"/>
      <c r="H17" s="1408"/>
      <c r="I17" s="1407"/>
      <c r="J17" s="1408"/>
      <c r="K17" s="1407"/>
      <c r="M17" s="337" t="s">
        <v>1307</v>
      </c>
    </row>
    <row r="18" spans="2:14">
      <c r="B18" s="1164">
        <v>6.03</v>
      </c>
      <c r="C18" s="1406" t="s">
        <v>1138</v>
      </c>
      <c r="D18" s="1407"/>
      <c r="E18" s="206">
        <v>40044</v>
      </c>
      <c r="F18" s="1406" t="s">
        <v>709</v>
      </c>
      <c r="G18" s="1407"/>
      <c r="H18" s="1408"/>
      <c r="I18" s="1407"/>
      <c r="J18" s="1408"/>
      <c r="K18" s="1407"/>
      <c r="M18" s="337" t="s">
        <v>46</v>
      </c>
    </row>
    <row r="19" spans="2:14">
      <c r="B19" s="1164">
        <v>6.04</v>
      </c>
      <c r="C19" s="1406" t="s">
        <v>1138</v>
      </c>
      <c r="D19" s="1407"/>
      <c r="E19" s="206">
        <v>40056</v>
      </c>
      <c r="F19" s="1406" t="s">
        <v>35</v>
      </c>
      <c r="G19" s="1407"/>
      <c r="H19" s="1406" t="s">
        <v>1326</v>
      </c>
      <c r="I19" s="1407"/>
      <c r="J19" s="1408"/>
      <c r="K19" s="1407"/>
      <c r="N19" s="580" t="s">
        <v>867</v>
      </c>
    </row>
    <row r="20" spans="2:14">
      <c r="B20" s="1164">
        <v>6.05</v>
      </c>
      <c r="C20" s="1406" t="s">
        <v>1138</v>
      </c>
      <c r="D20" s="1407"/>
      <c r="E20" s="206">
        <v>40148</v>
      </c>
      <c r="F20" s="1406" t="s">
        <v>709</v>
      </c>
      <c r="G20" s="1407"/>
      <c r="H20" s="1406"/>
      <c r="I20" s="1407"/>
      <c r="J20" s="1408"/>
      <c r="K20" s="1407"/>
      <c r="N20" s="337" t="s">
        <v>1247</v>
      </c>
    </row>
    <row r="21" spans="2:14">
      <c r="B21" s="1164">
        <v>6.06</v>
      </c>
      <c r="C21" s="1406" t="s">
        <v>1138</v>
      </c>
      <c r="D21" s="1407"/>
      <c r="E21" s="206">
        <v>40162</v>
      </c>
      <c r="F21" s="1406" t="s">
        <v>709</v>
      </c>
      <c r="G21" s="1407"/>
      <c r="H21" s="1406"/>
      <c r="I21" s="1407"/>
      <c r="J21" s="1408"/>
      <c r="K21" s="1407"/>
      <c r="M21" s="337" t="s">
        <v>868</v>
      </c>
    </row>
    <row r="22" spans="2:14">
      <c r="B22" s="1164">
        <v>6.11</v>
      </c>
      <c r="C22" s="1406" t="s">
        <v>1138</v>
      </c>
      <c r="D22" s="1407"/>
      <c r="E22" s="206">
        <v>40467</v>
      </c>
      <c r="F22" s="1409" t="s">
        <v>1366</v>
      </c>
      <c r="G22" s="1410"/>
      <c r="H22" s="1409" t="s">
        <v>1357</v>
      </c>
      <c r="I22" s="1410"/>
      <c r="J22" s="1408"/>
      <c r="K22" s="1407"/>
      <c r="M22" s="337" t="s">
        <v>806</v>
      </c>
    </row>
    <row r="23" spans="2:14">
      <c r="B23" s="1164">
        <v>6.12</v>
      </c>
      <c r="C23" s="1406" t="s">
        <v>1138</v>
      </c>
      <c r="D23" s="1407"/>
      <c r="E23" s="206">
        <v>40576</v>
      </c>
      <c r="F23" s="1409" t="s">
        <v>35</v>
      </c>
      <c r="G23" s="1410"/>
      <c r="H23" s="1409"/>
      <c r="I23" s="1410"/>
      <c r="J23" s="1408"/>
      <c r="K23" s="1407"/>
      <c r="M23" s="343" t="s">
        <v>1314</v>
      </c>
    </row>
    <row r="24" spans="2:14">
      <c r="B24" s="1164">
        <v>6.13</v>
      </c>
      <c r="C24" s="1406" t="s">
        <v>1138</v>
      </c>
      <c r="D24" s="1407"/>
      <c r="E24" s="206">
        <v>40665</v>
      </c>
      <c r="F24" s="1406" t="s">
        <v>35</v>
      </c>
      <c r="G24" s="1407"/>
      <c r="H24" s="1406"/>
      <c r="I24" s="1407"/>
      <c r="J24" s="1408"/>
      <c r="K24" s="1407"/>
      <c r="M24" s="1140" t="s">
        <v>1319</v>
      </c>
    </row>
    <row r="25" spans="2:14">
      <c r="B25" s="1164">
        <v>6.2</v>
      </c>
      <c r="C25" s="1406" t="s">
        <v>1138</v>
      </c>
      <c r="D25" s="1407"/>
      <c r="E25" s="206">
        <v>40865</v>
      </c>
      <c r="F25" s="1406" t="s">
        <v>1374</v>
      </c>
      <c r="G25" s="1407"/>
      <c r="H25" s="1406" t="s">
        <v>709</v>
      </c>
      <c r="I25" s="1407"/>
      <c r="J25" s="1408"/>
      <c r="K25" s="1407"/>
      <c r="M25" s="1140" t="s">
        <v>1320</v>
      </c>
    </row>
    <row r="26" spans="2:14">
      <c r="B26" s="1164">
        <v>6.21</v>
      </c>
      <c r="C26" s="1406" t="s">
        <v>1138</v>
      </c>
      <c r="D26" s="1407"/>
      <c r="E26" s="206">
        <v>40987</v>
      </c>
      <c r="F26" s="1406" t="s">
        <v>1374</v>
      </c>
      <c r="G26" s="1407"/>
      <c r="H26" s="1406"/>
      <c r="I26" s="1407"/>
      <c r="J26" s="1408"/>
      <c r="K26" s="1407"/>
      <c r="M26" s="1145" t="s">
        <v>1321</v>
      </c>
    </row>
    <row r="27" spans="2:14">
      <c r="B27" s="1164">
        <v>6.3</v>
      </c>
      <c r="C27" s="1406" t="s">
        <v>1138</v>
      </c>
      <c r="D27" s="1407"/>
      <c r="E27" s="206">
        <v>41100</v>
      </c>
      <c r="F27" s="1406" t="s">
        <v>709</v>
      </c>
      <c r="G27" s="1407"/>
      <c r="H27" s="1406"/>
      <c r="I27" s="1407"/>
      <c r="J27" s="1408"/>
      <c r="K27" s="1407"/>
      <c r="M27" s="1165" t="s">
        <v>1328</v>
      </c>
    </row>
    <row r="28" spans="2:14">
      <c r="B28" s="1164">
        <v>6.31</v>
      </c>
      <c r="C28" s="1406" t="s">
        <v>1138</v>
      </c>
      <c r="D28" s="1407"/>
      <c r="E28" s="206">
        <v>41380</v>
      </c>
      <c r="F28" s="1406" t="s">
        <v>709</v>
      </c>
      <c r="G28" s="1407"/>
      <c r="H28" s="1406" t="s">
        <v>1393</v>
      </c>
      <c r="I28" s="1407"/>
      <c r="J28" s="1408"/>
      <c r="K28" s="1407"/>
      <c r="M28" s="1165" t="s">
        <v>1329</v>
      </c>
    </row>
    <row r="29" spans="2:14">
      <c r="B29" s="1164">
        <v>6.32</v>
      </c>
      <c r="C29" s="1406" t="s">
        <v>1138</v>
      </c>
      <c r="D29" s="1407"/>
      <c r="E29" s="206">
        <v>41758</v>
      </c>
      <c r="F29" s="1406" t="s">
        <v>1394</v>
      </c>
      <c r="G29" s="1407"/>
      <c r="H29" s="1406" t="s">
        <v>709</v>
      </c>
      <c r="I29" s="1407"/>
      <c r="J29" s="1408"/>
      <c r="K29" s="1407"/>
      <c r="M29" s="1165" t="s">
        <v>1330</v>
      </c>
    </row>
    <row r="30" spans="2:14">
      <c r="B30" s="1427">
        <v>7</v>
      </c>
      <c r="C30" s="1429" t="s">
        <v>1138</v>
      </c>
      <c r="D30" s="1430"/>
      <c r="E30" s="1433">
        <v>42943</v>
      </c>
      <c r="F30" s="1406" t="s">
        <v>1394</v>
      </c>
      <c r="G30" s="1407"/>
      <c r="H30" s="1429" t="s">
        <v>1470</v>
      </c>
      <c r="I30" s="1430"/>
      <c r="J30" s="1435"/>
      <c r="K30" s="1436"/>
      <c r="M30" s="1165" t="s">
        <v>1355</v>
      </c>
    </row>
    <row r="31" spans="2:14">
      <c r="B31" s="1428"/>
      <c r="C31" s="1431"/>
      <c r="D31" s="1432"/>
      <c r="E31" s="1434"/>
      <c r="F31" s="1406" t="s">
        <v>1469</v>
      </c>
      <c r="G31" s="1426"/>
      <c r="H31" s="1431"/>
      <c r="I31" s="1432"/>
      <c r="J31" s="1437"/>
      <c r="K31" s="1438"/>
      <c r="N31" s="1165" t="s">
        <v>1356</v>
      </c>
    </row>
    <row r="32" spans="2:14">
      <c r="B32" s="207">
        <v>7.1</v>
      </c>
      <c r="C32" s="1406" t="s">
        <v>1138</v>
      </c>
      <c r="D32" s="1407"/>
      <c r="E32" s="206">
        <v>43179</v>
      </c>
      <c r="F32" s="1406" t="s">
        <v>1541</v>
      </c>
      <c r="G32" s="1407"/>
      <c r="H32" s="1406" t="s">
        <v>1470</v>
      </c>
      <c r="I32" s="1407"/>
      <c r="J32" s="1408"/>
      <c r="K32" s="1407"/>
      <c r="M32" s="1165" t="s">
        <v>1359</v>
      </c>
      <c r="N32" s="1165"/>
    </row>
    <row r="33" spans="2:14">
      <c r="B33" s="207">
        <v>8</v>
      </c>
      <c r="C33" s="1406" t="s">
        <v>1138</v>
      </c>
      <c r="D33" s="1407"/>
      <c r="E33" s="206">
        <v>44757</v>
      </c>
      <c r="F33" s="1406" t="s">
        <v>1548</v>
      </c>
      <c r="G33" s="1407"/>
      <c r="H33" s="1406" t="s">
        <v>1648</v>
      </c>
      <c r="I33" s="1407"/>
      <c r="J33" s="1408"/>
      <c r="K33" s="1407"/>
      <c r="M33" s="1165" t="s">
        <v>1363</v>
      </c>
      <c r="N33" s="1165" t="s">
        <v>1358</v>
      </c>
    </row>
    <row r="34" spans="2:14">
      <c r="B34" s="1309"/>
      <c r="C34" s="1310"/>
      <c r="D34" s="1310"/>
      <c r="E34" s="1311"/>
      <c r="F34" s="1308"/>
      <c r="G34" s="1308"/>
      <c r="H34" s="1310"/>
      <c r="I34" s="1310"/>
      <c r="J34" s="1312"/>
      <c r="K34" s="1312"/>
      <c r="M34" s="1165" t="s">
        <v>1367</v>
      </c>
    </row>
    <row r="35" spans="2:14">
      <c r="B35" s="1441" t="s">
        <v>705</v>
      </c>
      <c r="C35" s="1441"/>
      <c r="D35" s="1441"/>
      <c r="E35" s="1441"/>
      <c r="F35" s="1441"/>
      <c r="G35" s="1441"/>
      <c r="H35" s="1441"/>
      <c r="I35" s="1441"/>
      <c r="J35" s="1441"/>
      <c r="K35" s="1441"/>
      <c r="M35" s="1165" t="s">
        <v>1372</v>
      </c>
      <c r="N35" s="1165" t="s">
        <v>1364</v>
      </c>
    </row>
    <row r="36" spans="2:14">
      <c r="B36" s="1442" t="s">
        <v>1227</v>
      </c>
      <c r="C36" s="1442"/>
      <c r="D36" s="1442"/>
      <c r="E36" s="1442"/>
      <c r="F36" s="1442"/>
      <c r="G36" s="1442"/>
      <c r="H36" s="1442"/>
      <c r="I36" s="1442"/>
      <c r="J36" s="1442"/>
      <c r="K36" s="1442"/>
      <c r="M36" s="1165" t="s">
        <v>1373</v>
      </c>
    </row>
    <row r="37" spans="2:14">
      <c r="B37" s="1442"/>
      <c r="C37" s="1442"/>
      <c r="D37" s="1442"/>
      <c r="E37" s="1442"/>
      <c r="F37" s="1442"/>
      <c r="G37" s="1442"/>
      <c r="H37" s="1442"/>
      <c r="I37" s="1442"/>
      <c r="J37" s="1442"/>
      <c r="K37" s="1442"/>
      <c r="M37" s="1165" t="s">
        <v>1381</v>
      </c>
    </row>
    <row r="38" spans="2:14">
      <c r="B38" s="1442"/>
      <c r="C38" s="1442"/>
      <c r="D38" s="1442"/>
      <c r="E38" s="1442"/>
      <c r="F38" s="1442"/>
      <c r="G38" s="1442"/>
      <c r="H38" s="1442"/>
      <c r="I38" s="1442"/>
      <c r="J38" s="1442"/>
      <c r="K38" s="1442"/>
      <c r="M38" s="1165" t="s">
        <v>1382</v>
      </c>
    </row>
    <row r="39" spans="2:14">
      <c r="B39" s="1442"/>
      <c r="C39" s="1442"/>
      <c r="D39" s="1442"/>
      <c r="E39" s="1442"/>
      <c r="F39" s="1442"/>
      <c r="G39" s="1442"/>
      <c r="H39" s="1442"/>
      <c r="I39" s="1442"/>
      <c r="J39" s="1442"/>
      <c r="K39" s="1442"/>
      <c r="M39" s="1165" t="s">
        <v>1391</v>
      </c>
    </row>
    <row r="40" spans="2:14">
      <c r="B40" s="1442"/>
      <c r="C40" s="1442"/>
      <c r="D40" s="1442"/>
      <c r="E40" s="1442"/>
      <c r="F40" s="1442"/>
      <c r="G40" s="1442"/>
      <c r="H40" s="1442"/>
      <c r="I40" s="1442"/>
      <c r="J40" s="1442"/>
      <c r="K40" s="1442"/>
      <c r="M40" s="1165" t="s">
        <v>1392</v>
      </c>
    </row>
    <row r="41" spans="2:14" ht="12.75" customHeight="1">
      <c r="B41" s="1442"/>
      <c r="C41" s="1442"/>
      <c r="D41" s="1442"/>
      <c r="E41" s="1442"/>
      <c r="F41" s="1442"/>
      <c r="G41" s="1442"/>
      <c r="H41" s="1442"/>
      <c r="I41" s="1442"/>
      <c r="J41" s="1442"/>
      <c r="K41" s="1442"/>
      <c r="M41" s="1165" t="s">
        <v>1397</v>
      </c>
    </row>
    <row r="42" spans="2:14">
      <c r="B42" s="1441" t="s">
        <v>1205</v>
      </c>
      <c r="C42" s="1441"/>
      <c r="D42" s="1441"/>
      <c r="E42" s="1441"/>
      <c r="F42" s="1441"/>
      <c r="G42" s="1441"/>
      <c r="H42" s="1441"/>
      <c r="I42" s="1441"/>
      <c r="J42" s="1441"/>
      <c r="K42" s="1441"/>
      <c r="M42" s="1165" t="s">
        <v>1516</v>
      </c>
    </row>
    <row r="43" spans="2:14" ht="12.75" customHeight="1">
      <c r="B43" s="1443" t="s">
        <v>1317</v>
      </c>
      <c r="C43" s="1443"/>
      <c r="D43" s="1443"/>
      <c r="E43" s="1443"/>
      <c r="F43" s="1443"/>
      <c r="G43" s="1443"/>
      <c r="H43" s="1443"/>
      <c r="I43" s="1443"/>
      <c r="J43" s="1443"/>
      <c r="K43" s="1443"/>
      <c r="M43" s="1165" t="s">
        <v>1517</v>
      </c>
    </row>
    <row r="44" spans="2:14">
      <c r="B44" s="1443"/>
      <c r="C44" s="1443"/>
      <c r="D44" s="1443"/>
      <c r="E44" s="1443"/>
      <c r="F44" s="1443"/>
      <c r="G44" s="1443"/>
      <c r="H44" s="1443"/>
      <c r="I44" s="1443"/>
      <c r="J44" s="1443"/>
      <c r="K44" s="1443"/>
      <c r="M44" s="1165" t="s">
        <v>1547</v>
      </c>
    </row>
    <row r="45" spans="2:14">
      <c r="B45" s="1443"/>
      <c r="C45" s="1443"/>
      <c r="D45" s="1443"/>
      <c r="E45" s="1443"/>
      <c r="F45" s="1443"/>
      <c r="G45" s="1443"/>
      <c r="H45" s="1443"/>
      <c r="I45" s="1443"/>
      <c r="J45" s="1443"/>
      <c r="K45" s="1443"/>
      <c r="M45" s="1165" t="s">
        <v>1549</v>
      </c>
    </row>
    <row r="46" spans="2:14">
      <c r="B46" s="1443"/>
      <c r="C46" s="1443"/>
      <c r="D46" s="1443"/>
      <c r="E46" s="1443"/>
      <c r="F46" s="1443"/>
      <c r="G46" s="1443"/>
      <c r="H46" s="1443"/>
      <c r="I46" s="1443"/>
      <c r="J46" s="1443"/>
      <c r="K46" s="1443"/>
    </row>
    <row r="47" spans="2:14">
      <c r="B47" s="1443"/>
      <c r="C47" s="1443"/>
      <c r="D47" s="1443"/>
      <c r="E47" s="1443"/>
      <c r="F47" s="1443"/>
      <c r="G47" s="1443"/>
      <c r="H47" s="1443"/>
      <c r="I47" s="1443"/>
      <c r="J47" s="1443"/>
      <c r="K47" s="1443"/>
    </row>
    <row r="48" spans="2:14">
      <c r="B48" s="1443"/>
      <c r="C48" s="1443"/>
      <c r="D48" s="1443"/>
      <c r="E48" s="1443"/>
      <c r="F48" s="1443"/>
      <c r="G48" s="1443"/>
      <c r="H48" s="1443"/>
      <c r="I48" s="1443"/>
      <c r="J48" s="1443"/>
      <c r="K48" s="1443"/>
    </row>
    <row r="49" spans="2:11">
      <c r="B49" s="1443"/>
      <c r="C49" s="1443"/>
      <c r="D49" s="1443"/>
      <c r="E49" s="1443"/>
      <c r="F49" s="1443"/>
      <c r="G49" s="1443"/>
      <c r="H49" s="1443"/>
      <c r="I49" s="1443"/>
      <c r="J49" s="1443"/>
      <c r="K49" s="1443"/>
    </row>
    <row r="50" spans="2:11">
      <c r="B50" s="1141"/>
      <c r="C50" s="1141"/>
      <c r="D50" s="1141"/>
      <c r="E50" s="1141"/>
      <c r="F50" s="1141"/>
      <c r="G50" s="1141"/>
      <c r="H50" s="1141"/>
      <c r="I50" s="1141"/>
      <c r="J50" s="1141"/>
      <c r="K50" s="1141"/>
    </row>
    <row r="52" spans="2:11" ht="109.5" customHeight="1">
      <c r="B52" s="1439" t="s">
        <v>1033</v>
      </c>
      <c r="C52" s="1439"/>
      <c r="D52" s="1439"/>
      <c r="E52" s="1439"/>
      <c r="F52" s="1439"/>
      <c r="G52" s="1439"/>
      <c r="H52" s="1439"/>
      <c r="I52" s="1439"/>
      <c r="J52" s="1439"/>
      <c r="K52" s="1439"/>
    </row>
    <row r="54" spans="2:11">
      <c r="B54" s="1441" t="s">
        <v>706</v>
      </c>
      <c r="C54" s="1441"/>
      <c r="D54" s="1441"/>
      <c r="E54" s="1441"/>
      <c r="F54" s="1441"/>
      <c r="G54" s="1441"/>
      <c r="H54" s="1441"/>
      <c r="I54" s="1441"/>
      <c r="J54" s="1441"/>
      <c r="K54" s="1441"/>
    </row>
    <row r="55" spans="2:11" ht="139.5" customHeight="1">
      <c r="B55" s="1439" t="s">
        <v>1305</v>
      </c>
      <c r="C55" s="1440"/>
      <c r="D55" s="1440"/>
      <c r="E55" s="1440"/>
      <c r="F55" s="1440"/>
      <c r="G55" s="1440"/>
      <c r="H55" s="1440"/>
      <c r="I55" s="1440"/>
      <c r="J55" s="1440"/>
      <c r="K55" s="1440"/>
    </row>
    <row r="57" spans="2:11">
      <c r="B57" s="1441" t="s">
        <v>707</v>
      </c>
      <c r="C57" s="1441"/>
      <c r="D57" s="1441"/>
      <c r="E57" s="1441"/>
      <c r="F57" s="1441"/>
      <c r="G57" s="1441"/>
      <c r="H57" s="1441"/>
      <c r="I57" s="1441"/>
      <c r="J57" s="1441"/>
      <c r="K57" s="1441"/>
    </row>
    <row r="58" spans="2:11">
      <c r="B58" s="1425" t="s">
        <v>1556</v>
      </c>
      <c r="C58" s="1425"/>
      <c r="D58" s="1425"/>
      <c r="E58" s="1425"/>
      <c r="F58" s="1425"/>
      <c r="G58" s="1425"/>
      <c r="H58" s="1425"/>
      <c r="I58" s="1425"/>
      <c r="J58" s="1425"/>
      <c r="K58" s="1425"/>
    </row>
    <row r="59" spans="2:11">
      <c r="B59" s="210"/>
      <c r="C59" s="210"/>
      <c r="D59" s="210"/>
      <c r="E59" s="210"/>
      <c r="F59" s="210"/>
      <c r="G59" s="210"/>
      <c r="H59" s="210"/>
      <c r="I59" s="210"/>
      <c r="J59" s="210"/>
      <c r="K59" s="210"/>
    </row>
    <row r="60" spans="2:11">
      <c r="B60" s="209" t="s">
        <v>708</v>
      </c>
      <c r="C60" s="210"/>
      <c r="D60" s="210"/>
      <c r="E60" s="210"/>
      <c r="F60" s="210"/>
      <c r="G60" s="210"/>
      <c r="H60" s="210"/>
      <c r="I60" s="210"/>
      <c r="J60" s="210"/>
      <c r="K60" s="210"/>
    </row>
    <row r="61" spans="2:11">
      <c r="B61" s="1425" t="s">
        <v>1557</v>
      </c>
      <c r="C61" s="1425"/>
      <c r="D61" s="1425"/>
      <c r="E61" s="1425"/>
      <c r="F61" s="1425"/>
      <c r="G61" s="1425"/>
      <c r="H61" s="1425"/>
      <c r="I61" s="1425"/>
      <c r="J61" s="1425"/>
      <c r="K61" s="1425"/>
    </row>
    <row r="62" spans="2:11">
      <c r="B62" s="1425" t="s">
        <v>1471</v>
      </c>
      <c r="C62" s="1425"/>
      <c r="D62" s="1425"/>
      <c r="E62" s="1425"/>
      <c r="F62" s="1425"/>
      <c r="G62" s="1425"/>
      <c r="H62" s="1425"/>
      <c r="I62" s="1425"/>
      <c r="J62" s="1425"/>
      <c r="K62" s="1425"/>
    </row>
    <row r="63" spans="2:11">
      <c r="B63" s="1314" t="s">
        <v>1558</v>
      </c>
      <c r="C63" s="1313"/>
      <c r="D63" s="1313"/>
      <c r="E63" s="1313"/>
      <c r="F63" s="1313"/>
      <c r="G63" s="1313"/>
      <c r="H63" s="1313"/>
      <c r="I63" s="1313"/>
      <c r="J63" s="1313"/>
      <c r="K63" s="1313"/>
    </row>
    <row r="64" spans="2:11">
      <c r="B64" s="337"/>
      <c r="C64" s="337"/>
      <c r="D64" s="337"/>
      <c r="E64" s="337"/>
      <c r="F64" s="337"/>
      <c r="G64" s="337"/>
      <c r="H64" s="337"/>
      <c r="I64" s="337"/>
      <c r="J64" s="337"/>
      <c r="K64" s="337"/>
    </row>
    <row r="65" spans="2:48">
      <c r="B65" s="337"/>
      <c r="C65" s="337"/>
      <c r="D65" s="337"/>
      <c r="E65" s="337"/>
      <c r="F65" s="337"/>
      <c r="G65" s="337"/>
      <c r="H65" s="337"/>
      <c r="I65" s="337"/>
      <c r="J65" s="337"/>
      <c r="K65" s="337"/>
    </row>
    <row r="66" spans="2:48">
      <c r="B66" s="337"/>
      <c r="C66" s="337"/>
      <c r="D66" s="337"/>
      <c r="E66" s="337"/>
      <c r="F66" s="337"/>
      <c r="G66" s="337"/>
      <c r="H66" s="337"/>
      <c r="I66" s="337"/>
      <c r="J66" s="337"/>
      <c r="K66" s="337"/>
    </row>
    <row r="67" spans="2:48">
      <c r="B67" s="337"/>
      <c r="C67" s="337"/>
      <c r="D67" s="337"/>
      <c r="E67" s="337"/>
      <c r="F67" s="337"/>
      <c r="G67" s="337"/>
      <c r="H67" s="337"/>
      <c r="I67" s="337"/>
      <c r="J67" s="337"/>
      <c r="K67" s="337"/>
    </row>
    <row r="68" spans="2:48">
      <c r="B68" s="337"/>
      <c r="C68" s="337"/>
      <c r="D68" s="337"/>
      <c r="E68" s="337"/>
      <c r="F68" s="337"/>
      <c r="G68" s="337"/>
      <c r="H68" s="337"/>
      <c r="I68" s="337"/>
      <c r="J68" s="337"/>
      <c r="K68" s="337"/>
    </row>
    <row r="69" spans="2:48">
      <c r="B69" s="337"/>
      <c r="C69" s="337"/>
      <c r="D69" s="337"/>
      <c r="E69" s="337"/>
      <c r="F69" s="337"/>
      <c r="G69" s="337"/>
      <c r="H69" s="337"/>
      <c r="I69" s="337"/>
      <c r="J69" s="337"/>
      <c r="K69" s="337"/>
    </row>
    <row r="70" spans="2:48">
      <c r="B70" s="337"/>
      <c r="C70" s="337"/>
      <c r="D70" s="337"/>
      <c r="E70" s="337"/>
      <c r="F70" s="337"/>
      <c r="G70" s="337"/>
      <c r="H70" s="337"/>
      <c r="I70" s="337"/>
      <c r="J70" s="337"/>
      <c r="K70" s="337"/>
    </row>
    <row r="71" spans="2:48">
      <c r="B71" s="337"/>
      <c r="C71" s="337"/>
      <c r="D71" s="337"/>
      <c r="E71" s="337"/>
      <c r="F71" s="337"/>
      <c r="G71" s="337"/>
      <c r="H71" s="337"/>
      <c r="I71" s="337"/>
      <c r="J71" s="337"/>
      <c r="K71" s="337"/>
    </row>
    <row r="72" spans="2:48">
      <c r="B72" s="337"/>
      <c r="C72" s="337"/>
      <c r="D72" s="337"/>
      <c r="E72" s="337"/>
      <c r="F72" s="337"/>
      <c r="G72" s="337"/>
      <c r="H72" s="337"/>
      <c r="I72" s="337"/>
      <c r="J72" s="337"/>
      <c r="K72" s="337"/>
      <c r="AS72" s="337"/>
      <c r="AT72" s="337"/>
    </row>
    <row r="73" spans="2:48">
      <c r="B73" s="337"/>
      <c r="C73" s="337"/>
      <c r="D73" s="337"/>
      <c r="E73" s="337"/>
      <c r="F73" s="337"/>
      <c r="G73" s="337"/>
      <c r="H73" s="337"/>
      <c r="I73" s="337"/>
      <c r="J73" s="337"/>
      <c r="K73" s="337"/>
      <c r="AS73" s="337"/>
      <c r="AT73" s="337"/>
    </row>
    <row r="74" spans="2:48">
      <c r="B74" s="337"/>
      <c r="C74" s="337"/>
      <c r="D74" s="337"/>
      <c r="E74" s="337"/>
      <c r="F74" s="337"/>
      <c r="G74" s="337"/>
      <c r="H74" s="337"/>
      <c r="I74" s="337"/>
      <c r="J74" s="337"/>
      <c r="K74" s="337"/>
      <c r="AS74" s="337"/>
      <c r="AT74" s="337"/>
      <c r="AU74" s="337"/>
      <c r="AV74" s="337"/>
    </row>
    <row r="75" spans="2:48" s="337" customFormat="1"/>
    <row r="76" spans="2:48" s="337" customFormat="1"/>
    <row r="77" spans="2:48" s="337" customFormat="1"/>
    <row r="78" spans="2:48" s="337" customFormat="1"/>
    <row r="79" spans="2:48" s="337" customFormat="1"/>
    <row r="80" spans="2:48" s="337" customFormat="1"/>
    <row r="81" s="337" customFormat="1"/>
    <row r="82" s="337" customFormat="1"/>
    <row r="83" s="337" customFormat="1"/>
    <row r="84" s="337" customFormat="1"/>
    <row r="85" s="337" customFormat="1"/>
    <row r="86" s="337" customFormat="1"/>
    <row r="87" s="337" customFormat="1"/>
    <row r="88" s="337" customFormat="1"/>
    <row r="89" s="337" customFormat="1"/>
    <row r="90" s="337" customFormat="1"/>
    <row r="91" s="337" customFormat="1"/>
    <row r="92" s="337" customFormat="1"/>
    <row r="93" s="337" customFormat="1"/>
    <row r="94" s="337" customFormat="1"/>
    <row r="95" s="337" customFormat="1"/>
    <row r="96" s="337" customFormat="1"/>
    <row r="97" s="337" customFormat="1"/>
    <row r="98" s="337" customFormat="1"/>
    <row r="99" s="337" customFormat="1"/>
    <row r="100" s="337" customFormat="1"/>
    <row r="101" s="337" customFormat="1"/>
    <row r="102" s="337" customFormat="1"/>
    <row r="103" s="337" customFormat="1"/>
    <row r="104" s="337" customFormat="1"/>
    <row r="105" s="337" customFormat="1"/>
    <row r="106" s="337" customFormat="1"/>
    <row r="107" s="337" customFormat="1"/>
    <row r="108" s="337" customFormat="1"/>
    <row r="109" s="337" customFormat="1"/>
    <row r="110" s="337" customFormat="1"/>
    <row r="111" s="337" customFormat="1"/>
    <row r="112" s="337" customFormat="1"/>
    <row r="113" s="337" customFormat="1"/>
    <row r="114" s="337" customFormat="1"/>
    <row r="115" s="337" customFormat="1"/>
    <row r="116" s="337" customFormat="1"/>
    <row r="117" s="337" customFormat="1"/>
    <row r="118" s="337" customFormat="1"/>
    <row r="119" s="337" customFormat="1"/>
    <row r="120" s="337" customFormat="1"/>
    <row r="121" s="337" customFormat="1"/>
    <row r="122" s="337" customFormat="1"/>
    <row r="123" s="337" customFormat="1"/>
    <row r="124" s="337" customFormat="1"/>
    <row r="125" s="337" customFormat="1"/>
    <row r="126" s="337" customFormat="1"/>
    <row r="127" s="337" customFormat="1"/>
    <row r="128" s="337" customFormat="1"/>
    <row r="129" s="337" customFormat="1"/>
    <row r="130" s="337" customFormat="1"/>
    <row r="131" s="337" customFormat="1"/>
    <row r="132" s="337" customFormat="1"/>
    <row r="133" s="337" customFormat="1"/>
    <row r="134" s="337" customFormat="1"/>
    <row r="135" s="337" customFormat="1"/>
    <row r="136" s="337" customFormat="1"/>
    <row r="137" s="337" customFormat="1"/>
    <row r="138" s="337" customFormat="1"/>
    <row r="139" s="337" customFormat="1"/>
    <row r="140" s="337" customFormat="1"/>
    <row r="141" s="337" customFormat="1"/>
    <row r="142" s="337" customFormat="1"/>
    <row r="143" s="337" customFormat="1"/>
    <row r="144" s="337" customFormat="1"/>
    <row r="145" s="337" customFormat="1"/>
    <row r="146" s="337" customFormat="1"/>
    <row r="147" s="337" customFormat="1"/>
    <row r="148" s="337" customFormat="1"/>
    <row r="149" s="337" customFormat="1"/>
    <row r="150" s="337" customFormat="1"/>
    <row r="151" s="337" customFormat="1"/>
    <row r="152" s="337" customFormat="1"/>
    <row r="153" s="337" customFormat="1"/>
    <row r="154" s="337" customFormat="1"/>
    <row r="155" s="337" customFormat="1"/>
    <row r="156" s="337" customFormat="1"/>
    <row r="157" s="337" customFormat="1"/>
    <row r="158" s="337" customFormat="1"/>
    <row r="159" s="337" customFormat="1"/>
    <row r="160" s="337" customFormat="1"/>
    <row r="161" s="337" customFormat="1"/>
    <row r="162" s="337" customFormat="1"/>
    <row r="163" s="337" customFormat="1"/>
    <row r="164" s="337" customFormat="1"/>
    <row r="165" s="337" customFormat="1"/>
    <row r="166" s="337" customFormat="1"/>
    <row r="167" s="337" customFormat="1"/>
    <row r="168" s="337" customFormat="1"/>
    <row r="169" s="337" customFormat="1"/>
    <row r="170" s="337" customFormat="1"/>
    <row r="171" s="337" customFormat="1"/>
    <row r="172" s="337" customFormat="1"/>
    <row r="173" s="337" customFormat="1"/>
    <row r="174" s="337" customFormat="1"/>
    <row r="175" s="337" customFormat="1"/>
    <row r="176" s="337" customFormat="1"/>
    <row r="177" s="337" customFormat="1"/>
    <row r="178" s="337" customFormat="1"/>
    <row r="179" s="337" customFormat="1"/>
    <row r="180" s="337" customFormat="1"/>
    <row r="181" s="337" customFormat="1"/>
    <row r="182" s="337" customFormat="1"/>
    <row r="183" s="337" customFormat="1"/>
    <row r="184" s="337" customFormat="1"/>
    <row r="185" s="337" customFormat="1"/>
    <row r="186" s="337" customFormat="1"/>
    <row r="187" s="337" customFormat="1"/>
    <row r="188" s="337" customFormat="1"/>
    <row r="189" s="337" customFormat="1"/>
    <row r="190" s="337" customFormat="1"/>
    <row r="191" s="337" customFormat="1"/>
    <row r="192" s="337" customFormat="1"/>
    <row r="193" s="337" customFormat="1"/>
    <row r="194" s="337" customFormat="1"/>
    <row r="195" s="337" customFormat="1"/>
    <row r="196" s="337" customFormat="1"/>
    <row r="197" s="337" customFormat="1"/>
    <row r="198" s="337" customFormat="1"/>
    <row r="199" s="337" customFormat="1"/>
    <row r="200" s="337" customFormat="1"/>
    <row r="201" s="337" customFormat="1"/>
    <row r="202" s="337" customFormat="1"/>
    <row r="203" s="337" customFormat="1"/>
    <row r="204" s="337" customFormat="1"/>
    <row r="205" s="337" customFormat="1"/>
    <row r="206" s="337" customFormat="1"/>
    <row r="207" s="337" customFormat="1"/>
    <row r="208" s="337" customFormat="1"/>
    <row r="209" s="337" customFormat="1"/>
    <row r="210" s="337" customFormat="1"/>
    <row r="211" s="337" customFormat="1"/>
    <row r="212" s="337" customFormat="1"/>
    <row r="213" s="337" customFormat="1"/>
    <row r="214" s="337" customFormat="1"/>
    <row r="215" s="337" customFormat="1"/>
    <row r="216" s="337" customFormat="1"/>
    <row r="217" s="337" customFormat="1"/>
    <row r="218" s="337" customFormat="1"/>
    <row r="219" s="337" customFormat="1"/>
    <row r="220" s="337" customFormat="1"/>
    <row r="221" s="337" customFormat="1"/>
    <row r="222" s="337" customFormat="1"/>
    <row r="223" s="337" customFormat="1"/>
    <row r="224" s="337" customFormat="1"/>
    <row r="225" s="337" customFormat="1"/>
    <row r="226" s="337" customFormat="1"/>
    <row r="227" s="337" customFormat="1"/>
    <row r="228" s="337" customFormat="1"/>
    <row r="229" s="337" customFormat="1"/>
    <row r="230" s="337" customFormat="1"/>
    <row r="231" s="337" customFormat="1"/>
    <row r="232" s="337" customFormat="1"/>
    <row r="233" s="337" customFormat="1"/>
    <row r="234" s="337" customFormat="1"/>
    <row r="235" s="337" customFormat="1"/>
    <row r="236" s="337" customFormat="1"/>
    <row r="237" s="337" customFormat="1"/>
    <row r="238" s="337" customFormat="1"/>
    <row r="239" s="337" customFormat="1"/>
    <row r="240" s="337" customFormat="1"/>
    <row r="241" s="337" customFormat="1"/>
    <row r="242" s="337" customFormat="1"/>
    <row r="243" s="337" customFormat="1"/>
    <row r="244" s="337" customFormat="1"/>
    <row r="245" s="337" customFormat="1"/>
    <row r="246" s="337" customFormat="1"/>
    <row r="247" s="337" customFormat="1"/>
    <row r="248" s="337" customFormat="1"/>
    <row r="249" s="337" customFormat="1"/>
    <row r="250" s="337" customFormat="1"/>
    <row r="251" s="337" customFormat="1"/>
    <row r="252" s="337" customFormat="1"/>
    <row r="253" s="337" customFormat="1"/>
    <row r="254" s="337" customFormat="1"/>
    <row r="255" s="337" customFormat="1"/>
    <row r="256" s="337" customFormat="1"/>
    <row r="257" s="337" customFormat="1"/>
    <row r="258" s="337" customFormat="1"/>
    <row r="259" s="337" customFormat="1"/>
    <row r="260" s="337" customFormat="1"/>
    <row r="261" s="337" customFormat="1"/>
    <row r="262" s="337" customFormat="1"/>
    <row r="263" s="337" customFormat="1"/>
    <row r="264" s="337" customFormat="1"/>
    <row r="265" s="337" customFormat="1"/>
    <row r="266" s="337" customFormat="1"/>
    <row r="267" s="337" customFormat="1"/>
    <row r="268" s="337" customFormat="1"/>
    <row r="269" s="337" customFormat="1"/>
    <row r="270" s="337" customFormat="1"/>
    <row r="271" s="337" customFormat="1"/>
    <row r="272" s="337" customFormat="1"/>
    <row r="273" s="337" customFormat="1"/>
    <row r="274" s="337" customFormat="1"/>
    <row r="275" s="337" customFormat="1"/>
    <row r="276" s="337" customFormat="1"/>
    <row r="277" s="337" customFormat="1"/>
    <row r="278" s="337" customFormat="1"/>
    <row r="279" s="337" customFormat="1"/>
    <row r="280" s="337" customFormat="1"/>
    <row r="281" s="337" customFormat="1"/>
    <row r="282" s="337" customFormat="1"/>
    <row r="283" s="337" customFormat="1"/>
    <row r="284" s="337" customFormat="1"/>
    <row r="285" s="337" customFormat="1"/>
    <row r="286" s="337" customFormat="1"/>
    <row r="287" s="337" customFormat="1"/>
    <row r="288" s="337" customFormat="1"/>
    <row r="289" s="337" customFormat="1"/>
    <row r="290" s="337" customFormat="1"/>
    <row r="291" s="337" customFormat="1"/>
    <row r="292" s="337" customFormat="1"/>
    <row r="293" s="337" customFormat="1"/>
    <row r="294" s="337" customFormat="1"/>
    <row r="295" s="337" customFormat="1"/>
    <row r="296" s="337" customFormat="1"/>
    <row r="297" s="337" customFormat="1"/>
    <row r="298" s="337" customFormat="1"/>
    <row r="299" s="337" customFormat="1"/>
    <row r="300" s="337" customFormat="1"/>
    <row r="301" s="337" customFormat="1"/>
    <row r="302" s="337" customFormat="1"/>
    <row r="303" s="337" customFormat="1"/>
    <row r="304" s="337" customFormat="1"/>
    <row r="305" s="337" customFormat="1"/>
    <row r="306" s="337" customFormat="1"/>
    <row r="307" s="337" customFormat="1"/>
    <row r="308" s="337" customFormat="1"/>
    <row r="309" s="337" customFormat="1"/>
    <row r="310" s="337" customFormat="1"/>
    <row r="311" s="337" customFormat="1"/>
    <row r="312" s="337" customFormat="1"/>
    <row r="313" s="337" customFormat="1"/>
    <row r="314" s="337" customFormat="1"/>
    <row r="315" s="337" customFormat="1"/>
    <row r="316" s="337" customFormat="1"/>
    <row r="317" s="337" customFormat="1"/>
    <row r="318" s="337" customFormat="1"/>
    <row r="319" s="337" customFormat="1"/>
    <row r="320" s="337" customFormat="1"/>
    <row r="321" s="337" customFormat="1"/>
    <row r="322" s="337" customFormat="1"/>
    <row r="323" s="337" customFormat="1"/>
    <row r="324" s="337" customFormat="1"/>
    <row r="325" s="337" customFormat="1"/>
    <row r="326" s="337" customFormat="1"/>
    <row r="327" s="337" customFormat="1"/>
    <row r="328" s="337" customFormat="1"/>
    <row r="329" s="337" customFormat="1"/>
    <row r="330" s="337" customFormat="1"/>
    <row r="331" s="337" customFormat="1"/>
    <row r="332" s="337" customFormat="1"/>
    <row r="333" s="337" customFormat="1"/>
    <row r="334" s="337" customFormat="1"/>
    <row r="335" s="337" customFormat="1"/>
    <row r="336" s="337" customFormat="1"/>
    <row r="337" s="337" customFormat="1"/>
    <row r="338" s="337" customFormat="1"/>
    <row r="339" s="337" customFormat="1"/>
    <row r="340" s="337" customFormat="1"/>
    <row r="341" s="337" customFormat="1"/>
    <row r="342" s="337" customFormat="1"/>
    <row r="343" s="337" customFormat="1"/>
    <row r="344" s="337" customFormat="1"/>
    <row r="345" s="337" customFormat="1"/>
    <row r="346" s="337" customFormat="1"/>
    <row r="347" s="337" customFormat="1"/>
    <row r="348" s="337" customFormat="1"/>
    <row r="349" s="337" customFormat="1"/>
    <row r="350" s="337" customFormat="1"/>
    <row r="351" s="337" customFormat="1"/>
    <row r="352" s="337" customFormat="1"/>
    <row r="353" s="337" customFormat="1"/>
    <row r="354" s="337" customFormat="1"/>
    <row r="355" s="337" customFormat="1"/>
    <row r="356" s="337" customFormat="1"/>
    <row r="357" s="337" customFormat="1"/>
    <row r="358" s="337" customFormat="1"/>
    <row r="359" s="337" customFormat="1"/>
    <row r="360" s="337" customFormat="1"/>
    <row r="361" s="337" customFormat="1"/>
    <row r="362" s="337" customFormat="1"/>
    <row r="363" s="337" customFormat="1"/>
    <row r="364" s="337" customFormat="1"/>
    <row r="365" s="337" customFormat="1"/>
    <row r="366" s="337" customFormat="1"/>
    <row r="367" s="337" customFormat="1"/>
    <row r="368" s="337" customFormat="1"/>
    <row r="369" s="337" customFormat="1"/>
    <row r="370" s="337" customFormat="1"/>
    <row r="371" s="337" customFormat="1"/>
    <row r="372" s="337" customFormat="1"/>
    <row r="373" s="337" customFormat="1"/>
    <row r="374" s="337" customFormat="1"/>
    <row r="375" s="337" customFormat="1"/>
    <row r="376" s="337" customFormat="1"/>
    <row r="377" s="337" customFormat="1"/>
    <row r="378" s="337" customFormat="1"/>
    <row r="379" s="337" customFormat="1"/>
    <row r="380" s="337" customFormat="1"/>
    <row r="381" s="337" customFormat="1"/>
    <row r="382" s="337" customFormat="1"/>
    <row r="383" s="337" customFormat="1"/>
    <row r="384" s="337" customFormat="1"/>
    <row r="385" s="337" customFormat="1"/>
    <row r="386" s="337" customFormat="1"/>
    <row r="387" s="337" customFormat="1"/>
    <row r="388" s="337" customFormat="1"/>
    <row r="389" s="337" customFormat="1"/>
    <row r="390" s="337" customFormat="1"/>
    <row r="391" s="337" customFormat="1"/>
    <row r="392" s="337" customFormat="1"/>
    <row r="393" s="337" customFormat="1"/>
    <row r="394" s="337" customFormat="1"/>
    <row r="395" s="337" customFormat="1"/>
    <row r="396" s="337" customFormat="1"/>
    <row r="397" s="337" customFormat="1"/>
    <row r="398" s="337" customFormat="1"/>
    <row r="399" s="337" customFormat="1"/>
    <row r="400" s="337" customFormat="1"/>
    <row r="401" s="337" customFormat="1"/>
    <row r="402" s="337" customFormat="1"/>
    <row r="403" s="337" customFormat="1"/>
    <row r="404" s="337" customFormat="1"/>
    <row r="405" s="337" customFormat="1"/>
    <row r="406" s="337" customFormat="1"/>
    <row r="407" s="337" customFormat="1"/>
    <row r="408" s="337" customFormat="1"/>
    <row r="409" s="337" customFormat="1"/>
    <row r="410" s="337" customFormat="1"/>
    <row r="411" s="337" customFormat="1"/>
    <row r="412" s="337" customFormat="1"/>
    <row r="413" s="337" customFormat="1"/>
    <row r="414" s="337" customFormat="1"/>
    <row r="415" s="337" customFormat="1"/>
    <row r="416" s="337" customFormat="1"/>
    <row r="417" s="337" customFormat="1"/>
    <row r="418" s="337" customFormat="1"/>
    <row r="419" s="337" customFormat="1"/>
    <row r="420" s="337" customFormat="1"/>
    <row r="421" s="337" customFormat="1"/>
    <row r="422" s="337" customFormat="1"/>
    <row r="423" s="337" customFormat="1"/>
    <row r="424" s="337" customFormat="1"/>
    <row r="425" s="337" customFormat="1"/>
    <row r="426" s="337" customFormat="1"/>
    <row r="427" s="337" customFormat="1"/>
    <row r="428" s="337" customFormat="1"/>
    <row r="429" s="337" customFormat="1"/>
    <row r="430" s="337" customFormat="1"/>
    <row r="431" s="337" customFormat="1"/>
    <row r="432" s="337" customFormat="1"/>
    <row r="433" s="337" customFormat="1"/>
    <row r="434" s="337" customFormat="1"/>
    <row r="435" s="337" customFormat="1"/>
    <row r="436" s="337" customFormat="1"/>
    <row r="437" s="337" customFormat="1"/>
    <row r="438" s="337" customFormat="1"/>
    <row r="439" s="337" customFormat="1"/>
    <row r="440" s="337" customFormat="1"/>
    <row r="441" s="337" customFormat="1"/>
    <row r="442" s="337" customFormat="1"/>
    <row r="443" s="337" customFormat="1"/>
    <row r="444" s="337" customFormat="1"/>
    <row r="445" s="337" customFormat="1"/>
    <row r="446" s="337" customFormat="1"/>
    <row r="447" s="337" customFormat="1"/>
    <row r="448" s="337" customFormat="1"/>
    <row r="449" s="337" customFormat="1"/>
    <row r="450" s="337" customFormat="1"/>
    <row r="451" s="337" customFormat="1"/>
    <row r="452" s="337" customFormat="1"/>
    <row r="453" s="337" customFormat="1"/>
    <row r="454" s="337" customFormat="1"/>
    <row r="455" s="337" customFormat="1"/>
    <row r="456" s="337" customFormat="1"/>
    <row r="457" s="337" customFormat="1"/>
    <row r="458" s="337" customFormat="1"/>
    <row r="459" s="337" customFormat="1"/>
    <row r="460" s="337" customFormat="1"/>
    <row r="461" s="337" customFormat="1"/>
    <row r="462" s="337" customFormat="1"/>
    <row r="463" s="337" customFormat="1"/>
    <row r="464" s="337" customFormat="1"/>
    <row r="465" s="337" customFormat="1"/>
    <row r="466" s="337" customFormat="1"/>
    <row r="467" s="337" customFormat="1"/>
    <row r="468" s="337" customFormat="1"/>
    <row r="469" s="337" customFormat="1"/>
    <row r="470" s="337" customFormat="1"/>
    <row r="471" s="337" customFormat="1"/>
    <row r="472" s="337" customFormat="1"/>
    <row r="473" s="337" customFormat="1"/>
    <row r="474" s="337" customFormat="1"/>
    <row r="475" s="337" customFormat="1"/>
    <row r="476" s="337" customFormat="1"/>
    <row r="477" s="337" customFormat="1"/>
    <row r="478" s="337" customFormat="1"/>
    <row r="479" s="337" customFormat="1"/>
    <row r="480" s="337" customFormat="1"/>
    <row r="481" s="337" customFormat="1"/>
    <row r="482" s="337" customFormat="1"/>
    <row r="483" s="337" customFormat="1"/>
    <row r="484" s="337" customFormat="1"/>
    <row r="485" s="337" customFormat="1"/>
    <row r="486" s="337" customFormat="1"/>
    <row r="487" s="337" customFormat="1"/>
    <row r="488" s="337" customFormat="1"/>
    <row r="489" s="337" customFormat="1"/>
    <row r="490" s="337" customFormat="1"/>
    <row r="491" s="337" customFormat="1"/>
    <row r="492" s="337" customFormat="1"/>
    <row r="493" s="337" customFormat="1"/>
    <row r="494" s="337" customFormat="1"/>
    <row r="495" s="337" customFormat="1"/>
    <row r="496" s="337" customFormat="1"/>
    <row r="497" spans="45:48" s="337" customFormat="1">
      <c r="AS497"/>
      <c r="AT497"/>
    </row>
    <row r="498" spans="45:48" s="337" customFormat="1">
      <c r="AS498"/>
      <c r="AT498"/>
    </row>
    <row r="499" spans="45:48" s="337" customFormat="1">
      <c r="AS499"/>
      <c r="AT499"/>
      <c r="AU499"/>
      <c r="AV499"/>
    </row>
  </sheetData>
  <mergeCells count="124">
    <mergeCell ref="B61:K61"/>
    <mergeCell ref="B62:K62"/>
    <mergeCell ref="F30:G30"/>
    <mergeCell ref="F31:G31"/>
    <mergeCell ref="B30:B31"/>
    <mergeCell ref="C30:D31"/>
    <mergeCell ref="E30:E31"/>
    <mergeCell ref="H30:I31"/>
    <mergeCell ref="J30:K31"/>
    <mergeCell ref="B55:K55"/>
    <mergeCell ref="B57:K57"/>
    <mergeCell ref="B36:K41"/>
    <mergeCell ref="B43:K49"/>
    <mergeCell ref="B58:K58"/>
    <mergeCell ref="B35:K35"/>
    <mergeCell ref="B42:K42"/>
    <mergeCell ref="B52:K52"/>
    <mergeCell ref="B54:K54"/>
    <mergeCell ref="C32:D32"/>
    <mergeCell ref="F32:G32"/>
    <mergeCell ref="H32:I32"/>
    <mergeCell ref="J32:K32"/>
    <mergeCell ref="C33:D33"/>
    <mergeCell ref="F33:G33"/>
    <mergeCell ref="B1:K1"/>
    <mergeCell ref="B3:K3"/>
    <mergeCell ref="C5:D5"/>
    <mergeCell ref="F5:G5"/>
    <mergeCell ref="H5:I5"/>
    <mergeCell ref="J5:K5"/>
    <mergeCell ref="C9:D9"/>
    <mergeCell ref="F9:G9"/>
    <mergeCell ref="H9:I9"/>
    <mergeCell ref="J9:K9"/>
    <mergeCell ref="C7:D7"/>
    <mergeCell ref="F7:G7"/>
    <mergeCell ref="H7:I7"/>
    <mergeCell ref="J7:K7"/>
    <mergeCell ref="C6:D6"/>
    <mergeCell ref="F6:G6"/>
    <mergeCell ref="C14:D14"/>
    <mergeCell ref="F14:G14"/>
    <mergeCell ref="H14:I14"/>
    <mergeCell ref="J14:K14"/>
    <mergeCell ref="C13:D13"/>
    <mergeCell ref="F13:G13"/>
    <mergeCell ref="H13:I13"/>
    <mergeCell ref="J13:K13"/>
    <mergeCell ref="H6:I6"/>
    <mergeCell ref="J6:K6"/>
    <mergeCell ref="C12:D12"/>
    <mergeCell ref="F12:G12"/>
    <mergeCell ref="H12:I12"/>
    <mergeCell ref="J12:K12"/>
    <mergeCell ref="C11:D11"/>
    <mergeCell ref="F11:G11"/>
    <mergeCell ref="H11:I11"/>
    <mergeCell ref="J11:K11"/>
    <mergeCell ref="C10:D10"/>
    <mergeCell ref="F10:G10"/>
    <mergeCell ref="H10:I10"/>
    <mergeCell ref="J10:K10"/>
    <mergeCell ref="C19:D19"/>
    <mergeCell ref="F19:G19"/>
    <mergeCell ref="H19:I19"/>
    <mergeCell ref="J19:K19"/>
    <mergeCell ref="C20:D20"/>
    <mergeCell ref="F20:G20"/>
    <mergeCell ref="H20:I20"/>
    <mergeCell ref="J20:K20"/>
    <mergeCell ref="C15:D15"/>
    <mergeCell ref="F15:G15"/>
    <mergeCell ref="H15:I15"/>
    <mergeCell ref="J15:K15"/>
    <mergeCell ref="C17:D17"/>
    <mergeCell ref="F17:G17"/>
    <mergeCell ref="H17:I17"/>
    <mergeCell ref="J17:K17"/>
    <mergeCell ref="C16:D16"/>
    <mergeCell ref="F16:G16"/>
    <mergeCell ref="H16:I16"/>
    <mergeCell ref="J16:K16"/>
    <mergeCell ref="C18:D18"/>
    <mergeCell ref="F18:G18"/>
    <mergeCell ref="H18:I18"/>
    <mergeCell ref="J18:K18"/>
    <mergeCell ref="C21:D21"/>
    <mergeCell ref="F21:G21"/>
    <mergeCell ref="H21:I21"/>
    <mergeCell ref="J21:K21"/>
    <mergeCell ref="C23:D23"/>
    <mergeCell ref="F23:G23"/>
    <mergeCell ref="H23:I23"/>
    <mergeCell ref="J23:K23"/>
    <mergeCell ref="C24:D24"/>
    <mergeCell ref="F24:G24"/>
    <mergeCell ref="H24:I24"/>
    <mergeCell ref="J24:K24"/>
    <mergeCell ref="C22:D22"/>
    <mergeCell ref="F22:G22"/>
    <mergeCell ref="H22:I22"/>
    <mergeCell ref="J22:K22"/>
    <mergeCell ref="H33:I33"/>
    <mergeCell ref="J33:K33"/>
    <mergeCell ref="C29:D29"/>
    <mergeCell ref="F29:G29"/>
    <mergeCell ref="H29:I29"/>
    <mergeCell ref="J29:K29"/>
    <mergeCell ref="C25:D25"/>
    <mergeCell ref="F25:G25"/>
    <mergeCell ref="H25:I25"/>
    <mergeCell ref="J25:K25"/>
    <mergeCell ref="C26:D26"/>
    <mergeCell ref="F26:G26"/>
    <mergeCell ref="H26:I26"/>
    <mergeCell ref="J26:K26"/>
    <mergeCell ref="C27:D27"/>
    <mergeCell ref="F27:G27"/>
    <mergeCell ref="H27:I27"/>
    <mergeCell ref="J27:K27"/>
    <mergeCell ref="C28:D28"/>
    <mergeCell ref="F28:G28"/>
    <mergeCell ref="H28:I28"/>
    <mergeCell ref="J28:K28"/>
  </mergeCells>
  <phoneticPr fontId="0" type="noConversion"/>
  <pageMargins left="0.75" right="0.375" top="0.25" bottom="0.25" header="0.75" footer="0.25"/>
  <pageSetup orientation="portrait" blackAndWhite="1" r:id="rId1"/>
  <headerFooter alignWithMargins="0">
    <oddFooter>&amp;L&amp;D   &amp;T&amp;CRev 8.0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21" r:id="rId4" name="Button 1029">
              <controlPr defaultSize="0" print="0" autoFill="0" autoPict="0" macro="[0]!Security">
                <anchor moveWithCells="1" sizeWithCells="1">
                  <from>
                    <xdr:col>0</xdr:col>
                    <xdr:colOff>228600</xdr:colOff>
                    <xdr:row>5</xdr:row>
                    <xdr:rowOff>0</xdr:rowOff>
                  </from>
                  <to>
                    <xdr:col>0</xdr:col>
                    <xdr:colOff>1371600</xdr:colOff>
                    <xdr:row>8</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01">
    <tabColor indexed="16"/>
  </sheetPr>
  <dimension ref="A7:AJ241"/>
  <sheetViews>
    <sheetView showGridLines="0" view="pageBreakPreview" topLeftCell="A22" zoomScaleNormal="100" zoomScaleSheetLayoutView="100" workbookViewId="0">
      <selection activeCell="J38" sqref="J38"/>
    </sheetView>
  </sheetViews>
  <sheetFormatPr defaultRowHeight="12.75"/>
  <cols>
    <col min="1" max="1" width="24.7109375" style="358" customWidth="1"/>
    <col min="2" max="8" width="8.7109375" customWidth="1"/>
    <col min="9" max="9" width="10.42578125" customWidth="1"/>
    <col min="10" max="11" width="8.7109375" customWidth="1"/>
    <col min="12" max="12" width="6.85546875" customWidth="1"/>
    <col min="13" max="13" width="8.7109375" style="337" customWidth="1"/>
    <col min="14" max="14" width="9.140625" style="337"/>
    <col min="15" max="15" width="8.140625" style="337" customWidth="1"/>
    <col min="16" max="36" width="9.140625" style="337"/>
  </cols>
  <sheetData>
    <row r="7" spans="2:14">
      <c r="N7" s="337" t="b">
        <v>0</v>
      </c>
    </row>
    <row r="8" spans="2:14" ht="19.5" customHeight="1" thickBot="1">
      <c r="B8" s="1444" t="s">
        <v>101</v>
      </c>
      <c r="C8" s="1444"/>
      <c r="D8" s="1444"/>
      <c r="E8" s="1444"/>
      <c r="F8" s="1444"/>
      <c r="G8" s="1444"/>
      <c r="H8" s="1444"/>
      <c r="I8" s="1444"/>
      <c r="J8" s="1444"/>
      <c r="K8" s="1444"/>
      <c r="L8" s="1444"/>
    </row>
    <row r="9" spans="2:14" ht="13.5" thickTop="1">
      <c r="B9" t="s">
        <v>1063</v>
      </c>
    </row>
    <row r="11" spans="2:14">
      <c r="B11" t="s">
        <v>1064</v>
      </c>
    </row>
    <row r="13" spans="2:14">
      <c r="F13" s="16" t="s">
        <v>2</v>
      </c>
      <c r="G13" s="844">
        <v>46</v>
      </c>
      <c r="H13" t="s">
        <v>156</v>
      </c>
    </row>
    <row r="14" spans="2:14">
      <c r="F14" s="16" t="s">
        <v>3</v>
      </c>
      <c r="G14" s="844">
        <v>46</v>
      </c>
      <c r="H14" t="s">
        <v>156</v>
      </c>
    </row>
    <row r="16" spans="2:14">
      <c r="B16" t="s">
        <v>4</v>
      </c>
    </row>
    <row r="18" spans="1:11">
      <c r="C18" s="44" t="s">
        <v>1012</v>
      </c>
      <c r="F18" s="16" t="s">
        <v>24</v>
      </c>
      <c r="G18">
        <f>BkBms</f>
        <v>4</v>
      </c>
      <c r="I18" s="44" t="s">
        <v>25</v>
      </c>
    </row>
    <row r="19" spans="1:11">
      <c r="A19" s="358" t="str">
        <f>IF($G$18&gt;=COUNTIF($F$19:F19,"&lt;&gt;"""),"","*")</f>
        <v/>
      </c>
      <c r="F19" s="16" t="s">
        <v>1066</v>
      </c>
      <c r="G19" s="1055">
        <v>-20</v>
      </c>
      <c r="H19" t="s">
        <v>156</v>
      </c>
      <c r="I19" s="840">
        <v>1</v>
      </c>
      <c r="J19" s="1055">
        <v>120</v>
      </c>
      <c r="K19" t="s">
        <v>156</v>
      </c>
    </row>
    <row r="20" spans="1:11">
      <c r="A20" s="358" t="str">
        <f>IF($G$18&gt;=COUNTIF($F$19:F20,"&lt;&gt;"""),"","*")</f>
        <v/>
      </c>
      <c r="F20" s="16" t="s">
        <v>5</v>
      </c>
      <c r="G20" s="1055">
        <v>10</v>
      </c>
      <c r="H20" t="s">
        <v>156</v>
      </c>
      <c r="I20" s="840">
        <v>2</v>
      </c>
      <c r="J20" s="1055">
        <v>120</v>
      </c>
      <c r="K20" t="s">
        <v>156</v>
      </c>
    </row>
    <row r="21" spans="1:11">
      <c r="A21" s="358" t="str">
        <f>IF($G$18&gt;=COUNTIF($F$19:F21,"&lt;&gt;"""),"","*")</f>
        <v/>
      </c>
      <c r="F21" s="16" t="s">
        <v>6</v>
      </c>
      <c r="G21" s="1055">
        <v>10</v>
      </c>
      <c r="H21" t="s">
        <v>156</v>
      </c>
      <c r="I21" s="840">
        <v>3</v>
      </c>
      <c r="J21" s="1055">
        <v>120</v>
      </c>
      <c r="K21" t="s">
        <v>156</v>
      </c>
    </row>
    <row r="22" spans="1:11">
      <c r="A22" s="358" t="str">
        <f>IF($G$18&gt;=COUNTIF($F$19:F22,"&lt;&gt;"""),"","*")</f>
        <v/>
      </c>
      <c r="F22" s="16" t="s">
        <v>7</v>
      </c>
      <c r="G22" s="1055">
        <v>10</v>
      </c>
      <c r="H22" t="s">
        <v>156</v>
      </c>
      <c r="I22" s="840">
        <v>4</v>
      </c>
      <c r="J22" s="1055">
        <v>120</v>
      </c>
      <c r="K22" t="s">
        <v>156</v>
      </c>
    </row>
    <row r="23" spans="1:11">
      <c r="A23" s="358" t="str">
        <f>IF($G$18&gt;=COUNTIF($F$19:F23,"&lt;&gt;"""),"","*")</f>
        <v>*</v>
      </c>
      <c r="F23" s="16" t="s">
        <v>8</v>
      </c>
      <c r="G23" s="1055">
        <v>10</v>
      </c>
      <c r="H23" t="s">
        <v>156</v>
      </c>
      <c r="I23" s="840">
        <v>5</v>
      </c>
      <c r="J23" s="1055">
        <v>120</v>
      </c>
      <c r="K23" t="s">
        <v>156</v>
      </c>
    </row>
    <row r="24" spans="1:11">
      <c r="A24" s="358" t="str">
        <f>IF($G$18&gt;=COUNTIF($F$19:F24,"&lt;&gt;"""),"","*")</f>
        <v>*</v>
      </c>
      <c r="F24" s="16" t="s">
        <v>9</v>
      </c>
      <c r="G24" s="1055"/>
      <c r="H24" t="s">
        <v>156</v>
      </c>
      <c r="I24" s="840">
        <v>6</v>
      </c>
      <c r="J24" s="1055"/>
      <c r="K24" t="s">
        <v>156</v>
      </c>
    </row>
    <row r="25" spans="1:11">
      <c r="A25" s="358" t="str">
        <f>IF($G$18&gt;=COUNTIF($F$19:F25,"&lt;&gt;"""),"","*")</f>
        <v>*</v>
      </c>
      <c r="F25" s="16" t="s">
        <v>10</v>
      </c>
      <c r="G25" s="1055"/>
      <c r="H25" t="s">
        <v>156</v>
      </c>
      <c r="I25" s="840">
        <v>7</v>
      </c>
      <c r="J25" s="1055"/>
      <c r="K25" t="s">
        <v>156</v>
      </c>
    </row>
    <row r="26" spans="1:11">
      <c r="A26" s="358" t="str">
        <f>IF($G$18&gt;=COUNTIF($F$19:F26,"&lt;&gt;"""),"","*")</f>
        <v>*</v>
      </c>
      <c r="F26" s="16" t="s">
        <v>11</v>
      </c>
      <c r="G26" s="1055"/>
      <c r="H26" t="s">
        <v>156</v>
      </c>
      <c r="I26" s="840">
        <v>8</v>
      </c>
      <c r="J26" s="1055"/>
      <c r="K26" t="s">
        <v>156</v>
      </c>
    </row>
    <row r="27" spans="1:11">
      <c r="A27" s="358" t="str">
        <f>IF($G$18&gt;=COUNTIF($F$19:F27,"&lt;&gt;"""),"","*")</f>
        <v>*</v>
      </c>
      <c r="F27" s="16" t="s">
        <v>12</v>
      </c>
      <c r="G27" s="1055"/>
      <c r="H27" t="s">
        <v>156</v>
      </c>
      <c r="I27" s="840">
        <v>9</v>
      </c>
      <c r="J27" s="1055"/>
      <c r="K27" t="s">
        <v>156</v>
      </c>
    </row>
    <row r="28" spans="1:11">
      <c r="A28" s="358" t="str">
        <f>IF($G$18&gt;=COUNTIF($F$19:F28,"&lt;&gt;"""),"","*")</f>
        <v>*</v>
      </c>
      <c r="F28" s="16" t="s">
        <v>13</v>
      </c>
      <c r="G28" s="1055"/>
      <c r="H28" t="s">
        <v>156</v>
      </c>
      <c r="I28" s="840">
        <v>10</v>
      </c>
      <c r="J28" s="1055"/>
      <c r="K28" t="s">
        <v>156</v>
      </c>
    </row>
    <row r="29" spans="1:11">
      <c r="A29" s="358" t="str">
        <f>IF($G$18&gt;=COUNTIF($F$19:F29,"&lt;&gt;"""),"","*")</f>
        <v>*</v>
      </c>
      <c r="F29" s="16" t="s">
        <v>14</v>
      </c>
      <c r="G29" s="1055"/>
      <c r="H29" t="s">
        <v>156</v>
      </c>
      <c r="I29" s="840">
        <v>11</v>
      </c>
      <c r="J29" s="1055"/>
      <c r="K29" t="s">
        <v>156</v>
      </c>
    </row>
    <row r="30" spans="1:11">
      <c r="A30" s="358" t="str">
        <f>IF($G$18&gt;=COUNTIF($F$19:F30,"&lt;&gt;"""),"","*")</f>
        <v>*</v>
      </c>
      <c r="F30" s="16" t="s">
        <v>15</v>
      </c>
      <c r="G30" s="1055"/>
      <c r="H30" t="s">
        <v>156</v>
      </c>
      <c r="I30" s="840">
        <v>12</v>
      </c>
      <c r="J30" s="1055"/>
      <c r="K30" t="s">
        <v>156</v>
      </c>
    </row>
    <row r="31" spans="1:11">
      <c r="A31" s="358" t="str">
        <f>IF($G$18&gt;=COUNTIF($F$19:F31,"&lt;&gt;"""),"","*")</f>
        <v>*</v>
      </c>
      <c r="F31" s="16" t="s">
        <v>16</v>
      </c>
      <c r="G31" s="1055"/>
      <c r="H31" t="s">
        <v>156</v>
      </c>
      <c r="I31" s="840">
        <v>13</v>
      </c>
      <c r="J31" s="1055"/>
      <c r="K31" t="s">
        <v>156</v>
      </c>
    </row>
    <row r="32" spans="1:11">
      <c r="A32" s="358" t="str">
        <f>IF($G$18&gt;=COUNTIF($F$19:F32,"&lt;&gt;"""),"","*")</f>
        <v>*</v>
      </c>
      <c r="F32" s="16" t="s">
        <v>17</v>
      </c>
      <c r="G32" s="1055"/>
      <c r="H32" t="s">
        <v>156</v>
      </c>
      <c r="I32" s="840">
        <v>14</v>
      </c>
      <c r="J32" s="1055"/>
      <c r="K32" t="s">
        <v>156</v>
      </c>
    </row>
    <row r="33" spans="1:11">
      <c r="A33" s="358" t="str">
        <f>IF($G$18&gt;=COUNTIF($F$19:F33,"&lt;&gt;"""),"","*")</f>
        <v>*</v>
      </c>
      <c r="F33" s="16" t="s">
        <v>18</v>
      </c>
      <c r="G33" s="1055"/>
      <c r="H33" t="s">
        <v>156</v>
      </c>
      <c r="I33" s="840">
        <v>15</v>
      </c>
      <c r="J33" s="1055"/>
      <c r="K33" t="s">
        <v>156</v>
      </c>
    </row>
    <row r="34" spans="1:11">
      <c r="A34" s="358" t="str">
        <f>IF($G$18&gt;=COUNTIF($F$19:F34,"&lt;&gt;"""),"","*")</f>
        <v>*</v>
      </c>
      <c r="F34" s="16" t="s">
        <v>19</v>
      </c>
      <c r="G34" s="1055"/>
      <c r="H34" t="s">
        <v>156</v>
      </c>
      <c r="I34" s="840">
        <v>16</v>
      </c>
      <c r="J34" s="1055"/>
      <c r="K34" t="s">
        <v>156</v>
      </c>
    </row>
    <row r="35" spans="1:11">
      <c r="A35" s="358" t="str">
        <f>IF($G$18&gt;=COUNTIF($F$19:F35,"&lt;&gt;"""),"","*")</f>
        <v>*</v>
      </c>
      <c r="F35" s="16" t="s">
        <v>20</v>
      </c>
      <c r="G35" s="1055"/>
      <c r="H35" t="s">
        <v>156</v>
      </c>
      <c r="I35" s="840">
        <v>17</v>
      </c>
      <c r="J35" s="1055"/>
      <c r="K35" t="s">
        <v>156</v>
      </c>
    </row>
    <row r="36" spans="1:11">
      <c r="A36" s="358" t="str">
        <f>IF($G$18&gt;=COUNTIF($F$19:F36,"&lt;&gt;"""),"","*")</f>
        <v>*</v>
      </c>
      <c r="F36" s="16" t="s">
        <v>21</v>
      </c>
      <c r="G36" s="1055"/>
      <c r="H36" t="s">
        <v>156</v>
      </c>
      <c r="I36" s="840">
        <v>18</v>
      </c>
      <c r="J36" s="1055"/>
      <c r="K36" t="s">
        <v>156</v>
      </c>
    </row>
    <row r="37" spans="1:11">
      <c r="A37" s="358" t="str">
        <f>IF($G$18&gt;=COUNTIF($F$19:F37,"&lt;&gt;"""),"","*")</f>
        <v>*</v>
      </c>
      <c r="F37" s="16" t="s">
        <v>22</v>
      </c>
      <c r="G37" s="1055"/>
      <c r="H37" t="s">
        <v>156</v>
      </c>
      <c r="I37" s="840">
        <v>19</v>
      </c>
      <c r="J37" s="1055"/>
      <c r="K37" t="s">
        <v>156</v>
      </c>
    </row>
    <row r="38" spans="1:11">
      <c r="A38" s="358" t="str">
        <f>IF($G$18&gt;=COUNTIF($F$19:F38,"&lt;&gt;"""),"","*")</f>
        <v>*</v>
      </c>
      <c r="F38" s="16" t="s">
        <v>23</v>
      </c>
      <c r="G38" s="1055"/>
      <c r="H38" t="s">
        <v>156</v>
      </c>
      <c r="I38" s="840">
        <v>20</v>
      </c>
      <c r="J38" s="1055"/>
      <c r="K38" t="s">
        <v>156</v>
      </c>
    </row>
    <row r="39" spans="1:11">
      <c r="A39" s="358" t="s">
        <v>1118</v>
      </c>
      <c r="F39" s="16"/>
    </row>
    <row r="40" spans="1:11">
      <c r="C40" s="44" t="s">
        <v>1009</v>
      </c>
      <c r="F40" s="16" t="s">
        <v>24</v>
      </c>
      <c r="G40">
        <f>FdBms</f>
        <v>4</v>
      </c>
      <c r="I40" s="44" t="s">
        <v>25</v>
      </c>
    </row>
    <row r="41" spans="1:11">
      <c r="A41" s="358" t="str">
        <f>IF($G$40&gt;=COUNTIF($F$41:F41,"&lt;&gt;"""),"","*")</f>
        <v/>
      </c>
      <c r="F41" s="16" t="s">
        <v>1066</v>
      </c>
      <c r="G41" s="1055">
        <f>Cmplx_Bk_PGLBm1</f>
        <v>-20</v>
      </c>
      <c r="H41" t="s">
        <v>156</v>
      </c>
      <c r="I41" s="840">
        <v>1</v>
      </c>
      <c r="J41" s="1055">
        <v>120</v>
      </c>
      <c r="K41" t="s">
        <v>156</v>
      </c>
    </row>
    <row r="42" spans="1:11">
      <c r="A42" s="358" t="str">
        <f>IF($G$40&gt;=COUNTIF($F$41:F42,"&lt;&gt;"""),"","*")</f>
        <v/>
      </c>
      <c r="F42" s="16" t="s">
        <v>5</v>
      </c>
      <c r="G42" s="1055">
        <v>8</v>
      </c>
      <c r="H42" t="s">
        <v>156</v>
      </c>
      <c r="I42" s="840">
        <v>2</v>
      </c>
      <c r="J42" s="1055">
        <v>120</v>
      </c>
      <c r="K42" t="s">
        <v>156</v>
      </c>
    </row>
    <row r="43" spans="1:11">
      <c r="A43" s="358" t="str">
        <f>IF($G$40&gt;=COUNTIF($F$41:F43,"&lt;&gt;"""),"","*")</f>
        <v/>
      </c>
      <c r="F43" s="16" t="s">
        <v>6</v>
      </c>
      <c r="G43" s="1055">
        <v>8</v>
      </c>
      <c r="H43" t="s">
        <v>156</v>
      </c>
      <c r="I43" s="840">
        <v>3</v>
      </c>
      <c r="J43" s="1055">
        <v>120</v>
      </c>
      <c r="K43" t="s">
        <v>156</v>
      </c>
    </row>
    <row r="44" spans="1:11">
      <c r="A44" s="358" t="str">
        <f>IF($G$40&gt;=COUNTIF($F$41:F44,"&lt;&gt;"""),"","*")</f>
        <v/>
      </c>
      <c r="F44" s="16" t="s">
        <v>7</v>
      </c>
      <c r="G44" s="1055">
        <v>8</v>
      </c>
      <c r="H44" t="s">
        <v>156</v>
      </c>
      <c r="I44" s="840">
        <v>4</v>
      </c>
      <c r="J44" s="1055">
        <v>120</v>
      </c>
      <c r="K44" t="s">
        <v>156</v>
      </c>
    </row>
    <row r="45" spans="1:11">
      <c r="A45" s="358" t="str">
        <f>IF($G$40&gt;=COUNTIF($F$41:F45,"&lt;&gt;"""),"","*")</f>
        <v>*</v>
      </c>
      <c r="F45" s="16" t="s">
        <v>8</v>
      </c>
      <c r="G45" s="1055">
        <v>8</v>
      </c>
      <c r="H45" t="s">
        <v>156</v>
      </c>
      <c r="I45" s="840">
        <v>5</v>
      </c>
      <c r="J45" s="1055">
        <v>120</v>
      </c>
      <c r="K45" t="s">
        <v>156</v>
      </c>
    </row>
    <row r="46" spans="1:11">
      <c r="A46" s="358" t="str">
        <f>IF($G$40&gt;=COUNTIF($F$41:F46,"&lt;&gt;"""),"","*")</f>
        <v>*</v>
      </c>
      <c r="F46" s="16" t="s">
        <v>9</v>
      </c>
      <c r="G46" s="1055">
        <v>8</v>
      </c>
      <c r="H46" t="s">
        <v>156</v>
      </c>
      <c r="I46" s="840">
        <v>6</v>
      </c>
      <c r="J46" s="1055">
        <v>120</v>
      </c>
      <c r="K46" t="s">
        <v>156</v>
      </c>
    </row>
    <row r="47" spans="1:11">
      <c r="A47" s="358" t="str">
        <f>IF($G$40&gt;=COUNTIF($F$41:F47,"&lt;&gt;"""),"","*")</f>
        <v>*</v>
      </c>
      <c r="F47" s="16" t="s">
        <v>10</v>
      </c>
      <c r="G47" s="1055"/>
      <c r="H47" t="s">
        <v>156</v>
      </c>
      <c r="I47" s="840">
        <v>7</v>
      </c>
      <c r="J47" s="1055"/>
      <c r="K47" t="s">
        <v>156</v>
      </c>
    </row>
    <row r="48" spans="1:11">
      <c r="A48" s="358" t="str">
        <f>IF($G$40&gt;=COUNTIF($F$41:F48,"&lt;&gt;"""),"","*")</f>
        <v>*</v>
      </c>
      <c r="F48" s="16" t="s">
        <v>11</v>
      </c>
      <c r="G48" s="1055"/>
      <c r="H48" t="s">
        <v>156</v>
      </c>
      <c r="I48" s="840">
        <v>8</v>
      </c>
      <c r="J48" s="1055"/>
      <c r="K48" t="s">
        <v>156</v>
      </c>
    </row>
    <row r="49" spans="1:12">
      <c r="A49" s="358" t="str">
        <f>IF($G$40&gt;=COUNTIF($F$41:F49,"&lt;&gt;"""),"","*")</f>
        <v>*</v>
      </c>
      <c r="F49" s="16" t="s">
        <v>12</v>
      </c>
      <c r="G49" s="1055"/>
      <c r="H49" t="s">
        <v>156</v>
      </c>
      <c r="I49" s="840">
        <v>9</v>
      </c>
      <c r="J49" s="1055"/>
      <c r="K49" t="s">
        <v>156</v>
      </c>
    </row>
    <row r="50" spans="1:12">
      <c r="A50" s="358" t="str">
        <f>IF($G$40&gt;=COUNTIF($F$41:F50,"&lt;&gt;"""),"","*")</f>
        <v>*</v>
      </c>
      <c r="F50" s="16" t="s">
        <v>13</v>
      </c>
      <c r="G50" s="1055"/>
      <c r="H50" t="s">
        <v>156</v>
      </c>
      <c r="I50" s="840">
        <v>10</v>
      </c>
      <c r="J50" s="1055"/>
      <c r="K50" t="s">
        <v>156</v>
      </c>
    </row>
    <row r="51" spans="1:12">
      <c r="A51" s="358" t="str">
        <f>IF($G$40&gt;=COUNTIF($F$41:F51,"&lt;&gt;"""),"","*")</f>
        <v>*</v>
      </c>
      <c r="F51" s="16" t="s">
        <v>14</v>
      </c>
      <c r="G51" s="1055"/>
      <c r="H51" t="s">
        <v>156</v>
      </c>
      <c r="I51" s="840">
        <v>11</v>
      </c>
      <c r="J51" s="1055"/>
      <c r="K51" t="s">
        <v>156</v>
      </c>
    </row>
    <row r="52" spans="1:12">
      <c r="A52" s="358" t="str">
        <f>IF($G$40&gt;=COUNTIF($F$41:F52,"&lt;&gt;"""),"","*")</f>
        <v>*</v>
      </c>
      <c r="F52" s="16" t="s">
        <v>15</v>
      </c>
      <c r="G52" s="1055"/>
      <c r="H52" t="s">
        <v>156</v>
      </c>
      <c r="I52" s="840">
        <v>12</v>
      </c>
      <c r="J52" s="1055"/>
      <c r="K52" t="s">
        <v>156</v>
      </c>
    </row>
    <row r="53" spans="1:12">
      <c r="A53" s="358" t="str">
        <f>IF($G$40&gt;=COUNTIF($F$41:F53,"&lt;&gt;"""),"","*")</f>
        <v>*</v>
      </c>
      <c r="F53" s="16" t="s">
        <v>16</v>
      </c>
      <c r="G53" s="1055"/>
      <c r="H53" t="s">
        <v>156</v>
      </c>
      <c r="I53" s="840">
        <v>13</v>
      </c>
      <c r="J53" s="1055"/>
      <c r="K53" t="s">
        <v>156</v>
      </c>
    </row>
    <row r="54" spans="1:12">
      <c r="A54" s="358" t="str">
        <f>IF($G$40&gt;=COUNTIF($F$41:F54,"&lt;&gt;"""),"","*")</f>
        <v>*</v>
      </c>
      <c r="F54" s="16" t="s">
        <v>17</v>
      </c>
      <c r="G54" s="1055"/>
      <c r="H54" t="s">
        <v>156</v>
      </c>
      <c r="I54" s="840">
        <v>14</v>
      </c>
      <c r="J54" s="1055"/>
      <c r="K54" t="s">
        <v>156</v>
      </c>
    </row>
    <row r="55" spans="1:12">
      <c r="A55" s="358" t="str">
        <f>IF($G$40&gt;=COUNTIF($F$41:F55,"&lt;&gt;"""),"","*")</f>
        <v>*</v>
      </c>
      <c r="F55" s="16" t="s">
        <v>18</v>
      </c>
      <c r="G55" s="1055"/>
      <c r="H55" t="s">
        <v>156</v>
      </c>
      <c r="I55" s="840">
        <v>15</v>
      </c>
      <c r="J55" s="1055"/>
      <c r="K55" t="s">
        <v>156</v>
      </c>
    </row>
    <row r="56" spans="1:12">
      <c r="A56" s="358" t="str">
        <f>IF($G$40&gt;=COUNTIF($F$41:F56,"&lt;&gt;"""),"","*")</f>
        <v>*</v>
      </c>
      <c r="F56" s="16" t="s">
        <v>19</v>
      </c>
      <c r="G56" s="1055"/>
      <c r="H56" t="s">
        <v>156</v>
      </c>
      <c r="I56" s="840">
        <v>16</v>
      </c>
      <c r="J56" s="1055"/>
      <c r="K56" t="s">
        <v>156</v>
      </c>
    </row>
    <row r="57" spans="1:12">
      <c r="A57" s="358" t="str">
        <f>IF($G$40&gt;=COUNTIF($F$41:F57,"&lt;&gt;"""),"","*")</f>
        <v>*</v>
      </c>
      <c r="F57" s="16" t="s">
        <v>20</v>
      </c>
      <c r="G57" s="1055"/>
      <c r="H57" t="s">
        <v>156</v>
      </c>
      <c r="I57" s="840">
        <v>17</v>
      </c>
      <c r="J57" s="1055"/>
      <c r="K57" t="s">
        <v>156</v>
      </c>
    </row>
    <row r="58" spans="1:12">
      <c r="A58" s="358" t="str">
        <f>IF($G$40&gt;=COUNTIF($F$41:F58,"&lt;&gt;"""),"","*")</f>
        <v>*</v>
      </c>
      <c r="F58" s="16" t="s">
        <v>21</v>
      </c>
      <c r="G58" s="1055"/>
      <c r="H58" t="s">
        <v>156</v>
      </c>
      <c r="I58" s="840">
        <v>18</v>
      </c>
      <c r="J58" s="1055"/>
      <c r="K58" t="s">
        <v>156</v>
      </c>
    </row>
    <row r="59" spans="1:12">
      <c r="A59" s="358" t="str">
        <f>IF($G$40&gt;=COUNTIF($F$41:F59,"&lt;&gt;"""),"","*")</f>
        <v>*</v>
      </c>
      <c r="F59" s="16" t="s">
        <v>22</v>
      </c>
      <c r="G59" s="1055"/>
      <c r="H59" t="s">
        <v>156</v>
      </c>
      <c r="I59" s="840">
        <v>19</v>
      </c>
      <c r="J59" s="1055"/>
      <c r="K59" t="s">
        <v>156</v>
      </c>
    </row>
    <row r="60" spans="1:12">
      <c r="A60" s="358" t="str">
        <f>IF($G$40&gt;=COUNTIF($F$41:F60,"&lt;&gt;"""),"","*")</f>
        <v>*</v>
      </c>
      <c r="F60" s="16" t="s">
        <v>23</v>
      </c>
      <c r="G60" s="1055"/>
      <c r="H60" t="s">
        <v>156</v>
      </c>
      <c r="I60" s="840">
        <v>20</v>
      </c>
      <c r="J60" s="1055"/>
      <c r="K60" t="s">
        <v>156</v>
      </c>
    </row>
    <row r="61" spans="1:12">
      <c r="A61" s="358" t="s">
        <v>670</v>
      </c>
    </row>
    <row r="62" spans="1:12">
      <c r="B62" t="s">
        <v>26</v>
      </c>
    </row>
    <row r="63" spans="1:12">
      <c r="G63" s="17" t="s">
        <v>28</v>
      </c>
      <c r="I63" s="17" t="s">
        <v>288</v>
      </c>
      <c r="J63" s="17"/>
      <c r="K63" s="17" t="s">
        <v>29</v>
      </c>
    </row>
    <row r="64" spans="1:12">
      <c r="E64" s="16" t="s">
        <v>27</v>
      </c>
      <c r="G64" s="1055">
        <v>46</v>
      </c>
      <c r="H64" t="s">
        <v>156</v>
      </c>
      <c r="I64" s="1055">
        <v>0</v>
      </c>
      <c r="J64" s="25" t="s">
        <v>30</v>
      </c>
      <c r="K64" s="1055">
        <v>23</v>
      </c>
      <c r="L64" t="s">
        <v>156</v>
      </c>
    </row>
    <row r="65" spans="2:12">
      <c r="E65" s="16" t="s">
        <v>64</v>
      </c>
      <c r="G65" s="1056" t="s">
        <v>261</v>
      </c>
      <c r="J65" s="16" t="str">
        <f>IF(G65="None","","Breakback Length =")</f>
        <v/>
      </c>
      <c r="K65" s="31"/>
      <c r="L65" t="str">
        <f>IF(G65="None","","ft")</f>
        <v/>
      </c>
    </row>
    <row r="67" spans="2:12">
      <c r="G67" s="16" t="s">
        <v>727</v>
      </c>
      <c r="H67" s="15">
        <f>G64*COS(RADIANS(I64))+IF(G65="both",2,IF(G65="none",0,1))*K65</f>
        <v>46</v>
      </c>
      <c r="I67" t="s">
        <v>156</v>
      </c>
    </row>
    <row r="68" spans="2:12">
      <c r="G68" s="16" t="s">
        <v>728</v>
      </c>
      <c r="H68" s="15">
        <f>-K64*COS(RADIANS(I64))-IF(G65="both",1,IF(G65="left",1,0))*K65</f>
        <v>-23</v>
      </c>
      <c r="I68" t="s">
        <v>156</v>
      </c>
    </row>
    <row r="70" spans="2:12">
      <c r="B70" s="337"/>
      <c r="C70" s="337"/>
      <c r="D70" s="337"/>
      <c r="E70" s="337"/>
      <c r="F70" s="337"/>
      <c r="G70" s="337"/>
      <c r="H70" s="337"/>
      <c r="I70" s="337"/>
      <c r="J70" s="337"/>
      <c r="K70" s="337"/>
      <c r="L70" s="337"/>
    </row>
    <row r="71" spans="2:12">
      <c r="B71" s="337"/>
      <c r="C71" s="337"/>
      <c r="D71" s="337"/>
      <c r="E71" s="337"/>
      <c r="F71" s="337"/>
      <c r="G71" s="337"/>
      <c r="H71" s="337"/>
      <c r="I71" s="337"/>
      <c r="J71" s="337"/>
      <c r="K71" s="337"/>
      <c r="L71" s="337"/>
    </row>
    <row r="72" spans="2:12">
      <c r="B72" s="337"/>
      <c r="C72" s="337"/>
      <c r="D72" s="337"/>
      <c r="E72" s="337"/>
      <c r="F72" s="337"/>
      <c r="G72" s="337"/>
      <c r="H72" s="337"/>
      <c r="I72" s="337"/>
      <c r="J72" s="337"/>
      <c r="K72" s="337"/>
      <c r="L72" s="337"/>
    </row>
    <row r="73" spans="2:12">
      <c r="B73" s="337"/>
      <c r="C73" s="337"/>
      <c r="D73" s="337"/>
      <c r="E73" s="337"/>
      <c r="F73" s="337"/>
      <c r="G73" s="337"/>
      <c r="H73" s="337"/>
      <c r="I73" s="337"/>
      <c r="J73" s="337"/>
      <c r="K73" s="337"/>
      <c r="L73" s="337"/>
    </row>
    <row r="74" spans="2:12">
      <c r="B74" s="337"/>
      <c r="C74" s="337"/>
      <c r="D74" s="337"/>
      <c r="E74" s="337"/>
      <c r="F74" s="337"/>
      <c r="G74" s="337"/>
      <c r="H74" s="337"/>
      <c r="I74" s="337"/>
      <c r="J74" s="337"/>
      <c r="K74" s="337"/>
      <c r="L74" s="337"/>
    </row>
    <row r="75" spans="2:12">
      <c r="B75" s="337"/>
      <c r="C75" s="337"/>
      <c r="D75" s="337"/>
      <c r="E75" s="337"/>
      <c r="F75" s="337"/>
      <c r="G75" s="337"/>
      <c r="H75" s="337"/>
      <c r="I75" s="337"/>
      <c r="J75" s="337"/>
      <c r="K75" s="337"/>
      <c r="L75" s="337"/>
    </row>
    <row r="76" spans="2:12">
      <c r="B76" s="337"/>
      <c r="C76" s="337"/>
      <c r="D76" s="337"/>
      <c r="E76" s="337"/>
      <c r="F76" s="337"/>
      <c r="G76" s="337"/>
      <c r="H76" s="337"/>
      <c r="I76" s="337"/>
      <c r="J76" s="337"/>
      <c r="K76" s="337"/>
      <c r="L76" s="337"/>
    </row>
    <row r="77" spans="2:12">
      <c r="B77" s="337"/>
      <c r="C77" s="337"/>
      <c r="D77" s="337"/>
      <c r="E77" s="337"/>
      <c r="F77" s="337"/>
      <c r="G77" s="337"/>
      <c r="H77" s="337"/>
      <c r="I77" s="337"/>
      <c r="J77" s="337"/>
      <c r="K77" s="337"/>
      <c r="L77" s="337"/>
    </row>
    <row r="78" spans="2:12">
      <c r="B78" s="337"/>
      <c r="C78" s="337"/>
      <c r="D78" s="337"/>
      <c r="E78" s="337"/>
      <c r="F78" s="337"/>
      <c r="G78" s="337"/>
      <c r="H78" s="337"/>
      <c r="I78" s="337"/>
      <c r="J78" s="337"/>
      <c r="K78" s="337"/>
      <c r="L78" s="337"/>
    </row>
    <row r="79" spans="2:12">
      <c r="B79" s="337"/>
      <c r="C79" s="337"/>
      <c r="D79" s="337"/>
      <c r="E79" s="337"/>
      <c r="F79" s="337"/>
      <c r="G79" s="337"/>
      <c r="H79" s="337"/>
      <c r="I79" s="337"/>
      <c r="J79" s="337"/>
      <c r="K79" s="337"/>
      <c r="L79" s="337"/>
    </row>
    <row r="80" spans="2:12">
      <c r="B80" s="337"/>
      <c r="C80" s="337"/>
      <c r="D80" s="337"/>
      <c r="E80" s="337"/>
      <c r="F80" s="337"/>
      <c r="G80" s="337"/>
      <c r="H80" s="337"/>
      <c r="I80" s="337"/>
      <c r="J80" s="337"/>
      <c r="K80" s="337"/>
      <c r="L80" s="337"/>
    </row>
    <row r="81" spans="1:1" s="337" customFormat="1">
      <c r="A81" s="358"/>
    </row>
    <row r="82" spans="1:1" s="337" customFormat="1">
      <c r="A82" s="358"/>
    </row>
    <row r="83" spans="1:1" s="337" customFormat="1">
      <c r="A83" s="358"/>
    </row>
    <row r="84" spans="1:1" s="337" customFormat="1">
      <c r="A84" s="358"/>
    </row>
    <row r="85" spans="1:1" s="337" customFormat="1">
      <c r="A85" s="358"/>
    </row>
    <row r="86" spans="1:1" s="337" customFormat="1">
      <c r="A86" s="358"/>
    </row>
    <row r="87" spans="1:1" s="337" customFormat="1">
      <c r="A87" s="358"/>
    </row>
    <row r="88" spans="1:1" s="337" customFormat="1">
      <c r="A88" s="358"/>
    </row>
    <row r="89" spans="1:1" s="337" customFormat="1">
      <c r="A89" s="358"/>
    </row>
    <row r="90" spans="1:1" s="337" customFormat="1">
      <c r="A90" s="358"/>
    </row>
    <row r="91" spans="1:1" s="337" customFormat="1">
      <c r="A91" s="358"/>
    </row>
    <row r="92" spans="1:1" s="337" customFormat="1">
      <c r="A92" s="358"/>
    </row>
    <row r="93" spans="1:1" s="337" customFormat="1">
      <c r="A93" s="358"/>
    </row>
    <row r="94" spans="1:1" s="337" customFormat="1">
      <c r="A94" s="358"/>
    </row>
    <row r="95" spans="1:1" s="337" customFormat="1">
      <c r="A95" s="358"/>
    </row>
    <row r="96" spans="1:1" s="337" customFormat="1">
      <c r="A96" s="358"/>
    </row>
    <row r="97" spans="1:1" s="337" customFormat="1">
      <c r="A97" s="358"/>
    </row>
    <row r="98" spans="1:1" s="337" customFormat="1">
      <c r="A98" s="358"/>
    </row>
    <row r="99" spans="1:1" s="337" customFormat="1">
      <c r="A99" s="358"/>
    </row>
    <row r="100" spans="1:1" s="337" customFormat="1">
      <c r="A100" s="358"/>
    </row>
    <row r="101" spans="1:1" s="337" customFormat="1">
      <c r="A101" s="358"/>
    </row>
    <row r="102" spans="1:1" s="337" customFormat="1">
      <c r="A102" s="358"/>
    </row>
    <row r="103" spans="1:1" s="337" customFormat="1">
      <c r="A103" s="358"/>
    </row>
    <row r="104" spans="1:1" s="337" customFormat="1">
      <c r="A104" s="358"/>
    </row>
    <row r="105" spans="1:1" s="337" customFormat="1">
      <c r="A105" s="358"/>
    </row>
    <row r="106" spans="1:1" s="337" customFormat="1">
      <c r="A106" s="358"/>
    </row>
    <row r="107" spans="1:1" s="337" customFormat="1">
      <c r="A107" s="358"/>
    </row>
    <row r="108" spans="1:1" s="337" customFormat="1">
      <c r="A108" s="358"/>
    </row>
    <row r="109" spans="1:1" s="337" customFormat="1">
      <c r="A109" s="358"/>
    </row>
    <row r="110" spans="1:1" s="337" customFormat="1">
      <c r="A110" s="358"/>
    </row>
    <row r="111" spans="1:1" s="337" customFormat="1">
      <c r="A111" s="358"/>
    </row>
    <row r="112" spans="1:1" s="337" customFormat="1">
      <c r="A112" s="358"/>
    </row>
    <row r="113" spans="1:1" s="337" customFormat="1">
      <c r="A113" s="358"/>
    </row>
    <row r="114" spans="1:1" s="337" customFormat="1">
      <c r="A114" s="358"/>
    </row>
    <row r="115" spans="1:1" s="337" customFormat="1">
      <c r="A115" s="358"/>
    </row>
    <row r="116" spans="1:1" s="337" customFormat="1">
      <c r="A116" s="358"/>
    </row>
    <row r="117" spans="1:1" s="337" customFormat="1">
      <c r="A117" s="358"/>
    </row>
    <row r="118" spans="1:1" s="337" customFormat="1">
      <c r="A118" s="358"/>
    </row>
    <row r="119" spans="1:1" s="337" customFormat="1">
      <c r="A119" s="358"/>
    </row>
    <row r="120" spans="1:1" s="337" customFormat="1">
      <c r="A120" s="358"/>
    </row>
    <row r="121" spans="1:1" s="337" customFormat="1">
      <c r="A121" s="358"/>
    </row>
    <row r="122" spans="1:1" s="337" customFormat="1">
      <c r="A122" s="358"/>
    </row>
    <row r="123" spans="1:1" s="337" customFormat="1">
      <c r="A123" s="358"/>
    </row>
    <row r="124" spans="1:1" s="337" customFormat="1">
      <c r="A124" s="358"/>
    </row>
    <row r="125" spans="1:1" s="337" customFormat="1">
      <c r="A125" s="358"/>
    </row>
    <row r="126" spans="1:1" s="337" customFormat="1">
      <c r="A126" s="358"/>
    </row>
    <row r="127" spans="1:1" s="337" customFormat="1">
      <c r="A127" s="358"/>
    </row>
    <row r="128" spans="1:1" s="337" customFormat="1">
      <c r="A128" s="358"/>
    </row>
    <row r="129" spans="1:1" s="337" customFormat="1">
      <c r="A129" s="358"/>
    </row>
    <row r="130" spans="1:1" s="337" customFormat="1">
      <c r="A130" s="358"/>
    </row>
    <row r="131" spans="1:1" s="337" customFormat="1">
      <c r="A131" s="358"/>
    </row>
    <row r="132" spans="1:1" s="337" customFormat="1">
      <c r="A132" s="358"/>
    </row>
    <row r="133" spans="1:1" s="337" customFormat="1">
      <c r="A133" s="358"/>
    </row>
    <row r="134" spans="1:1" s="337" customFormat="1">
      <c r="A134" s="358"/>
    </row>
    <row r="135" spans="1:1" s="337" customFormat="1">
      <c r="A135" s="358"/>
    </row>
    <row r="136" spans="1:1" s="337" customFormat="1">
      <c r="A136" s="358"/>
    </row>
    <row r="137" spans="1:1" s="337" customFormat="1">
      <c r="A137" s="358"/>
    </row>
    <row r="138" spans="1:1" s="337" customFormat="1">
      <c r="A138" s="358"/>
    </row>
    <row r="139" spans="1:1" s="337" customFormat="1">
      <c r="A139" s="358"/>
    </row>
    <row r="140" spans="1:1" s="337" customFormat="1">
      <c r="A140" s="358"/>
    </row>
    <row r="141" spans="1:1" s="337" customFormat="1">
      <c r="A141" s="358"/>
    </row>
    <row r="142" spans="1:1" s="337" customFormat="1">
      <c r="A142" s="358"/>
    </row>
    <row r="143" spans="1:1" s="337" customFormat="1">
      <c r="A143" s="358"/>
    </row>
    <row r="144" spans="1:1" s="337" customFormat="1">
      <c r="A144" s="358"/>
    </row>
    <row r="145" spans="1:1" s="337" customFormat="1">
      <c r="A145" s="358"/>
    </row>
    <row r="146" spans="1:1" s="337" customFormat="1">
      <c r="A146" s="358"/>
    </row>
    <row r="147" spans="1:1" s="337" customFormat="1">
      <c r="A147" s="358"/>
    </row>
    <row r="148" spans="1:1" s="337" customFormat="1">
      <c r="A148" s="358"/>
    </row>
    <row r="149" spans="1:1" s="337" customFormat="1">
      <c r="A149" s="358"/>
    </row>
    <row r="150" spans="1:1" s="337" customFormat="1">
      <c r="A150" s="358"/>
    </row>
    <row r="151" spans="1:1" s="337" customFormat="1">
      <c r="A151" s="358"/>
    </row>
    <row r="152" spans="1:1" s="337" customFormat="1">
      <c r="A152" s="358"/>
    </row>
    <row r="153" spans="1:1" s="337" customFormat="1">
      <c r="A153" s="358"/>
    </row>
    <row r="154" spans="1:1" s="337" customFormat="1">
      <c r="A154" s="358"/>
    </row>
    <row r="155" spans="1:1" s="337" customFormat="1">
      <c r="A155" s="358"/>
    </row>
    <row r="156" spans="1:1" s="337" customFormat="1">
      <c r="A156" s="358"/>
    </row>
    <row r="157" spans="1:1" s="337" customFormat="1">
      <c r="A157" s="358"/>
    </row>
    <row r="158" spans="1:1" s="337" customFormat="1">
      <c r="A158" s="358"/>
    </row>
    <row r="159" spans="1:1" s="337" customFormat="1">
      <c r="A159" s="358"/>
    </row>
    <row r="160" spans="1:1" s="337" customFormat="1">
      <c r="A160" s="358"/>
    </row>
    <row r="161" spans="1:1" s="337" customFormat="1">
      <c r="A161" s="358"/>
    </row>
    <row r="162" spans="1:1" s="337" customFormat="1">
      <c r="A162" s="358"/>
    </row>
    <row r="163" spans="1:1" s="337" customFormat="1">
      <c r="A163" s="358"/>
    </row>
    <row r="164" spans="1:1" s="337" customFormat="1">
      <c r="A164" s="358"/>
    </row>
    <row r="165" spans="1:1" s="337" customFormat="1">
      <c r="A165" s="358"/>
    </row>
    <row r="166" spans="1:1" s="337" customFormat="1">
      <c r="A166" s="358"/>
    </row>
    <row r="167" spans="1:1" s="337" customFormat="1">
      <c r="A167" s="358"/>
    </row>
    <row r="168" spans="1:1" s="337" customFormat="1">
      <c r="A168" s="358"/>
    </row>
    <row r="169" spans="1:1" s="337" customFormat="1">
      <c r="A169" s="358"/>
    </row>
    <row r="170" spans="1:1" s="337" customFormat="1">
      <c r="A170" s="358"/>
    </row>
    <row r="171" spans="1:1" s="337" customFormat="1">
      <c r="A171" s="358"/>
    </row>
    <row r="172" spans="1:1" s="337" customFormat="1">
      <c r="A172" s="358"/>
    </row>
    <row r="173" spans="1:1" s="337" customFormat="1">
      <c r="A173" s="358"/>
    </row>
    <row r="174" spans="1:1" s="337" customFormat="1">
      <c r="A174" s="358"/>
    </row>
    <row r="175" spans="1:1" s="337" customFormat="1">
      <c r="A175" s="358"/>
    </row>
    <row r="176" spans="1:1" s="337" customFormat="1">
      <c r="A176" s="358"/>
    </row>
    <row r="177" spans="1:1" s="337" customFormat="1">
      <c r="A177" s="358"/>
    </row>
    <row r="178" spans="1:1" s="337" customFormat="1">
      <c r="A178" s="358"/>
    </row>
    <row r="179" spans="1:1" s="337" customFormat="1">
      <c r="A179" s="358"/>
    </row>
    <row r="180" spans="1:1" s="337" customFormat="1">
      <c r="A180" s="358"/>
    </row>
    <row r="181" spans="1:1" s="337" customFormat="1">
      <c r="A181" s="358"/>
    </row>
    <row r="182" spans="1:1" s="337" customFormat="1">
      <c r="A182" s="358"/>
    </row>
    <row r="183" spans="1:1" s="337" customFormat="1">
      <c r="A183" s="358"/>
    </row>
    <row r="184" spans="1:1" s="337" customFormat="1">
      <c r="A184" s="358"/>
    </row>
    <row r="185" spans="1:1" s="337" customFormat="1">
      <c r="A185" s="358"/>
    </row>
    <row r="186" spans="1:1" s="337" customFormat="1">
      <c r="A186" s="358"/>
    </row>
    <row r="187" spans="1:1" s="337" customFormat="1">
      <c r="A187" s="358"/>
    </row>
    <row r="188" spans="1:1" s="337" customFormat="1">
      <c r="A188" s="358"/>
    </row>
    <row r="189" spans="1:1" s="337" customFormat="1">
      <c r="A189" s="358"/>
    </row>
    <row r="190" spans="1:1" s="337" customFormat="1">
      <c r="A190" s="358"/>
    </row>
    <row r="191" spans="1:1" s="337" customFormat="1">
      <c r="A191" s="358"/>
    </row>
    <row r="192" spans="1:1" s="337" customFormat="1">
      <c r="A192" s="358"/>
    </row>
    <row r="193" spans="1:1" s="337" customFormat="1">
      <c r="A193" s="358"/>
    </row>
    <row r="194" spans="1:1" s="337" customFormat="1">
      <c r="A194" s="358"/>
    </row>
    <row r="195" spans="1:1" s="337" customFormat="1">
      <c r="A195" s="358"/>
    </row>
    <row r="196" spans="1:1" s="337" customFormat="1">
      <c r="A196" s="358"/>
    </row>
    <row r="197" spans="1:1" s="337" customFormat="1">
      <c r="A197" s="358"/>
    </row>
    <row r="198" spans="1:1" s="337" customFormat="1">
      <c r="A198" s="358"/>
    </row>
    <row r="199" spans="1:1" s="337" customFormat="1">
      <c r="A199" s="358"/>
    </row>
    <row r="200" spans="1:1" s="337" customFormat="1">
      <c r="A200" s="358"/>
    </row>
    <row r="201" spans="1:1" s="337" customFormat="1">
      <c r="A201" s="358"/>
    </row>
    <row r="202" spans="1:1" s="337" customFormat="1">
      <c r="A202" s="358"/>
    </row>
    <row r="203" spans="1:1" s="337" customFormat="1">
      <c r="A203" s="358"/>
    </row>
    <row r="204" spans="1:1" s="337" customFormat="1">
      <c r="A204" s="358"/>
    </row>
    <row r="205" spans="1:1" s="337" customFormat="1">
      <c r="A205" s="358"/>
    </row>
    <row r="206" spans="1:1" s="337" customFormat="1">
      <c r="A206" s="358"/>
    </row>
    <row r="207" spans="1:1" s="337" customFormat="1">
      <c r="A207" s="358"/>
    </row>
    <row r="208" spans="1:1" s="337" customFormat="1">
      <c r="A208" s="358"/>
    </row>
    <row r="209" spans="1:1" s="337" customFormat="1">
      <c r="A209" s="358"/>
    </row>
    <row r="210" spans="1:1" s="337" customFormat="1">
      <c r="A210" s="358"/>
    </row>
    <row r="211" spans="1:1" s="337" customFormat="1">
      <c r="A211" s="358"/>
    </row>
    <row r="212" spans="1:1" s="337" customFormat="1">
      <c r="A212" s="358"/>
    </row>
    <row r="213" spans="1:1" s="337" customFormat="1">
      <c r="A213" s="358"/>
    </row>
    <row r="214" spans="1:1" s="337" customFormat="1">
      <c r="A214" s="358"/>
    </row>
    <row r="215" spans="1:1" s="337" customFormat="1">
      <c r="A215" s="358"/>
    </row>
    <row r="216" spans="1:1" s="337" customFormat="1">
      <c r="A216" s="358"/>
    </row>
    <row r="217" spans="1:1" s="337" customFormat="1">
      <c r="A217" s="358"/>
    </row>
    <row r="218" spans="1:1" s="337" customFormat="1">
      <c r="A218" s="358"/>
    </row>
    <row r="219" spans="1:1" s="337" customFormat="1">
      <c r="A219" s="358"/>
    </row>
    <row r="220" spans="1:1" s="337" customFormat="1">
      <c r="A220" s="358"/>
    </row>
    <row r="221" spans="1:1" s="337" customFormat="1">
      <c r="A221" s="358"/>
    </row>
    <row r="222" spans="1:1" s="337" customFormat="1">
      <c r="A222" s="358"/>
    </row>
    <row r="223" spans="1:1" s="337" customFormat="1">
      <c r="A223" s="358"/>
    </row>
    <row r="224" spans="1:1" s="337" customFormat="1">
      <c r="A224" s="358"/>
    </row>
    <row r="225" spans="1:1" s="337" customFormat="1">
      <c r="A225" s="358"/>
    </row>
    <row r="226" spans="1:1" s="337" customFormat="1">
      <c r="A226" s="358"/>
    </row>
    <row r="227" spans="1:1" s="337" customFormat="1">
      <c r="A227" s="358"/>
    </row>
    <row r="228" spans="1:1" s="337" customFormat="1">
      <c r="A228" s="358"/>
    </row>
    <row r="229" spans="1:1" s="337" customFormat="1">
      <c r="A229" s="358"/>
    </row>
    <row r="230" spans="1:1" s="337" customFormat="1">
      <c r="A230" s="358"/>
    </row>
    <row r="231" spans="1:1" s="337" customFormat="1">
      <c r="A231" s="358"/>
    </row>
    <row r="232" spans="1:1" s="337" customFormat="1">
      <c r="A232" s="358"/>
    </row>
    <row r="233" spans="1:1" s="337" customFormat="1">
      <c r="A233" s="358"/>
    </row>
    <row r="234" spans="1:1" s="337" customFormat="1">
      <c r="A234" s="358"/>
    </row>
    <row r="235" spans="1:1" s="337" customFormat="1">
      <c r="A235" s="358"/>
    </row>
    <row r="236" spans="1:1" s="337" customFormat="1">
      <c r="A236" s="358"/>
    </row>
    <row r="237" spans="1:1" s="337" customFormat="1">
      <c r="A237" s="358"/>
    </row>
    <row r="238" spans="1:1" s="337" customFormat="1">
      <c r="A238" s="358"/>
    </row>
    <row r="239" spans="1:1" s="337" customFormat="1">
      <c r="A239" s="358"/>
    </row>
    <row r="240" spans="1:1" s="337" customFormat="1">
      <c r="A240" s="358"/>
    </row>
    <row r="241" spans="1:1" s="337" customFormat="1">
      <c r="A241" s="358"/>
    </row>
  </sheetData>
  <sheetProtection algorithmName="SHA-512" hashValue="Rj8OiD6dESAmYJXUdCT70QYJxv2kDS7JdoKtMQ1azUAWRwJJo81T3D6E5c8yTC5aWseXgsDI8DKZ/+7EU21D4w==" saltValue="wTQBf9DfuT3BzDzMVX4qtQ==" spinCount="100000" sheet="1" objects="1" scenarios="1"/>
  <protectedRanges>
    <protectedRange sqref="N7" name="Range1"/>
  </protectedRanges>
  <mergeCells count="1">
    <mergeCell ref="B8:L8"/>
  </mergeCells>
  <phoneticPr fontId="49" type="noConversion"/>
  <conditionalFormatting sqref="K65">
    <cfRule type="expression" dxfId="87" priority="1" stopIfTrue="1">
      <formula>$J$65=""</formula>
    </cfRule>
    <cfRule type="expression" dxfId="86" priority="2" stopIfTrue="1">
      <formula>$J$65&lt;&gt;""</formula>
    </cfRule>
  </conditionalFormatting>
  <dataValidations count="2">
    <dataValidation type="list" allowBlank="1" showInputMessage="1" showErrorMessage="1" sqref="G65" xr:uid="{00000000-0002-0000-0200-000000000000}">
      <formula1>"None,Left,Right,Both"</formula1>
    </dataValidation>
    <dataValidation allowBlank="1" showInputMessage="1" showErrorMessage="1" promptTitle="Design Width" prompt="Enter Design Overall Bridge Width" sqref="G13:G14" xr:uid="{00000000-0002-0000-0200-000001000000}"/>
  </dataValidations>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
    <tabColor indexed="16"/>
  </sheetPr>
  <dimension ref="A1:BX219"/>
  <sheetViews>
    <sheetView showGridLines="0" view="pageBreakPreview" zoomScaleNormal="100" zoomScaleSheetLayoutView="100" workbookViewId="0">
      <selection activeCell="AE6" sqref="AE6:AG6"/>
    </sheetView>
  </sheetViews>
  <sheetFormatPr defaultColWidth="8.85546875" defaultRowHeight="12.75"/>
  <cols>
    <col min="1" max="1" width="24.7109375" style="408" customWidth="1"/>
    <col min="2" max="27" width="2.7109375" style="410" customWidth="1"/>
    <col min="28" max="28" width="3" style="410" customWidth="1"/>
    <col min="29" max="29" width="1.140625" style="410" customWidth="1"/>
    <col min="30" max="32" width="2.7109375" style="410" customWidth="1"/>
    <col min="33" max="33" width="5.28515625" style="410" customWidth="1"/>
    <col min="34" max="76" width="8.85546875" style="408" customWidth="1"/>
    <col min="77" max="16384" width="8.85546875" style="410"/>
  </cols>
  <sheetData>
    <row r="1" spans="2:33" ht="26.25">
      <c r="B1" s="409" t="s">
        <v>1318</v>
      </c>
    </row>
    <row r="2" spans="2:33" ht="15.75">
      <c r="C2" s="411" t="s">
        <v>1325</v>
      </c>
    </row>
    <row r="3" spans="2:33" ht="4.5" customHeight="1">
      <c r="C3" s="412"/>
      <c r="D3" s="412"/>
      <c r="E3" s="412"/>
      <c r="F3" s="412"/>
      <c r="G3" s="412"/>
      <c r="H3" s="412"/>
      <c r="I3" s="412"/>
      <c r="J3" s="412"/>
      <c r="K3" s="412"/>
      <c r="L3" s="412"/>
      <c r="M3" s="412"/>
      <c r="N3" s="412"/>
      <c r="O3" s="412"/>
      <c r="P3" s="412"/>
      <c r="Q3" s="412"/>
      <c r="R3" s="412"/>
      <c r="S3" s="412"/>
      <c r="T3" s="412"/>
      <c r="U3" s="412"/>
      <c r="V3" s="412"/>
      <c r="W3" s="412"/>
      <c r="X3" s="412"/>
      <c r="Y3" s="412"/>
      <c r="Z3" s="412"/>
      <c r="AA3" s="412"/>
      <c r="AB3" s="412"/>
      <c r="AC3" s="412"/>
      <c r="AD3" s="412"/>
      <c r="AE3" s="412"/>
      <c r="AF3" s="412"/>
      <c r="AG3" s="412"/>
    </row>
    <row r="4" spans="2:33">
      <c r="B4" s="413" t="s">
        <v>102</v>
      </c>
      <c r="C4" s="414"/>
      <c r="D4" s="414"/>
      <c r="E4" s="1458" t="s">
        <v>1601</v>
      </c>
      <c r="F4" s="1458"/>
      <c r="G4" s="1458"/>
      <c r="H4" s="1458"/>
      <c r="I4" s="1458"/>
      <c r="J4" s="1458"/>
      <c r="K4" s="1458"/>
      <c r="L4" s="1458"/>
      <c r="M4" s="1458"/>
      <c r="N4" s="1458"/>
      <c r="O4" s="1458"/>
      <c r="P4" s="1458"/>
      <c r="Q4" s="1458"/>
      <c r="R4" s="1458"/>
      <c r="S4" s="1458"/>
      <c r="T4" s="1458"/>
      <c r="U4" s="1458"/>
      <c r="V4" s="412"/>
      <c r="W4" s="415" t="s">
        <v>103</v>
      </c>
      <c r="X4" s="416"/>
      <c r="Y4" s="414"/>
      <c r="Z4" s="1459"/>
      <c r="AA4" s="1459"/>
      <c r="AB4" s="1459"/>
      <c r="AC4" s="1459"/>
      <c r="AD4" s="1459"/>
      <c r="AE4" s="1459"/>
      <c r="AF4" s="1459"/>
      <c r="AG4" s="1459"/>
    </row>
    <row r="5" spans="2:33">
      <c r="B5" s="417" t="s">
        <v>104</v>
      </c>
      <c r="C5" s="418"/>
      <c r="D5" s="414"/>
      <c r="E5" s="1457" t="str">
        <f>Geometry!G11</f>
        <v>TEST</v>
      </c>
      <c r="F5" s="1457"/>
      <c r="G5" s="1457"/>
      <c r="H5" s="1457"/>
      <c r="I5" s="1457"/>
      <c r="J5" s="1457"/>
      <c r="K5" s="1457"/>
      <c r="L5" s="1457"/>
      <c r="M5" s="1457"/>
      <c r="N5" s="1457"/>
      <c r="O5" s="1457"/>
      <c r="P5" s="1457"/>
      <c r="Q5" s="1457"/>
      <c r="R5" s="1457"/>
      <c r="S5" s="1457"/>
      <c r="T5" s="1457"/>
      <c r="U5" s="1457"/>
      <c r="V5" s="412"/>
      <c r="W5" s="412"/>
      <c r="X5" s="412"/>
      <c r="Y5" s="412"/>
      <c r="Z5" s="412"/>
      <c r="AA5" s="412"/>
      <c r="AB5" s="412"/>
      <c r="AC5" s="412"/>
      <c r="AD5" s="412"/>
      <c r="AE5" s="412"/>
      <c r="AF5" s="412"/>
      <c r="AG5" s="412"/>
    </row>
    <row r="6" spans="2:33">
      <c r="B6" s="417" t="s">
        <v>105</v>
      </c>
      <c r="C6" s="418"/>
      <c r="D6" s="418"/>
      <c r="E6" s="1462" t="s">
        <v>692</v>
      </c>
      <c r="F6" s="1462"/>
      <c r="G6" s="1462"/>
      <c r="H6" s="1462"/>
      <c r="I6" s="1462"/>
      <c r="J6" s="1462"/>
      <c r="K6" s="1462"/>
      <c r="L6" s="1462"/>
      <c r="M6" s="1462"/>
      <c r="N6" s="1462"/>
      <c r="O6" s="1462"/>
      <c r="P6" s="1462"/>
      <c r="Q6" s="1462"/>
      <c r="R6" s="1462"/>
      <c r="S6" s="1462"/>
      <c r="T6" s="1462"/>
      <c r="U6" s="1462"/>
      <c r="V6" s="412"/>
      <c r="W6" s="415" t="s">
        <v>106</v>
      </c>
      <c r="X6" s="414"/>
      <c r="Y6" s="1460"/>
      <c r="Z6" s="1460"/>
      <c r="AA6" s="1460"/>
      <c r="AB6" s="412"/>
      <c r="AC6" s="415" t="s">
        <v>107</v>
      </c>
      <c r="AD6" s="414"/>
      <c r="AE6" s="1460"/>
      <c r="AF6" s="1460"/>
      <c r="AG6" s="1460"/>
    </row>
    <row r="7" spans="2:33">
      <c r="C7" s="412"/>
      <c r="D7" s="412"/>
      <c r="E7" s="412"/>
      <c r="F7" s="412"/>
      <c r="G7" s="412"/>
      <c r="H7" s="412"/>
      <c r="I7" s="412"/>
      <c r="J7" s="412"/>
      <c r="K7" s="412"/>
      <c r="L7" s="412"/>
      <c r="M7" s="412"/>
      <c r="N7" s="412"/>
      <c r="O7" s="412"/>
      <c r="P7" s="412"/>
      <c r="Q7" s="412"/>
      <c r="R7" s="412"/>
      <c r="S7" s="412"/>
      <c r="T7" s="412"/>
      <c r="U7" s="412"/>
      <c r="V7" s="412"/>
      <c r="W7" s="412"/>
      <c r="X7" s="412"/>
      <c r="Y7" s="412"/>
      <c r="Z7" s="412"/>
      <c r="AA7" s="412"/>
      <c r="AB7" s="412"/>
      <c r="AC7" s="412"/>
      <c r="AD7" s="412"/>
      <c r="AE7" s="412"/>
      <c r="AF7" s="412"/>
      <c r="AG7" s="412"/>
    </row>
    <row r="8" spans="2:33">
      <c r="B8" s="419"/>
      <c r="C8" s="420"/>
      <c r="D8" s="420" t="s">
        <v>108</v>
      </c>
      <c r="E8" s="420"/>
      <c r="F8" s="420"/>
      <c r="G8" s="420"/>
      <c r="H8" s="420"/>
      <c r="I8" s="420"/>
      <c r="J8" s="420"/>
      <c r="K8" s="420"/>
      <c r="L8" s="420"/>
      <c r="M8" s="420"/>
      <c r="N8" s="420"/>
      <c r="O8" s="420"/>
      <c r="P8" s="420"/>
      <c r="Q8" s="420"/>
      <c r="R8" s="421"/>
      <c r="S8" s="420"/>
      <c r="T8" s="420" t="s">
        <v>109</v>
      </c>
      <c r="U8" s="420"/>
      <c r="V8" s="420"/>
      <c r="W8" s="420"/>
      <c r="X8" s="420"/>
      <c r="Y8" s="420"/>
      <c r="Z8" s="420"/>
      <c r="AA8" s="420"/>
      <c r="AB8" s="420"/>
      <c r="AC8" s="420"/>
      <c r="AD8" s="420"/>
      <c r="AE8" s="420"/>
      <c r="AF8" s="420"/>
      <c r="AG8" s="420"/>
    </row>
    <row r="9" spans="2:33">
      <c r="B9" s="422"/>
      <c r="C9" s="420"/>
      <c r="D9" s="420"/>
      <c r="E9" s="420"/>
      <c r="F9" s="420"/>
      <c r="G9" s="420"/>
      <c r="H9" s="420"/>
      <c r="I9" s="420"/>
      <c r="J9" s="420"/>
      <c r="K9" s="420"/>
      <c r="L9" s="420"/>
      <c r="M9" s="420"/>
      <c r="N9" s="420"/>
      <c r="O9" s="420"/>
      <c r="P9" s="420"/>
      <c r="Q9" s="420"/>
      <c r="R9" s="420"/>
      <c r="S9" s="420"/>
      <c r="T9" s="420"/>
      <c r="U9" s="420"/>
      <c r="V9" s="420"/>
      <c r="W9" s="420"/>
      <c r="X9" s="420"/>
      <c r="Y9" s="420"/>
      <c r="Z9" s="420"/>
      <c r="AA9" s="420"/>
      <c r="AB9" s="420"/>
      <c r="AC9" s="420"/>
      <c r="AD9" s="420"/>
      <c r="AE9" s="420"/>
      <c r="AF9" s="420"/>
      <c r="AG9" s="420"/>
    </row>
    <row r="10" spans="2:33">
      <c r="B10" s="422" t="s">
        <v>110</v>
      </c>
      <c r="C10" s="420"/>
      <c r="D10" s="420"/>
      <c r="E10" s="420"/>
      <c r="F10" s="420"/>
      <c r="G10" s="420"/>
      <c r="H10" s="1446"/>
      <c r="I10" s="1446"/>
      <c r="J10" s="1446"/>
      <c r="K10" s="412"/>
      <c r="M10" s="423" t="s">
        <v>111</v>
      </c>
      <c r="N10" s="1461"/>
      <c r="O10" s="1461"/>
      <c r="P10" s="1461"/>
      <c r="Q10" s="412"/>
      <c r="R10" s="420" t="s">
        <v>107</v>
      </c>
      <c r="S10" s="1446"/>
      <c r="T10" s="1446"/>
      <c r="U10" s="1446"/>
      <c r="V10" s="1446"/>
      <c r="W10" s="1446"/>
      <c r="X10" s="1446"/>
      <c r="Y10" s="420"/>
      <c r="Z10" s="420"/>
      <c r="AA10" s="420"/>
      <c r="AB10" s="420"/>
      <c r="AC10" s="420"/>
      <c r="AD10" s="420"/>
      <c r="AE10" s="420"/>
      <c r="AF10" s="420"/>
      <c r="AG10" s="420"/>
    </row>
    <row r="11" spans="2:33">
      <c r="B11" s="422"/>
      <c r="C11" s="420"/>
      <c r="D11" s="420"/>
      <c r="E11" s="420"/>
      <c r="F11" s="420"/>
      <c r="G11" s="420"/>
      <c r="H11" s="420"/>
      <c r="I11" s="420"/>
      <c r="J11" s="420"/>
      <c r="K11" s="420"/>
      <c r="L11" s="420"/>
      <c r="M11" s="420"/>
      <c r="N11" s="420"/>
      <c r="O11" s="420"/>
      <c r="P11" s="420"/>
      <c r="Q11" s="420"/>
      <c r="R11" s="420"/>
      <c r="S11" s="420"/>
      <c r="T11" s="420"/>
      <c r="U11" s="420"/>
      <c r="V11" s="420"/>
      <c r="W11" s="420"/>
      <c r="X11" s="420"/>
      <c r="Y11" s="420"/>
      <c r="Z11" s="420"/>
      <c r="AA11" s="420"/>
      <c r="AB11" s="420"/>
      <c r="AC11" s="420"/>
      <c r="AD11" s="420"/>
      <c r="AE11" s="420"/>
      <c r="AF11" s="420"/>
      <c r="AG11" s="420"/>
    </row>
    <row r="12" spans="2:33">
      <c r="B12" s="424" t="s">
        <v>112</v>
      </c>
      <c r="C12" s="425"/>
      <c r="D12" s="425"/>
      <c r="E12" s="425"/>
      <c r="F12" s="1446" t="s">
        <v>1062</v>
      </c>
      <c r="G12" s="1446"/>
      <c r="H12" s="1446"/>
      <c r="I12" s="1446"/>
      <c r="J12" s="1446"/>
      <c r="K12" s="1446"/>
      <c r="L12" s="1446"/>
      <c r="M12" s="1446"/>
      <c r="N12" s="1446"/>
      <c r="O12" s="1446"/>
      <c r="P12" s="1446"/>
      <c r="Q12" s="1446"/>
      <c r="R12" s="1446"/>
      <c r="S12" s="1446"/>
      <c r="T12" s="1446"/>
      <c r="U12" s="1446"/>
      <c r="V12" s="1446"/>
      <c r="W12" s="1446"/>
      <c r="X12" s="1446"/>
      <c r="Y12" s="1446"/>
      <c r="Z12" s="1446"/>
      <c r="AA12" s="1446"/>
      <c r="AB12" s="1446"/>
      <c r="AC12" s="1446"/>
      <c r="AD12" s="1446"/>
      <c r="AE12" s="1446"/>
      <c r="AF12" s="1446"/>
      <c r="AG12" s="1446"/>
    </row>
    <row r="13" spans="2:33">
      <c r="B13" s="1449" t="s">
        <v>1082</v>
      </c>
      <c r="C13" s="1449"/>
      <c r="D13" s="1449"/>
      <c r="E13" s="1449"/>
      <c r="F13" s="1449"/>
      <c r="G13" s="1449"/>
      <c r="H13" s="1449"/>
      <c r="I13" s="1449"/>
      <c r="J13" s="1449"/>
      <c r="K13" s="1449"/>
      <c r="L13" s="1449"/>
      <c r="M13" s="1449"/>
      <c r="N13" s="1449"/>
      <c r="O13" s="1449"/>
      <c r="P13" s="1449"/>
      <c r="Q13" s="1449"/>
      <c r="R13" s="1449"/>
      <c r="S13" s="1449"/>
      <c r="T13" s="1449"/>
      <c r="U13" s="1449"/>
      <c r="V13" s="1449"/>
      <c r="W13" s="1449"/>
      <c r="X13" s="1449"/>
      <c r="Y13" s="1449"/>
      <c r="Z13" s="1449"/>
      <c r="AA13" s="1449"/>
      <c r="AB13" s="1449"/>
      <c r="AC13" s="1449"/>
      <c r="AD13" s="1449"/>
      <c r="AE13" s="1449"/>
      <c r="AF13" s="1449"/>
      <c r="AG13" s="1449"/>
    </row>
    <row r="14" spans="2:33">
      <c r="B14" s="1463" t="s">
        <v>1083</v>
      </c>
      <c r="C14" s="1463"/>
      <c r="D14" s="1463"/>
      <c r="E14" s="1463"/>
      <c r="F14" s="1463"/>
      <c r="G14" s="1463"/>
      <c r="H14" s="1463"/>
      <c r="I14" s="1463"/>
      <c r="J14" s="1463"/>
      <c r="K14" s="1463"/>
      <c r="L14" s="1463"/>
      <c r="M14" s="1463"/>
      <c r="N14" s="1463"/>
      <c r="O14" s="1463"/>
      <c r="P14" s="1463"/>
      <c r="Q14" s="1463"/>
      <c r="R14" s="1463"/>
      <c r="S14" s="1463"/>
      <c r="T14" s="1463"/>
      <c r="U14" s="1463"/>
      <c r="V14" s="1463"/>
      <c r="W14" s="1463"/>
      <c r="X14" s="1463"/>
      <c r="Y14" s="1463"/>
      <c r="Z14" s="1463"/>
      <c r="AA14" s="1463"/>
      <c r="AB14" s="1463"/>
      <c r="AC14" s="1463"/>
      <c r="AD14" s="1463"/>
      <c r="AE14" s="1463"/>
      <c r="AF14" s="1463"/>
      <c r="AG14" s="1463"/>
    </row>
    <row r="15" spans="2:33">
      <c r="B15" s="1463"/>
      <c r="C15" s="1463"/>
      <c r="D15" s="1463"/>
      <c r="E15" s="1463"/>
      <c r="F15" s="1463"/>
      <c r="G15" s="1463"/>
      <c r="H15" s="1463"/>
      <c r="I15" s="1463"/>
      <c r="J15" s="1463"/>
      <c r="K15" s="1463"/>
      <c r="L15" s="1463"/>
      <c r="M15" s="1463"/>
      <c r="N15" s="1463"/>
      <c r="O15" s="1463"/>
      <c r="P15" s="1463"/>
      <c r="Q15" s="1463"/>
      <c r="R15" s="1463"/>
      <c r="S15" s="1463"/>
      <c r="T15" s="1463"/>
      <c r="U15" s="1463"/>
      <c r="V15" s="1463"/>
      <c r="W15" s="1463"/>
      <c r="X15" s="1463"/>
      <c r="Y15" s="1463"/>
      <c r="Z15" s="1463"/>
      <c r="AA15" s="1463"/>
      <c r="AB15" s="1463"/>
      <c r="AC15" s="1463"/>
      <c r="AD15" s="1463"/>
      <c r="AE15" s="1463"/>
      <c r="AF15" s="1463"/>
      <c r="AG15" s="1463"/>
    </row>
    <row r="16" spans="2:33">
      <c r="B16" s="422"/>
      <c r="C16" s="420"/>
      <c r="D16" s="420"/>
      <c r="E16" s="420"/>
      <c r="F16" s="420"/>
      <c r="G16" s="420"/>
      <c r="H16" s="420"/>
      <c r="I16" s="420"/>
      <c r="J16" s="420"/>
      <c r="K16" s="420"/>
      <c r="L16" s="420"/>
      <c r="M16" s="420"/>
      <c r="N16" s="420"/>
      <c r="O16" s="420"/>
      <c r="P16" s="420"/>
      <c r="Q16" s="420"/>
      <c r="R16" s="420"/>
      <c r="S16" s="420"/>
      <c r="T16" s="420"/>
      <c r="U16" s="420"/>
      <c r="V16" s="420"/>
      <c r="W16" s="420"/>
      <c r="X16" s="420"/>
      <c r="Y16" s="420"/>
      <c r="Z16" s="420"/>
      <c r="AA16" s="420"/>
      <c r="AB16" s="420"/>
      <c r="AC16" s="420"/>
      <c r="AD16" s="420"/>
      <c r="AE16" s="420"/>
      <c r="AF16" s="420"/>
      <c r="AG16" s="420"/>
    </row>
    <row r="17" spans="2:33">
      <c r="B17" s="424" t="s">
        <v>113</v>
      </c>
      <c r="C17" s="420"/>
      <c r="D17" s="420"/>
      <c r="E17" s="420"/>
      <c r="F17" s="420"/>
      <c r="G17" s="420"/>
      <c r="H17" s="420"/>
      <c r="I17" s="420"/>
      <c r="J17" s="420"/>
      <c r="K17" s="420"/>
      <c r="L17" s="420"/>
      <c r="M17" s="420"/>
      <c r="N17" s="420"/>
      <c r="O17" s="420"/>
      <c r="P17" s="420"/>
      <c r="Q17" s="420"/>
      <c r="R17" s="420"/>
      <c r="S17" s="420"/>
      <c r="T17" s="420"/>
      <c r="U17" s="420"/>
      <c r="V17" s="420"/>
      <c r="W17" s="420"/>
      <c r="X17" s="420"/>
      <c r="Y17" s="420"/>
      <c r="Z17" s="420"/>
      <c r="AA17" s="420"/>
      <c r="AB17" s="420"/>
      <c r="AC17" s="420"/>
      <c r="AD17" s="420"/>
      <c r="AE17" s="420"/>
      <c r="AF17" s="420"/>
      <c r="AG17" s="420"/>
    </row>
    <row r="18" spans="2:33">
      <c r="C18" s="421"/>
      <c r="D18" s="420" t="s">
        <v>114</v>
      </c>
      <c r="E18" s="420"/>
      <c r="F18" s="420"/>
      <c r="G18" s="420"/>
      <c r="H18" s="420"/>
      <c r="I18" s="420"/>
      <c r="J18" s="420"/>
      <c r="K18" s="421"/>
      <c r="L18" s="420" t="s">
        <v>115</v>
      </c>
      <c r="M18" s="420"/>
      <c r="N18" s="420"/>
      <c r="O18" s="420"/>
      <c r="P18" s="420"/>
      <c r="Q18" s="412"/>
      <c r="R18" s="421" t="s">
        <v>396</v>
      </c>
      <c r="S18" s="420" t="s">
        <v>116</v>
      </c>
      <c r="T18" s="420"/>
      <c r="U18" s="420"/>
      <c r="V18" s="420"/>
      <c r="W18" s="420"/>
      <c r="X18" s="420"/>
      <c r="Y18" s="420"/>
      <c r="Z18" s="420"/>
      <c r="AA18" s="412"/>
      <c r="AB18" s="426"/>
      <c r="AC18" s="420" t="s">
        <v>117</v>
      </c>
      <c r="AD18" s="420"/>
      <c r="AE18" s="420"/>
      <c r="AF18" s="420"/>
      <c r="AG18" s="420"/>
    </row>
    <row r="19" spans="2:33">
      <c r="C19" s="412"/>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row>
    <row r="20" spans="2:33">
      <c r="C20" s="426"/>
      <c r="D20" s="420" t="s">
        <v>118</v>
      </c>
      <c r="E20" s="412"/>
      <c r="F20" s="412"/>
      <c r="G20" s="412"/>
      <c r="H20" s="412"/>
      <c r="I20" s="412"/>
      <c r="J20" s="412"/>
      <c r="K20" s="412"/>
      <c r="L20" s="412"/>
      <c r="M20" s="412"/>
      <c r="N20" s="427"/>
      <c r="O20" s="1446"/>
      <c r="P20" s="1446"/>
      <c r="Q20" s="1446"/>
      <c r="R20" s="1446"/>
      <c r="S20" s="1446"/>
      <c r="T20" s="1446"/>
      <c r="U20" s="1446"/>
      <c r="V20" s="1446"/>
      <c r="W20" s="1446"/>
      <c r="X20" s="1446"/>
      <c r="Y20" s="1446"/>
      <c r="Z20" s="1446"/>
      <c r="AA20" s="1446"/>
      <c r="AB20" s="1446"/>
      <c r="AC20" s="1446"/>
      <c r="AD20" s="1446"/>
      <c r="AE20" s="1446"/>
      <c r="AF20" s="1446"/>
      <c r="AG20" s="1446"/>
    </row>
    <row r="21" spans="2:33">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row>
    <row r="22" spans="2:33">
      <c r="B22" s="424" t="s">
        <v>119</v>
      </c>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row>
    <row r="23" spans="2:33">
      <c r="C23" s="420" t="s">
        <v>120</v>
      </c>
      <c r="D23" s="412"/>
      <c r="E23" s="412"/>
      <c r="F23" s="412"/>
      <c r="G23" s="412"/>
      <c r="H23" s="412"/>
      <c r="I23" s="412"/>
      <c r="J23" s="412"/>
      <c r="K23" s="412"/>
      <c r="L23" s="412"/>
      <c r="M23" s="412"/>
      <c r="N23" s="412"/>
      <c r="O23" s="412"/>
      <c r="P23" s="412"/>
      <c r="Q23" s="412"/>
      <c r="R23" s="412"/>
      <c r="S23" s="420" t="s">
        <v>121</v>
      </c>
      <c r="T23" s="412"/>
      <c r="U23" s="412"/>
      <c r="V23" s="412"/>
      <c r="W23" s="412"/>
      <c r="X23" s="412"/>
      <c r="Y23" s="412"/>
      <c r="Z23" s="412"/>
      <c r="AA23" s="412"/>
      <c r="AB23" s="412"/>
      <c r="AC23" s="412"/>
      <c r="AD23" s="412"/>
      <c r="AE23" s="412"/>
      <c r="AF23" s="412"/>
      <c r="AG23" s="412"/>
    </row>
    <row r="24" spans="2:33">
      <c r="C24" s="412"/>
      <c r="E24" s="412"/>
      <c r="F24" s="412"/>
      <c r="G24" s="412"/>
      <c r="H24" s="423" t="s">
        <v>122</v>
      </c>
      <c r="I24" s="1446" t="s">
        <v>1550</v>
      </c>
      <c r="J24" s="1446"/>
      <c r="K24" s="1446"/>
      <c r="L24" s="1446"/>
      <c r="M24" s="1446"/>
      <c r="N24" s="1446"/>
      <c r="O24" s="1446"/>
      <c r="P24" s="428"/>
      <c r="Q24" s="428"/>
      <c r="R24" s="412"/>
      <c r="S24" s="412"/>
      <c r="U24" s="412"/>
      <c r="V24" s="412"/>
      <c r="W24" s="412"/>
      <c r="X24" s="423" t="s">
        <v>123</v>
      </c>
      <c r="Y24" s="1446"/>
      <c r="Z24" s="1446"/>
      <c r="AA24" s="1446"/>
      <c r="AB24" s="1446"/>
      <c r="AC24" s="1446"/>
      <c r="AD24" s="1446"/>
      <c r="AE24" s="1446"/>
      <c r="AF24" s="428"/>
      <c r="AG24" s="428"/>
    </row>
    <row r="25" spans="2:33">
      <c r="C25" s="412"/>
      <c r="E25" s="412"/>
      <c r="F25" s="412"/>
      <c r="G25" s="412"/>
      <c r="H25" s="423" t="s">
        <v>124</v>
      </c>
      <c r="I25" s="1454">
        <v>2020</v>
      </c>
      <c r="J25" s="1454"/>
      <c r="K25" s="1454"/>
      <c r="L25" s="1454"/>
      <c r="M25" s="1454"/>
      <c r="N25" s="1454"/>
      <c r="O25" s="1454"/>
      <c r="P25" s="428"/>
      <c r="Q25" s="428"/>
      <c r="R25" s="412"/>
      <c r="S25" s="412"/>
      <c r="U25" s="412"/>
      <c r="V25" s="412"/>
      <c r="W25" s="412"/>
      <c r="X25" s="423" t="s">
        <v>125</v>
      </c>
      <c r="Y25" s="1454"/>
      <c r="Z25" s="1454"/>
      <c r="AA25" s="1454"/>
      <c r="AB25" s="1454"/>
      <c r="AC25" s="1454"/>
      <c r="AD25" s="1454"/>
      <c r="AE25" s="1454"/>
      <c r="AF25" s="428"/>
      <c r="AG25" s="428"/>
    </row>
    <row r="26" spans="2:33">
      <c r="C26" s="412"/>
      <c r="E26" s="420"/>
      <c r="F26" s="420"/>
      <c r="G26" s="420"/>
      <c r="H26" s="423" t="s">
        <v>126</v>
      </c>
      <c r="I26" s="1446" t="s">
        <v>1551</v>
      </c>
      <c r="J26" s="1446"/>
      <c r="K26" s="1446"/>
      <c r="L26" s="1446"/>
      <c r="M26" s="1446"/>
      <c r="N26" s="1446"/>
      <c r="O26" s="1446"/>
      <c r="P26" s="1446"/>
      <c r="Q26" s="1446"/>
      <c r="R26" s="429"/>
      <c r="S26" s="412"/>
      <c r="U26" s="420"/>
      <c r="V26" s="420"/>
      <c r="W26" s="420"/>
      <c r="X26" s="423" t="s">
        <v>126</v>
      </c>
      <c r="Y26" s="1446"/>
      <c r="Z26" s="1446"/>
      <c r="AA26" s="1446"/>
      <c r="AB26" s="1446"/>
      <c r="AC26" s="1446"/>
      <c r="AD26" s="1446"/>
      <c r="AE26" s="1446"/>
      <c r="AF26" s="1446"/>
      <c r="AG26" s="1446"/>
    </row>
    <row r="27" spans="2:33">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row>
    <row r="28" spans="2:33">
      <c r="C28" s="420" t="s">
        <v>127</v>
      </c>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row>
    <row r="29" spans="2:33">
      <c r="C29" s="412"/>
      <c r="E29" s="420"/>
      <c r="F29" s="412"/>
      <c r="G29" s="412"/>
      <c r="H29" s="423" t="s">
        <v>128</v>
      </c>
      <c r="I29" s="1446" t="s">
        <v>1464</v>
      </c>
      <c r="J29" s="1446"/>
      <c r="K29" s="1446"/>
      <c r="L29" s="1446"/>
      <c r="M29" s="1446"/>
      <c r="N29" s="1446"/>
      <c r="O29" s="1446"/>
      <c r="P29" s="1446"/>
      <c r="Q29" s="1446"/>
      <c r="R29" s="1446"/>
      <c r="S29" s="1446"/>
      <c r="T29" s="1446"/>
      <c r="U29" s="1446"/>
      <c r="V29" s="1446"/>
      <c r="W29" s="1446"/>
      <c r="X29" s="1446"/>
      <c r="Y29" s="1446"/>
      <c r="Z29" s="1446"/>
      <c r="AA29" s="1446"/>
      <c r="AB29" s="1446"/>
      <c r="AC29" s="1446"/>
      <c r="AD29" s="1446"/>
      <c r="AE29" s="1446"/>
      <c r="AF29" s="1446"/>
      <c r="AG29" s="1446"/>
    </row>
    <row r="30" spans="2:33">
      <c r="C30" s="412"/>
      <c r="E30" s="412"/>
      <c r="F30" s="412"/>
      <c r="G30" s="412"/>
      <c r="H30" s="423" t="s">
        <v>129</v>
      </c>
      <c r="I30" s="1455" t="s">
        <v>1552</v>
      </c>
      <c r="J30" s="1455"/>
      <c r="K30" s="1455"/>
      <c r="L30" s="1455"/>
      <c r="M30" s="1455"/>
      <c r="N30" s="1455"/>
      <c r="O30" s="1455"/>
      <c r="P30" s="430"/>
      <c r="Q30" s="430"/>
      <c r="R30" s="430"/>
      <c r="S30" s="430"/>
      <c r="T30" s="430"/>
      <c r="U30" s="430"/>
      <c r="V30" s="430"/>
      <c r="W30" s="430"/>
      <c r="X30" s="430"/>
      <c r="Y30" s="430"/>
      <c r="Z30" s="430"/>
      <c r="AA30" s="430"/>
      <c r="AB30" s="430"/>
      <c r="AC30" s="430"/>
      <c r="AD30" s="430"/>
      <c r="AE30" s="430"/>
      <c r="AF30" s="430"/>
      <c r="AG30" s="430"/>
    </row>
    <row r="31" spans="2:33">
      <c r="C31" s="412"/>
      <c r="E31" s="412"/>
      <c r="F31" s="412"/>
      <c r="G31" s="412"/>
      <c r="H31" s="423" t="s">
        <v>126</v>
      </c>
      <c r="I31" s="1456" t="s">
        <v>1553</v>
      </c>
      <c r="J31" s="1456"/>
      <c r="K31" s="1456"/>
      <c r="L31" s="1456"/>
      <c r="M31" s="1456"/>
      <c r="N31" s="1456"/>
      <c r="O31" s="1456"/>
      <c r="P31" s="1456"/>
      <c r="Q31" s="1456"/>
      <c r="R31" s="1456"/>
      <c r="S31" s="1456"/>
      <c r="T31" s="1456"/>
      <c r="U31" s="1456"/>
      <c r="V31" s="1456"/>
      <c r="W31" s="1456"/>
      <c r="X31" s="1456"/>
      <c r="Y31" s="1456"/>
      <c r="Z31" s="1456"/>
      <c r="AA31" s="1456"/>
      <c r="AB31" s="1456"/>
      <c r="AC31" s="1456"/>
      <c r="AD31" s="1456"/>
      <c r="AE31" s="1456"/>
      <c r="AF31" s="1456"/>
      <c r="AG31" s="1456"/>
    </row>
    <row r="32" spans="2:33">
      <c r="C32" s="412"/>
      <c r="D32" s="412"/>
      <c r="E32" s="412"/>
      <c r="F32" s="412"/>
      <c r="G32" s="412"/>
      <c r="H32" s="412"/>
      <c r="I32" s="412"/>
      <c r="J32" s="412"/>
      <c r="K32" s="412"/>
      <c r="L32" s="412"/>
      <c r="M32" s="412"/>
      <c r="N32" s="412"/>
      <c r="O32" s="412"/>
      <c r="P32" s="412"/>
      <c r="Q32" s="412"/>
      <c r="R32" s="412"/>
      <c r="S32" s="412"/>
      <c r="T32" s="412"/>
      <c r="U32" s="412"/>
      <c r="V32" s="412"/>
      <c r="W32" s="412"/>
      <c r="X32" s="412"/>
      <c r="Y32" s="412"/>
      <c r="Z32" s="412"/>
      <c r="AA32" s="412"/>
      <c r="AB32" s="412"/>
      <c r="AC32" s="412"/>
      <c r="AD32" s="412"/>
      <c r="AE32" s="412"/>
      <c r="AF32" s="412"/>
      <c r="AG32" s="412"/>
    </row>
    <row r="33" spans="2:33">
      <c r="B33" s="424" t="s">
        <v>130</v>
      </c>
      <c r="C33" s="412"/>
      <c r="D33" s="412"/>
      <c r="E33" s="412"/>
      <c r="F33" s="412"/>
      <c r="G33" s="412"/>
      <c r="H33" s="412"/>
      <c r="I33" s="412"/>
      <c r="J33" s="412"/>
      <c r="K33" s="412"/>
      <c r="L33" s="412"/>
      <c r="M33" s="412"/>
      <c r="N33" s="412"/>
      <c r="O33" s="412"/>
      <c r="P33" s="412"/>
      <c r="Q33" s="412"/>
      <c r="R33" s="412"/>
      <c r="S33" s="412"/>
      <c r="T33" s="412"/>
      <c r="U33" s="412"/>
      <c r="V33" s="412"/>
      <c r="W33" s="412"/>
      <c r="X33" s="412"/>
      <c r="Y33" s="412"/>
      <c r="Z33" s="412"/>
      <c r="AA33" s="412"/>
      <c r="AB33" s="412"/>
      <c r="AC33" s="412"/>
      <c r="AD33" s="412"/>
      <c r="AE33" s="412"/>
      <c r="AF33" s="412"/>
      <c r="AG33" s="412"/>
    </row>
    <row r="34" spans="2:33">
      <c r="C34" s="412"/>
      <c r="D34" s="420" t="s">
        <v>131</v>
      </c>
      <c r="E34" s="412"/>
      <c r="F34" s="1450" t="s">
        <v>429</v>
      </c>
      <c r="G34" s="1450"/>
      <c r="H34" s="1450"/>
      <c r="I34" s="1450"/>
      <c r="J34" s="1450"/>
      <c r="K34" s="1450"/>
      <c r="L34" s="1450"/>
      <c r="M34" s="1450"/>
      <c r="N34" s="1450"/>
      <c r="O34" s="1450"/>
      <c r="P34" s="1450"/>
      <c r="Q34" s="1450"/>
      <c r="R34" s="412"/>
      <c r="S34" s="420" t="s">
        <v>132</v>
      </c>
      <c r="T34" s="412"/>
      <c r="U34" s="1453" t="s">
        <v>429</v>
      </c>
      <c r="V34" s="1453"/>
      <c r="W34" s="1453"/>
      <c r="X34" s="1453"/>
      <c r="Y34" s="1453"/>
      <c r="Z34" s="412"/>
      <c r="AA34" s="420" t="s">
        <v>133</v>
      </c>
      <c r="AB34" s="412"/>
      <c r="AC34" s="1452">
        <v>44792</v>
      </c>
      <c r="AD34" s="1452"/>
      <c r="AE34" s="1452"/>
      <c r="AF34" s="1452"/>
      <c r="AG34" s="1452"/>
    </row>
    <row r="35" spans="2:33">
      <c r="C35" s="412"/>
      <c r="D35" s="412"/>
      <c r="E35" s="412"/>
      <c r="F35" s="412"/>
      <c r="G35" s="412"/>
      <c r="H35" s="412"/>
      <c r="I35" s="412"/>
      <c r="J35" s="412"/>
      <c r="K35" s="412"/>
      <c r="L35" s="412"/>
      <c r="M35" s="412"/>
      <c r="N35" s="412"/>
      <c r="O35" s="412"/>
      <c r="P35" s="412"/>
      <c r="Q35" s="412"/>
      <c r="R35" s="412"/>
      <c r="S35" s="412"/>
      <c r="T35" s="412"/>
      <c r="U35" s="412"/>
      <c r="V35" s="412"/>
      <c r="W35" s="412"/>
      <c r="X35" s="412"/>
      <c r="Y35" s="412"/>
      <c r="Z35" s="412"/>
      <c r="AA35" s="412"/>
      <c r="AB35" s="412"/>
      <c r="AC35" s="412"/>
      <c r="AD35" s="412"/>
      <c r="AE35" s="412"/>
      <c r="AF35" s="412"/>
      <c r="AG35" s="412"/>
    </row>
    <row r="36" spans="2:33">
      <c r="B36" s="424" t="s">
        <v>154</v>
      </c>
      <c r="C36" s="412"/>
      <c r="D36" s="412"/>
      <c r="E36" s="412"/>
      <c r="F36" s="412"/>
      <c r="G36" s="412"/>
      <c r="H36" s="412"/>
      <c r="I36" s="412"/>
      <c r="J36" s="412"/>
      <c r="K36" s="412"/>
      <c r="L36" s="412"/>
      <c r="M36" s="412"/>
      <c r="N36" s="412"/>
      <c r="O36" s="412"/>
      <c r="P36" s="412"/>
      <c r="Q36" s="412"/>
      <c r="R36" s="412"/>
      <c r="S36" s="412"/>
      <c r="T36" s="412"/>
      <c r="U36" s="412"/>
      <c r="V36" s="412"/>
      <c r="W36" s="412"/>
      <c r="X36" s="412"/>
      <c r="Y36" s="412"/>
      <c r="Z36" s="412"/>
      <c r="AA36" s="412"/>
      <c r="AB36" s="412"/>
      <c r="AC36" s="412"/>
      <c r="AD36" s="412"/>
      <c r="AE36" s="412"/>
      <c r="AF36" s="412"/>
      <c r="AG36" s="412"/>
    </row>
    <row r="37" spans="2:33">
      <c r="C37" s="412"/>
      <c r="D37" s="420" t="s">
        <v>131</v>
      </c>
      <c r="E37" s="412"/>
      <c r="F37" s="1450" t="s">
        <v>429</v>
      </c>
      <c r="G37" s="1450"/>
      <c r="H37" s="1450"/>
      <c r="I37" s="1450"/>
      <c r="J37" s="1450"/>
      <c r="K37" s="1450"/>
      <c r="L37" s="1450"/>
      <c r="M37" s="1450"/>
      <c r="N37" s="1450"/>
      <c r="O37" s="1450"/>
      <c r="P37" s="1450"/>
      <c r="Q37" s="1450"/>
      <c r="R37" s="412"/>
      <c r="S37" s="420" t="s">
        <v>132</v>
      </c>
      <c r="T37" s="412"/>
      <c r="U37" s="1453" t="s">
        <v>429</v>
      </c>
      <c r="V37" s="1453"/>
      <c r="W37" s="1453"/>
      <c r="X37" s="1453"/>
      <c r="Y37" s="1453"/>
      <c r="Z37" s="412"/>
      <c r="AA37" s="420" t="s">
        <v>133</v>
      </c>
      <c r="AB37" s="412"/>
      <c r="AC37" s="1452"/>
      <c r="AD37" s="1452"/>
      <c r="AE37" s="1452"/>
      <c r="AF37" s="1452"/>
      <c r="AG37" s="1452"/>
    </row>
    <row r="38" spans="2:33">
      <c r="C38" s="412"/>
      <c r="D38" s="412"/>
      <c r="E38" s="412"/>
      <c r="F38" s="412"/>
      <c r="G38" s="412"/>
      <c r="H38" s="412"/>
      <c r="I38" s="412"/>
      <c r="J38" s="412"/>
      <c r="K38" s="412"/>
      <c r="L38" s="412"/>
      <c r="M38" s="412"/>
      <c r="N38" s="412"/>
      <c r="O38" s="412"/>
      <c r="P38" s="412"/>
      <c r="Q38" s="412"/>
      <c r="R38" s="412"/>
      <c r="S38" s="412"/>
      <c r="T38" s="412"/>
      <c r="U38" s="412"/>
      <c r="V38" s="412"/>
      <c r="W38" s="412"/>
      <c r="X38" s="412"/>
      <c r="Y38" s="412"/>
      <c r="Z38" s="412"/>
      <c r="AA38" s="412"/>
      <c r="AB38" s="412"/>
      <c r="AC38" s="412"/>
      <c r="AD38" s="412"/>
      <c r="AE38" s="412"/>
      <c r="AF38" s="412"/>
      <c r="AG38" s="412"/>
    </row>
    <row r="39" spans="2:33">
      <c r="B39" s="424" t="s">
        <v>134</v>
      </c>
      <c r="C39" s="412"/>
      <c r="D39" s="412"/>
      <c r="E39" s="412"/>
      <c r="F39" s="412"/>
      <c r="G39" s="412"/>
      <c r="H39" s="412"/>
      <c r="I39" s="412"/>
      <c r="J39" s="412"/>
      <c r="K39" s="412"/>
      <c r="L39" s="412"/>
      <c r="M39" s="412"/>
      <c r="N39" s="412"/>
      <c r="O39" s="412"/>
      <c r="P39" s="412"/>
      <c r="Q39" s="412"/>
      <c r="R39" s="412"/>
      <c r="S39" s="412"/>
      <c r="T39" s="412"/>
      <c r="U39" s="412"/>
      <c r="V39" s="412"/>
      <c r="W39" s="412"/>
      <c r="X39" s="412"/>
      <c r="Y39" s="412"/>
      <c r="Z39" s="412"/>
      <c r="AA39" s="412"/>
      <c r="AB39" s="412"/>
      <c r="AC39" s="412"/>
      <c r="AD39" s="412"/>
      <c r="AE39" s="412"/>
      <c r="AF39" s="412"/>
      <c r="AG39" s="412"/>
    </row>
    <row r="40" spans="2:33">
      <c r="C40" s="412"/>
      <c r="D40" s="420" t="s">
        <v>135</v>
      </c>
      <c r="E40" s="412"/>
      <c r="F40" s="412"/>
      <c r="G40" s="412"/>
      <c r="H40" s="412"/>
      <c r="I40" s="412"/>
      <c r="J40" s="412"/>
      <c r="K40" s="412"/>
      <c r="L40" s="412"/>
      <c r="M40" s="412"/>
      <c r="N40" s="426"/>
      <c r="O40" s="420" t="s">
        <v>136</v>
      </c>
      <c r="P40" s="412"/>
      <c r="Q40" s="412"/>
      <c r="R40" s="412"/>
      <c r="S40" s="412"/>
      <c r="T40" s="412"/>
      <c r="U40" s="412"/>
      <c r="V40" s="412"/>
      <c r="W40" s="412"/>
      <c r="X40" s="426"/>
      <c r="Y40" s="420" t="s">
        <v>137</v>
      </c>
      <c r="Z40" s="412"/>
      <c r="AA40" s="412"/>
      <c r="AB40" s="412"/>
      <c r="AC40" s="412"/>
      <c r="AD40" s="412"/>
      <c r="AE40" s="412"/>
      <c r="AF40" s="412"/>
      <c r="AG40" s="412"/>
    </row>
    <row r="41" spans="2:33">
      <c r="C41" s="412"/>
      <c r="D41" s="420" t="s">
        <v>138</v>
      </c>
      <c r="E41" s="412"/>
      <c r="F41" s="412"/>
      <c r="G41" s="412"/>
      <c r="H41" s="412"/>
      <c r="I41" s="412"/>
      <c r="J41" s="412"/>
      <c r="K41" s="412"/>
      <c r="L41" s="426"/>
      <c r="M41" s="431" t="s">
        <v>139</v>
      </c>
      <c r="N41" s="412"/>
      <c r="O41" s="412"/>
      <c r="P41" s="412"/>
      <c r="Q41" s="412"/>
      <c r="R41" s="412"/>
      <c r="S41" s="412"/>
      <c r="T41" s="426"/>
      <c r="U41" s="420" t="s">
        <v>140</v>
      </c>
      <c r="V41" s="420"/>
      <c r="W41" s="420"/>
      <c r="X41" s="420"/>
      <c r="Y41" s="420"/>
      <c r="Z41" s="420"/>
      <c r="AA41" s="426"/>
      <c r="AB41" s="420" t="s">
        <v>141</v>
      </c>
      <c r="AC41" s="412"/>
      <c r="AD41" s="412"/>
      <c r="AE41" s="412"/>
      <c r="AF41" s="412"/>
      <c r="AG41" s="412"/>
    </row>
    <row r="42" spans="2:33">
      <c r="C42" s="412"/>
      <c r="D42" s="412"/>
      <c r="E42" s="412"/>
      <c r="F42" s="412"/>
      <c r="G42" s="412"/>
      <c r="H42" s="412"/>
      <c r="I42" s="412"/>
      <c r="J42" s="412"/>
      <c r="K42" s="412"/>
      <c r="L42" s="412"/>
      <c r="M42" s="412"/>
      <c r="N42" s="412"/>
      <c r="O42" s="412"/>
      <c r="P42" s="412"/>
      <c r="Q42" s="412"/>
      <c r="R42" s="412"/>
      <c r="S42" s="412"/>
      <c r="T42" s="412"/>
      <c r="U42" s="412"/>
      <c r="V42" s="412"/>
      <c r="W42" s="412"/>
      <c r="X42" s="412"/>
      <c r="Y42" s="412"/>
      <c r="Z42" s="412"/>
      <c r="AA42" s="412"/>
      <c r="AB42" s="412"/>
      <c r="AC42" s="412"/>
      <c r="AD42" s="412"/>
      <c r="AE42" s="412"/>
      <c r="AF42" s="412"/>
      <c r="AG42" s="412"/>
    </row>
    <row r="43" spans="2:33">
      <c r="B43" s="422" t="s">
        <v>142</v>
      </c>
      <c r="C43" s="412"/>
      <c r="D43" s="412"/>
      <c r="E43" s="412"/>
      <c r="F43" s="412"/>
      <c r="G43" s="412"/>
      <c r="H43" s="412"/>
      <c r="I43" s="412"/>
      <c r="J43" s="412"/>
      <c r="K43" s="412"/>
      <c r="L43" s="412"/>
      <c r="M43" s="412"/>
      <c r="N43" s="412"/>
      <c r="O43" s="412"/>
      <c r="P43" s="412"/>
      <c r="Q43" s="412"/>
      <c r="R43" s="426"/>
      <c r="S43" s="420" t="s">
        <v>143</v>
      </c>
      <c r="T43" s="412"/>
      <c r="U43" s="412"/>
      <c r="V43" s="412"/>
      <c r="W43" s="412"/>
      <c r="X43" s="412"/>
      <c r="Y43" s="426"/>
      <c r="Z43" s="420" t="s">
        <v>144</v>
      </c>
      <c r="AA43" s="412"/>
      <c r="AB43" s="412"/>
      <c r="AC43" s="412"/>
      <c r="AD43" s="412"/>
      <c r="AE43" s="412"/>
      <c r="AF43" s="412"/>
      <c r="AG43" s="412"/>
    </row>
    <row r="44" spans="2:33">
      <c r="C44" s="412"/>
      <c r="D44" s="412"/>
      <c r="E44" s="412"/>
      <c r="F44" s="412"/>
      <c r="G44" s="412"/>
      <c r="H44" s="412"/>
      <c r="I44" s="412"/>
      <c r="J44" s="412"/>
      <c r="K44" s="412"/>
      <c r="L44" s="412"/>
      <c r="M44" s="412"/>
      <c r="N44" s="412"/>
      <c r="O44" s="412"/>
      <c r="P44" s="412"/>
      <c r="Q44" s="412"/>
      <c r="R44" s="412"/>
      <c r="S44" s="412"/>
      <c r="T44" s="412"/>
      <c r="U44" s="412"/>
      <c r="V44" s="412"/>
      <c r="W44" s="412"/>
      <c r="X44" s="412"/>
      <c r="Y44" s="412"/>
      <c r="Z44" s="412"/>
      <c r="AA44" s="412"/>
      <c r="AB44" s="412"/>
      <c r="AC44" s="412"/>
      <c r="AD44" s="412"/>
      <c r="AE44" s="412"/>
      <c r="AF44" s="412"/>
      <c r="AG44" s="412"/>
    </row>
    <row r="45" spans="2:33">
      <c r="B45" s="422" t="s">
        <v>145</v>
      </c>
      <c r="C45" s="412"/>
      <c r="D45" s="412"/>
      <c r="E45" s="412"/>
      <c r="F45" s="412"/>
      <c r="G45" s="412"/>
      <c r="H45" s="412"/>
      <c r="I45" s="412"/>
      <c r="J45" s="412"/>
      <c r="K45" s="412"/>
      <c r="L45" s="412"/>
      <c r="M45" s="412"/>
      <c r="N45" s="412"/>
      <c r="O45" s="412"/>
      <c r="P45" s="412"/>
      <c r="Q45" s="412"/>
      <c r="R45" s="412"/>
      <c r="S45" s="412"/>
      <c r="T45" s="412"/>
      <c r="U45" s="412"/>
      <c r="V45" s="412"/>
      <c r="W45" s="412"/>
      <c r="X45" s="412"/>
      <c r="Y45" s="412"/>
      <c r="Z45" s="412"/>
      <c r="AA45" s="412"/>
      <c r="AB45" s="412"/>
      <c r="AC45" s="412"/>
      <c r="AD45" s="412"/>
      <c r="AE45" s="412"/>
      <c r="AF45" s="412"/>
      <c r="AG45" s="412"/>
    </row>
    <row r="46" spans="2:33">
      <c r="C46" s="420" t="s">
        <v>146</v>
      </c>
      <c r="D46" s="412"/>
      <c r="E46" s="1446"/>
      <c r="F46" s="1446"/>
      <c r="G46" s="1446"/>
      <c r="I46" s="412"/>
      <c r="J46" s="423" t="s">
        <v>111</v>
      </c>
      <c r="K46" s="1446"/>
      <c r="L46" s="1446"/>
      <c r="M46" s="1446"/>
      <c r="N46" s="420" t="s">
        <v>107</v>
      </c>
      <c r="O46" s="1446"/>
      <c r="P46" s="1446"/>
      <c r="Q46" s="1446"/>
      <c r="R46" s="412"/>
      <c r="S46" s="420" t="s">
        <v>147</v>
      </c>
      <c r="T46" s="420"/>
      <c r="U46" s="420"/>
      <c r="V46" s="1451"/>
      <c r="W46" s="1451"/>
      <c r="X46" s="1451"/>
      <c r="Y46" s="1451"/>
      <c r="Z46" s="420"/>
      <c r="AA46" s="420" t="s">
        <v>148</v>
      </c>
      <c r="AB46" s="1446"/>
      <c r="AC46" s="1446"/>
      <c r="AD46" s="1446"/>
      <c r="AE46" s="1446"/>
      <c r="AF46" s="1446"/>
      <c r="AG46" s="1446"/>
    </row>
    <row r="48" spans="2:33">
      <c r="B48" s="424" t="s">
        <v>149</v>
      </c>
    </row>
    <row r="49" spans="2:33">
      <c r="C49" s="432"/>
      <c r="D49" s="422" t="s">
        <v>150</v>
      </c>
      <c r="I49" s="432"/>
      <c r="J49" s="422" t="s">
        <v>151</v>
      </c>
    </row>
    <row r="51" spans="2:33">
      <c r="C51" s="433"/>
      <c r="D51" s="422" t="s">
        <v>152</v>
      </c>
      <c r="M51" s="434"/>
      <c r="N51" s="1449"/>
      <c r="O51" s="1449"/>
      <c r="P51" s="1449"/>
      <c r="Q51" s="1449"/>
      <c r="R51" s="1449"/>
      <c r="S51" s="1449"/>
      <c r="T51" s="1449"/>
      <c r="U51" s="1449"/>
      <c r="V51" s="1449"/>
      <c r="W51" s="1449"/>
      <c r="X51" s="1449"/>
      <c r="Z51" s="422" t="s">
        <v>107</v>
      </c>
      <c r="AA51" s="1449"/>
      <c r="AB51" s="1449"/>
      <c r="AC51" s="1449"/>
      <c r="AD51" s="1449"/>
      <c r="AE51" s="1449"/>
      <c r="AF51" s="1449"/>
      <c r="AG51" s="1449"/>
    </row>
    <row r="53" spans="2:33">
      <c r="C53" s="435"/>
      <c r="D53" s="436" t="s">
        <v>153</v>
      </c>
      <c r="E53" s="437"/>
      <c r="F53" s="437"/>
      <c r="G53" s="437"/>
      <c r="H53" s="437"/>
      <c r="I53" s="437"/>
      <c r="J53" s="437"/>
      <c r="K53" s="437"/>
      <c r="L53" s="1447"/>
      <c r="M53" s="1447"/>
      <c r="N53" s="1447"/>
      <c r="O53" s="1447"/>
      <c r="P53" s="1447"/>
      <c r="Q53" s="1447"/>
      <c r="R53" s="1447"/>
      <c r="S53" s="1447"/>
      <c r="T53" s="1447"/>
      <c r="U53" s="1447"/>
      <c r="V53" s="1447"/>
      <c r="W53" s="1447"/>
      <c r="X53" s="1447"/>
      <c r="Y53" s="1447"/>
      <c r="Z53" s="1447"/>
      <c r="AA53" s="1447"/>
      <c r="AB53" s="1447"/>
      <c r="AC53" s="1447"/>
      <c r="AD53" s="1447"/>
      <c r="AE53" s="1447"/>
      <c r="AF53" s="1447"/>
      <c r="AG53" s="1447"/>
    </row>
    <row r="54" spans="2:33">
      <c r="C54" s="1447"/>
      <c r="D54" s="1447"/>
      <c r="E54" s="1447"/>
      <c r="F54" s="1447"/>
      <c r="G54" s="1447"/>
      <c r="H54" s="1447"/>
      <c r="I54" s="1447"/>
      <c r="J54" s="1447"/>
      <c r="K54" s="1447"/>
      <c r="L54" s="1447"/>
      <c r="M54" s="1447"/>
      <c r="N54" s="1447"/>
      <c r="O54" s="1447"/>
      <c r="P54" s="1447"/>
      <c r="Q54" s="1447"/>
      <c r="R54" s="1447"/>
      <c r="S54" s="1447"/>
      <c r="T54" s="1447"/>
      <c r="U54" s="1447"/>
      <c r="V54" s="1447"/>
      <c r="W54" s="1447"/>
      <c r="X54" s="1447"/>
      <c r="Y54" s="1447"/>
      <c r="Z54" s="1447"/>
      <c r="AA54" s="1447"/>
      <c r="AB54" s="1447"/>
      <c r="AC54" s="1447"/>
      <c r="AD54" s="1447"/>
      <c r="AE54" s="1447"/>
      <c r="AF54" s="1447"/>
      <c r="AG54" s="1447"/>
    </row>
    <row r="55" spans="2:33">
      <c r="C55" s="1448"/>
      <c r="D55" s="1448"/>
      <c r="E55" s="1448"/>
      <c r="F55" s="1448"/>
      <c r="G55" s="1448"/>
      <c r="H55" s="1448"/>
      <c r="I55" s="1448"/>
      <c r="J55" s="1448"/>
      <c r="K55" s="1448"/>
      <c r="L55" s="1448"/>
      <c r="M55" s="1448"/>
      <c r="N55" s="1448"/>
      <c r="O55" s="1448"/>
      <c r="P55" s="1448"/>
      <c r="Q55" s="1448"/>
      <c r="R55" s="1448"/>
      <c r="S55" s="1448"/>
      <c r="T55" s="1448"/>
      <c r="U55" s="1448"/>
      <c r="V55" s="1448"/>
      <c r="W55" s="1448"/>
      <c r="X55" s="1448"/>
      <c r="Y55" s="1448"/>
      <c r="Z55" s="1448"/>
      <c r="AA55" s="1448"/>
      <c r="AB55" s="1448"/>
      <c r="AC55" s="1448"/>
      <c r="AD55" s="1448"/>
      <c r="AE55" s="1448"/>
      <c r="AF55" s="1448"/>
      <c r="AG55" s="1448"/>
    </row>
    <row r="56" spans="2:33">
      <c r="C56" s="1445"/>
      <c r="D56" s="1445"/>
      <c r="E56" s="1445"/>
      <c r="F56" s="1445"/>
      <c r="G56" s="1445"/>
      <c r="H56" s="1445"/>
      <c r="I56" s="1445"/>
      <c r="J56" s="1445"/>
      <c r="K56" s="1445"/>
      <c r="L56" s="1445"/>
      <c r="M56" s="1445"/>
      <c r="N56" s="1445"/>
      <c r="O56" s="1445"/>
      <c r="P56" s="1445"/>
      <c r="Q56" s="1445"/>
      <c r="R56" s="1445"/>
      <c r="S56" s="1445"/>
      <c r="T56" s="1445"/>
      <c r="U56" s="1445"/>
      <c r="V56" s="1445"/>
      <c r="W56" s="1445"/>
      <c r="X56" s="1445"/>
      <c r="Y56" s="1445"/>
      <c r="Z56" s="1445"/>
      <c r="AA56" s="1445"/>
      <c r="AB56" s="1445"/>
      <c r="AC56" s="1445"/>
      <c r="AD56" s="1445"/>
      <c r="AE56" s="1445"/>
      <c r="AF56" s="1445"/>
      <c r="AG56" s="1445"/>
    </row>
    <row r="57" spans="2:33">
      <c r="B57" s="438"/>
      <c r="C57" s="438"/>
      <c r="D57" s="438"/>
      <c r="E57" s="438"/>
      <c r="F57" s="438"/>
      <c r="G57" s="438"/>
      <c r="H57" s="438"/>
      <c r="I57" s="438"/>
      <c r="J57" s="438"/>
      <c r="K57" s="438"/>
      <c r="L57" s="438"/>
      <c r="M57" s="438"/>
      <c r="N57" s="438"/>
      <c r="O57" s="438"/>
      <c r="P57" s="438"/>
      <c r="Q57" s="408"/>
      <c r="R57" s="408"/>
      <c r="S57" s="408"/>
      <c r="T57" s="408"/>
      <c r="U57" s="408"/>
      <c r="V57" s="408"/>
      <c r="W57" s="408"/>
      <c r="X57" s="408"/>
      <c r="Y57" s="408"/>
      <c r="Z57" s="408"/>
      <c r="AA57" s="408"/>
      <c r="AB57" s="408"/>
      <c r="AC57" s="408"/>
      <c r="AD57" s="408"/>
      <c r="AE57" s="408"/>
      <c r="AF57" s="408"/>
      <c r="AG57" s="408"/>
    </row>
    <row r="58" spans="2:33">
      <c r="B58" s="438"/>
      <c r="C58" s="438"/>
      <c r="D58" s="438"/>
      <c r="E58" s="438"/>
      <c r="F58" s="438"/>
      <c r="G58" s="438"/>
      <c r="H58" s="438"/>
      <c r="I58" s="438"/>
      <c r="J58" s="438"/>
      <c r="K58" s="438"/>
      <c r="L58" s="438"/>
      <c r="M58" s="438"/>
      <c r="N58" s="438"/>
      <c r="O58" s="438"/>
      <c r="P58" s="438"/>
      <c r="Q58" s="408"/>
      <c r="R58" s="408"/>
      <c r="S58" s="408"/>
      <c r="T58" s="408"/>
      <c r="U58" s="408"/>
      <c r="V58" s="408"/>
      <c r="W58" s="408"/>
      <c r="X58" s="408"/>
      <c r="Y58" s="408"/>
      <c r="Z58" s="408"/>
      <c r="AA58" s="408"/>
      <c r="AB58" s="408"/>
      <c r="AC58" s="408"/>
      <c r="AD58" s="408"/>
      <c r="AE58" s="408"/>
      <c r="AF58" s="408"/>
      <c r="AG58" s="408"/>
    </row>
    <row r="59" spans="2:33">
      <c r="B59" s="438"/>
      <c r="C59" s="438"/>
      <c r="D59" s="438"/>
      <c r="E59" s="438"/>
      <c r="F59" s="438"/>
      <c r="G59" s="438"/>
      <c r="H59" s="438"/>
      <c r="I59" s="438"/>
      <c r="J59" s="438"/>
      <c r="K59" s="438"/>
      <c r="L59" s="438"/>
      <c r="M59" s="438"/>
      <c r="N59" s="438"/>
      <c r="O59" s="438"/>
      <c r="P59" s="438"/>
      <c r="Q59" s="408"/>
      <c r="R59" s="408"/>
      <c r="S59" s="408"/>
      <c r="T59" s="408"/>
      <c r="U59" s="408"/>
      <c r="V59" s="408"/>
      <c r="W59" s="408"/>
      <c r="X59" s="408"/>
      <c r="Y59" s="408"/>
      <c r="Z59" s="408"/>
      <c r="AA59" s="408"/>
      <c r="AB59" s="408"/>
      <c r="AC59" s="408"/>
      <c r="AD59" s="408"/>
      <c r="AE59" s="408"/>
      <c r="AF59" s="408"/>
      <c r="AG59" s="408"/>
    </row>
    <row r="60" spans="2:33">
      <c r="B60" s="438"/>
      <c r="C60" s="438"/>
      <c r="D60" s="438"/>
      <c r="E60" s="438"/>
      <c r="F60" s="438"/>
      <c r="G60" s="438"/>
      <c r="H60" s="438"/>
      <c r="I60" s="438"/>
      <c r="J60" s="438"/>
      <c r="K60" s="438"/>
      <c r="L60" s="438"/>
      <c r="M60" s="438"/>
      <c r="N60" s="438"/>
      <c r="O60" s="438"/>
      <c r="P60" s="438"/>
      <c r="Q60" s="408"/>
      <c r="R60" s="408"/>
      <c r="S60" s="408"/>
      <c r="T60" s="408"/>
      <c r="U60" s="408"/>
      <c r="V60" s="408"/>
      <c r="W60" s="408"/>
      <c r="X60" s="408"/>
      <c r="Y60" s="408"/>
      <c r="Z60" s="408"/>
      <c r="AA60" s="408"/>
      <c r="AB60" s="408"/>
      <c r="AC60" s="408"/>
      <c r="AD60" s="408"/>
      <c r="AE60" s="408"/>
      <c r="AF60" s="408"/>
      <c r="AG60" s="408"/>
    </row>
    <row r="61" spans="2:33">
      <c r="B61" s="438"/>
      <c r="C61" s="438"/>
      <c r="D61" s="438"/>
      <c r="E61" s="438"/>
      <c r="F61" s="438"/>
      <c r="G61" s="438"/>
      <c r="H61" s="438"/>
      <c r="I61" s="438"/>
      <c r="J61" s="438"/>
      <c r="K61" s="438"/>
      <c r="L61" s="438"/>
      <c r="M61" s="438"/>
      <c r="N61" s="438"/>
      <c r="O61" s="438"/>
      <c r="P61" s="438"/>
      <c r="Q61" s="408"/>
      <c r="R61" s="408"/>
      <c r="S61" s="408"/>
      <c r="T61" s="408"/>
      <c r="U61" s="408"/>
      <c r="V61" s="408"/>
      <c r="W61" s="408"/>
      <c r="X61" s="408"/>
      <c r="Y61" s="408"/>
      <c r="Z61" s="408"/>
      <c r="AA61" s="408"/>
      <c r="AB61" s="408"/>
      <c r="AC61" s="408"/>
      <c r="AD61" s="408"/>
      <c r="AE61" s="408"/>
      <c r="AF61" s="408"/>
      <c r="AG61" s="408"/>
    </row>
    <row r="62" spans="2:33">
      <c r="B62" s="438"/>
      <c r="C62" s="438"/>
      <c r="D62" s="438"/>
      <c r="E62" s="438"/>
      <c r="F62" s="438"/>
      <c r="G62" s="438"/>
      <c r="H62" s="438"/>
      <c r="I62" s="438"/>
      <c r="J62" s="438"/>
      <c r="K62" s="438"/>
      <c r="L62" s="438"/>
      <c r="M62" s="438"/>
      <c r="N62" s="438"/>
      <c r="O62" s="438"/>
      <c r="P62" s="438"/>
      <c r="Q62" s="408"/>
      <c r="R62" s="408"/>
      <c r="S62" s="408"/>
      <c r="T62" s="408"/>
      <c r="U62" s="408"/>
      <c r="V62" s="408"/>
      <c r="W62" s="408"/>
      <c r="X62" s="408"/>
      <c r="Y62" s="408"/>
      <c r="Z62" s="408"/>
      <c r="AA62" s="408"/>
      <c r="AB62" s="408"/>
      <c r="AC62" s="408"/>
      <c r="AD62" s="408"/>
      <c r="AE62" s="408"/>
      <c r="AF62" s="408"/>
      <c r="AG62" s="408"/>
    </row>
    <row r="63" spans="2:33">
      <c r="B63" s="438"/>
      <c r="C63" s="438"/>
      <c r="D63" s="438"/>
      <c r="E63" s="438"/>
      <c r="F63" s="438"/>
      <c r="G63" s="438"/>
      <c r="H63" s="438"/>
      <c r="I63" s="438"/>
      <c r="J63" s="438"/>
      <c r="K63" s="438"/>
      <c r="L63" s="438"/>
      <c r="M63" s="438"/>
      <c r="N63" s="438"/>
      <c r="O63" s="438"/>
      <c r="P63" s="438"/>
      <c r="Q63" s="408"/>
      <c r="R63" s="408"/>
      <c r="S63" s="408"/>
      <c r="T63" s="408"/>
      <c r="U63" s="408"/>
      <c r="V63" s="408"/>
      <c r="W63" s="408"/>
      <c r="X63" s="408"/>
      <c r="Y63" s="408"/>
      <c r="Z63" s="408"/>
      <c r="AA63" s="408"/>
      <c r="AB63" s="408"/>
      <c r="AC63" s="408"/>
      <c r="AD63" s="408"/>
      <c r="AE63" s="408"/>
      <c r="AF63" s="408"/>
      <c r="AG63" s="408"/>
    </row>
    <row r="64" spans="2:33">
      <c r="B64" s="438"/>
      <c r="C64" s="438"/>
      <c r="D64" s="438"/>
      <c r="E64" s="438"/>
      <c r="F64" s="438"/>
      <c r="G64" s="438"/>
      <c r="H64" s="438"/>
      <c r="I64" s="438"/>
      <c r="J64" s="438"/>
      <c r="K64" s="438"/>
      <c r="L64" s="438"/>
      <c r="M64" s="438"/>
      <c r="N64" s="438"/>
      <c r="O64" s="438"/>
      <c r="P64" s="438"/>
      <c r="Q64" s="408"/>
      <c r="R64" s="408"/>
      <c r="S64" s="408"/>
      <c r="T64" s="408"/>
      <c r="U64" s="408"/>
      <c r="V64" s="408"/>
      <c r="W64" s="408"/>
      <c r="X64" s="408"/>
      <c r="Y64" s="408"/>
      <c r="Z64" s="408"/>
      <c r="AA64" s="408"/>
      <c r="AB64" s="408"/>
      <c r="AC64" s="408"/>
      <c r="AD64" s="408"/>
      <c r="AE64" s="408"/>
      <c r="AF64" s="408"/>
      <c r="AG64" s="408"/>
    </row>
    <row r="65" s="408" customFormat="1"/>
    <row r="66" s="408" customFormat="1"/>
    <row r="67" s="408" customFormat="1"/>
    <row r="68" s="408" customFormat="1"/>
    <row r="69" s="408" customFormat="1"/>
    <row r="70" s="408" customFormat="1"/>
    <row r="71" s="408" customFormat="1"/>
    <row r="72" s="408" customFormat="1"/>
    <row r="73" s="408" customFormat="1"/>
    <row r="74" s="408" customFormat="1"/>
    <row r="75" s="408" customFormat="1"/>
    <row r="76" s="408" customFormat="1"/>
    <row r="77" s="408" customFormat="1"/>
    <row r="78" s="408" customFormat="1"/>
    <row r="79" s="408" customFormat="1"/>
    <row r="80" s="408" customFormat="1"/>
    <row r="81" s="408" customFormat="1"/>
    <row r="82" s="408" customFormat="1"/>
    <row r="83" s="408" customFormat="1"/>
    <row r="84" s="408" customFormat="1"/>
    <row r="85" s="408" customFormat="1"/>
    <row r="86" s="408" customFormat="1"/>
    <row r="87" s="408" customFormat="1"/>
    <row r="88" s="408" customFormat="1"/>
    <row r="89" s="408" customFormat="1"/>
    <row r="90" s="408" customFormat="1"/>
    <row r="91" s="408" customFormat="1"/>
    <row r="92" s="408" customFormat="1"/>
    <row r="93" s="408" customFormat="1"/>
    <row r="94" s="408" customFormat="1"/>
    <row r="95" s="408" customFormat="1"/>
    <row r="96" s="408" customFormat="1"/>
    <row r="97" s="408" customFormat="1"/>
    <row r="98" s="408" customFormat="1"/>
    <row r="99" s="408" customFormat="1"/>
    <row r="100" s="408" customFormat="1"/>
    <row r="101" s="408" customFormat="1"/>
    <row r="102" s="408" customFormat="1"/>
    <row r="103" s="408" customFormat="1"/>
    <row r="104" s="408" customFormat="1"/>
    <row r="105" s="408" customFormat="1"/>
    <row r="106" s="408" customFormat="1"/>
    <row r="107" s="408" customFormat="1"/>
    <row r="108" s="408" customFormat="1"/>
    <row r="109" s="408" customFormat="1"/>
    <row r="110" s="408" customFormat="1"/>
    <row r="111" s="408" customFormat="1"/>
    <row r="112" s="408" customFormat="1"/>
    <row r="113" s="408" customFormat="1"/>
    <row r="114" s="408" customFormat="1"/>
    <row r="115" s="408" customFormat="1"/>
    <row r="116" s="408" customFormat="1"/>
    <row r="117" s="408" customFormat="1"/>
    <row r="118" s="408" customFormat="1"/>
    <row r="119" s="408" customFormat="1"/>
    <row r="120" s="408" customFormat="1"/>
    <row r="121" s="408" customFormat="1"/>
    <row r="122" s="408" customFormat="1"/>
    <row r="123" s="408" customFormat="1"/>
    <row r="124" s="408" customFormat="1"/>
    <row r="125" s="408" customFormat="1"/>
    <row r="126" s="408" customFormat="1"/>
    <row r="127" s="408" customFormat="1"/>
    <row r="128" s="408" customFormat="1"/>
    <row r="129" s="408" customFormat="1"/>
    <row r="130" s="408" customFormat="1"/>
    <row r="131" s="408" customFormat="1"/>
    <row r="132" s="408" customFormat="1"/>
    <row r="133" s="408" customFormat="1"/>
    <row r="134" s="408" customFormat="1"/>
    <row r="135" s="408" customFormat="1"/>
    <row r="136" s="408" customFormat="1"/>
    <row r="137" s="408" customFormat="1"/>
    <row r="138" s="408" customFormat="1"/>
    <row r="139" s="408" customFormat="1"/>
    <row r="140" s="408" customFormat="1"/>
    <row r="141" s="408" customFormat="1"/>
    <row r="142" s="408" customFormat="1"/>
    <row r="143" s="408" customFormat="1"/>
    <row r="144" s="408" customFormat="1"/>
    <row r="145" s="408" customFormat="1"/>
    <row r="146" s="408" customFormat="1"/>
    <row r="147" s="408" customFormat="1"/>
    <row r="148" s="408" customFormat="1"/>
    <row r="149" s="408" customFormat="1"/>
    <row r="150" s="408" customFormat="1"/>
    <row r="151" s="408" customFormat="1"/>
    <row r="152" s="408" customFormat="1"/>
    <row r="153" s="408" customFormat="1"/>
    <row r="154" s="408" customFormat="1"/>
    <row r="155" s="408" customFormat="1"/>
    <row r="156" s="408" customFormat="1"/>
    <row r="157" s="408" customFormat="1"/>
    <row r="158" s="408" customFormat="1"/>
    <row r="159" s="408" customFormat="1"/>
    <row r="160" s="408" customFormat="1"/>
    <row r="161" s="408" customFormat="1"/>
    <row r="162" s="408" customFormat="1"/>
    <row r="163" s="408" customFormat="1"/>
    <row r="164" s="408" customFormat="1"/>
    <row r="165" s="408" customFormat="1"/>
    <row r="166" s="408" customFormat="1"/>
    <row r="167" s="408" customFormat="1"/>
    <row r="168" s="408" customFormat="1"/>
    <row r="169" s="408" customFormat="1"/>
    <row r="170" s="408" customFormat="1"/>
    <row r="171" s="408" customFormat="1"/>
    <row r="172" s="408" customFormat="1"/>
    <row r="173" s="408" customFormat="1"/>
    <row r="174" s="408" customFormat="1"/>
    <row r="175" s="408" customFormat="1"/>
    <row r="176" s="408" customFormat="1"/>
    <row r="177" s="408" customFormat="1"/>
    <row r="178" s="408" customFormat="1"/>
    <row r="179" s="408" customFormat="1"/>
    <row r="180" s="408" customFormat="1"/>
    <row r="181" s="408" customFormat="1"/>
    <row r="182" s="408" customFormat="1"/>
    <row r="183" s="408" customFormat="1"/>
    <row r="184" s="408" customFormat="1"/>
    <row r="185" s="408" customFormat="1"/>
    <row r="186" s="408" customFormat="1"/>
    <row r="187" s="408" customFormat="1"/>
    <row r="188" s="408" customFormat="1"/>
    <row r="189" s="408" customFormat="1"/>
    <row r="190" s="408" customFormat="1"/>
    <row r="191" s="408" customFormat="1"/>
    <row r="192" s="408" customFormat="1"/>
    <row r="193" s="408" customFormat="1"/>
    <row r="194" s="408" customFormat="1"/>
    <row r="195" s="408" customFormat="1"/>
    <row r="196" s="408" customFormat="1"/>
    <row r="197" s="408" customFormat="1"/>
    <row r="198" s="408" customFormat="1"/>
    <row r="199" s="408" customFormat="1"/>
    <row r="200" s="408" customFormat="1"/>
    <row r="201" s="408" customFormat="1"/>
    <row r="202" s="408" customFormat="1"/>
    <row r="203" s="408" customFormat="1"/>
    <row r="204" s="408" customFormat="1"/>
    <row r="205" s="408" customFormat="1"/>
    <row r="206" s="408" customFormat="1"/>
    <row r="207" s="408" customFormat="1"/>
    <row r="208" s="408" customFormat="1"/>
    <row r="209" s="408" customFormat="1"/>
    <row r="210" s="408" customFormat="1"/>
    <row r="211" s="408" customFormat="1"/>
    <row r="212" s="408" customFormat="1"/>
    <row r="213" s="408" customFormat="1"/>
    <row r="214" s="408" customFormat="1"/>
    <row r="215" s="408" customFormat="1"/>
    <row r="216" s="408" customFormat="1"/>
    <row r="217" s="408" customFormat="1"/>
    <row r="218" s="408" customFormat="1"/>
    <row r="219" s="408" customFormat="1"/>
  </sheetData>
  <mergeCells count="40">
    <mergeCell ref="E5:U5"/>
    <mergeCell ref="E4:U4"/>
    <mergeCell ref="Z4:AG4"/>
    <mergeCell ref="Y25:AE25"/>
    <mergeCell ref="Y26:AG26"/>
    <mergeCell ref="AE6:AG6"/>
    <mergeCell ref="H10:J10"/>
    <mergeCell ref="S10:X10"/>
    <mergeCell ref="N10:P10"/>
    <mergeCell ref="E6:U6"/>
    <mergeCell ref="Y6:AA6"/>
    <mergeCell ref="Y24:AE24"/>
    <mergeCell ref="F12:AG12"/>
    <mergeCell ref="B13:AG13"/>
    <mergeCell ref="B14:AG14"/>
    <mergeCell ref="B15:AG15"/>
    <mergeCell ref="F34:Q34"/>
    <mergeCell ref="O20:AG20"/>
    <mergeCell ref="U34:Y34"/>
    <mergeCell ref="I29:AG29"/>
    <mergeCell ref="AC34:AG34"/>
    <mergeCell ref="I24:O24"/>
    <mergeCell ref="I25:O25"/>
    <mergeCell ref="I26:Q26"/>
    <mergeCell ref="I30:O30"/>
    <mergeCell ref="I31:AG31"/>
    <mergeCell ref="F37:Q37"/>
    <mergeCell ref="E46:G46"/>
    <mergeCell ref="V46:Y46"/>
    <mergeCell ref="AB46:AG46"/>
    <mergeCell ref="AC37:AG37"/>
    <mergeCell ref="U37:Y37"/>
    <mergeCell ref="O46:Q46"/>
    <mergeCell ref="C56:AG56"/>
    <mergeCell ref="K46:M46"/>
    <mergeCell ref="L53:AG53"/>
    <mergeCell ref="C54:AG54"/>
    <mergeCell ref="C55:AG55"/>
    <mergeCell ref="AA51:AG51"/>
    <mergeCell ref="N51:X51"/>
  </mergeCells>
  <phoneticPr fontId="0" type="noConversion"/>
  <pageMargins left="0.75" right="0.375" top="0.25" bottom="0.25" header="0.75" footer="0.25"/>
  <pageSetup orientation="portrait" blackAndWhite="1"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1">
    <tabColor indexed="16"/>
  </sheetPr>
  <dimension ref="A1:Y215"/>
  <sheetViews>
    <sheetView showGridLines="0" view="pageBreakPreview" topLeftCell="A70" zoomScale="110" zoomScaleNormal="100" zoomScaleSheetLayoutView="110" workbookViewId="0"/>
  </sheetViews>
  <sheetFormatPr defaultColWidth="9.140625" defaultRowHeight="12.75" customHeight="1"/>
  <cols>
    <col min="1" max="1" width="24.7109375" style="344" customWidth="1"/>
    <col min="2" max="2" width="5.5703125" style="344" customWidth="1"/>
    <col min="3" max="7" width="8.7109375" style="344" customWidth="1"/>
    <col min="8" max="8" width="9.28515625" style="344" customWidth="1"/>
    <col min="9" max="9" width="9.85546875" style="344" customWidth="1"/>
    <col min="10" max="10" width="9.28515625" style="344" customWidth="1"/>
    <col min="11" max="11" width="10" style="344" customWidth="1"/>
    <col min="12" max="12" width="8.42578125" style="344" customWidth="1"/>
    <col min="13" max="13" width="6.5703125" style="344" customWidth="1"/>
    <col min="14" max="14" width="14.28515625" style="344" customWidth="1"/>
    <col min="15" max="15" width="7.28515625" style="344" customWidth="1"/>
    <col min="16" max="16" width="5.85546875" style="344" customWidth="1"/>
    <col min="17" max="17" width="7.28515625" style="344" customWidth="1"/>
    <col min="18" max="18" width="5.85546875" style="344" customWidth="1"/>
    <col min="19" max="19" width="5.85546875" style="565" customWidth="1"/>
    <col min="20" max="20" width="5.5703125" style="566" customWidth="1"/>
    <col min="21" max="16384" width="9.140625" style="344"/>
  </cols>
  <sheetData>
    <row r="1" spans="2:22" ht="12.75" customHeight="1">
      <c r="B1" s="383"/>
      <c r="C1" s="383"/>
      <c r="D1" s="383"/>
      <c r="E1" s="383"/>
      <c r="F1" s="383"/>
      <c r="G1" s="383"/>
      <c r="H1" s="383"/>
      <c r="I1" s="383"/>
      <c r="J1" s="383"/>
      <c r="K1" s="383"/>
      <c r="L1" s="383"/>
      <c r="R1" s="388"/>
      <c r="S1" s="496"/>
      <c r="T1" s="497"/>
      <c r="U1" s="388"/>
      <c r="V1" s="388"/>
    </row>
    <row r="2" spans="2:22" ht="12.75" customHeight="1">
      <c r="B2" s="383"/>
      <c r="C2" s="383"/>
      <c r="D2" s="383"/>
      <c r="E2" s="383"/>
      <c r="F2" s="383"/>
      <c r="G2" s="383"/>
      <c r="H2" s="383"/>
      <c r="I2" s="383"/>
      <c r="J2" s="383"/>
      <c r="K2" s="383"/>
      <c r="L2" s="383"/>
      <c r="O2" s="493"/>
      <c r="P2" s="493"/>
      <c r="Q2" s="493"/>
      <c r="R2" s="387"/>
      <c r="S2" s="496"/>
      <c r="T2" s="497"/>
      <c r="U2" s="1499"/>
      <c r="V2" s="1499"/>
    </row>
    <row r="3" spans="2:22" ht="12.75" customHeight="1">
      <c r="B3" s="383"/>
      <c r="C3" s="383"/>
      <c r="D3" s="383"/>
      <c r="E3" s="383"/>
      <c r="F3" s="383"/>
      <c r="G3" s="383"/>
      <c r="H3" s="383"/>
      <c r="I3" s="383"/>
      <c r="J3" s="383"/>
      <c r="K3" s="383"/>
      <c r="L3" s="383"/>
      <c r="Q3" s="386"/>
      <c r="R3" s="387"/>
      <c r="S3" s="496"/>
      <c r="T3" s="497"/>
      <c r="U3" s="387"/>
      <c r="V3" s="387"/>
    </row>
    <row r="4" spans="2:22" ht="12.75" customHeight="1">
      <c r="B4" s="383"/>
      <c r="C4" s="383"/>
      <c r="D4" s="383"/>
      <c r="E4" s="383"/>
      <c r="F4" s="383"/>
      <c r="G4" s="383"/>
      <c r="H4" s="383"/>
      <c r="I4" s="383"/>
      <c r="J4" s="383"/>
      <c r="K4" s="383"/>
      <c r="L4" s="383"/>
      <c r="O4" s="386"/>
      <c r="P4" s="386"/>
      <c r="Q4" s="386"/>
      <c r="R4" s="387"/>
      <c r="S4" s="496"/>
      <c r="T4" s="497"/>
      <c r="U4" s="388"/>
      <c r="V4" s="388"/>
    </row>
    <row r="5" spans="2:22" ht="12.75" customHeight="1">
      <c r="B5" s="383"/>
      <c r="C5" s="383"/>
      <c r="D5" s="383"/>
      <c r="E5" s="383"/>
      <c r="F5" s="383"/>
      <c r="G5" s="383"/>
      <c r="H5" s="383"/>
      <c r="I5" s="383"/>
      <c r="J5" s="383"/>
      <c r="K5" s="383"/>
      <c r="L5" s="383"/>
      <c r="O5" s="386"/>
      <c r="P5" s="386"/>
      <c r="Q5" s="386"/>
      <c r="R5" s="387"/>
      <c r="S5" s="496"/>
      <c r="T5" s="497"/>
      <c r="U5" s="388"/>
      <c r="V5" s="388"/>
    </row>
    <row r="6" spans="2:22" ht="12.75" customHeight="1">
      <c r="B6" s="383"/>
      <c r="C6" s="383"/>
      <c r="D6" s="383"/>
      <c r="E6" s="383"/>
      <c r="F6" s="383"/>
      <c r="G6" s="383"/>
      <c r="H6" s="383"/>
      <c r="I6" s="383"/>
      <c r="J6" s="383"/>
      <c r="K6" s="383"/>
      <c r="L6" s="383"/>
      <c r="R6" s="388"/>
      <c r="S6" s="496"/>
      <c r="T6" s="497"/>
      <c r="U6" s="388"/>
      <c r="V6" s="388"/>
    </row>
    <row r="7" spans="2:22" ht="12.75" customHeight="1">
      <c r="B7" s="383"/>
      <c r="C7" s="383"/>
      <c r="D7" s="383"/>
      <c r="E7" s="383"/>
      <c r="F7" s="383"/>
      <c r="G7" s="383"/>
      <c r="H7" s="383"/>
      <c r="I7" s="383"/>
      <c r="J7" s="383"/>
      <c r="K7" s="383"/>
      <c r="L7" s="383"/>
      <c r="R7" s="388"/>
      <c r="S7" s="496"/>
      <c r="T7" s="497"/>
      <c r="U7" s="388"/>
      <c r="V7" s="388"/>
    </row>
    <row r="8" spans="2:22" ht="19.5" customHeight="1" thickBot="1">
      <c r="B8" s="1500" t="s">
        <v>250</v>
      </c>
      <c r="C8" s="1500"/>
      <c r="D8" s="1500"/>
      <c r="E8" s="1500"/>
      <c r="F8" s="1500"/>
      <c r="G8" s="1500"/>
      <c r="H8" s="1500"/>
      <c r="I8" s="1500"/>
      <c r="J8" s="1500"/>
      <c r="K8" s="1500"/>
      <c r="L8" s="1500"/>
      <c r="R8" s="388"/>
      <c r="S8" s="496"/>
      <c r="T8" s="497"/>
      <c r="U8" s="388"/>
      <c r="V8" s="388"/>
    </row>
    <row r="9" spans="2:22" ht="12.75" customHeight="1" thickTop="1">
      <c r="B9" s="713" t="s">
        <v>190</v>
      </c>
      <c r="C9" s="687"/>
      <c r="D9" s="687"/>
      <c r="E9" s="662"/>
      <c r="F9" s="662"/>
      <c r="G9" s="687"/>
      <c r="H9" s="687"/>
      <c r="I9" s="687"/>
      <c r="J9" s="687"/>
      <c r="K9" s="687"/>
      <c r="L9" s="687"/>
      <c r="R9" s="388"/>
      <c r="S9" s="1501" t="s">
        <v>1117</v>
      </c>
      <c r="T9" s="1501"/>
      <c r="U9" s="388"/>
      <c r="V9" s="388"/>
    </row>
    <row r="10" spans="2:22" ht="5.25" customHeight="1">
      <c r="B10" s="383"/>
      <c r="C10" s="383"/>
      <c r="D10" s="686"/>
      <c r="E10" s="687"/>
      <c r="F10" s="687"/>
      <c r="G10" s="687"/>
      <c r="H10" s="687"/>
      <c r="I10" s="687"/>
      <c r="J10" s="687"/>
      <c r="K10" s="687"/>
      <c r="L10" s="687"/>
      <c r="N10" s="498"/>
      <c r="R10" s="388"/>
      <c r="S10" s="1502"/>
      <c r="T10" s="1502"/>
      <c r="U10" s="388"/>
    </row>
    <row r="11" spans="2:22" ht="12.75" customHeight="1">
      <c r="B11" s="383"/>
      <c r="C11" s="383"/>
      <c r="D11" s="686"/>
      <c r="E11" s="383"/>
      <c r="F11" s="4" t="s">
        <v>1090</v>
      </c>
      <c r="G11" s="1496" t="s">
        <v>1600</v>
      </c>
      <c r="H11" s="1497"/>
      <c r="I11" s="1497"/>
      <c r="J11" s="1498"/>
      <c r="K11" s="383"/>
      <c r="L11" s="383"/>
      <c r="N11" s="498"/>
      <c r="S11" s="1494" t="s">
        <v>1116</v>
      </c>
      <c r="T11" s="1495"/>
    </row>
    <row r="12" spans="2:22" ht="12.75" customHeight="1">
      <c r="B12" s="383"/>
      <c r="C12" s="383"/>
      <c r="D12" s="383"/>
      <c r="E12" s="383"/>
      <c r="F12" s="4" t="str">
        <f>IF(ComplexGeom=FALSE,"Overall Deck Width =","Equivalent Slab Width at Centerline Bent =")</f>
        <v>Overall Deck Width =</v>
      </c>
      <c r="G12" s="1334">
        <v>50</v>
      </c>
      <c r="H12" s="5" t="s">
        <v>156</v>
      </c>
      <c r="I12" s="5"/>
      <c r="J12" s="7" t="s">
        <v>1308</v>
      </c>
      <c r="K12" s="1218">
        <f>DeckWidth-RailWidth-RailWidthRt</f>
        <v>48</v>
      </c>
      <c r="L12" s="6" t="s">
        <v>156</v>
      </c>
      <c r="S12" s="499">
        <v>50</v>
      </c>
      <c r="T12" s="500">
        <f>IF(DeckWidth=S12,1,0)</f>
        <v>1</v>
      </c>
    </row>
    <row r="13" spans="2:22" ht="12.75" customHeight="1">
      <c r="B13" s="383"/>
      <c r="C13" s="383"/>
      <c r="D13" s="383"/>
      <c r="E13" s="383"/>
      <c r="F13" s="4" t="s">
        <v>157</v>
      </c>
      <c r="G13" s="238">
        <v>0.02</v>
      </c>
      <c r="H13" s="5"/>
      <c r="I13" s="383"/>
      <c r="J13" s="4" t="s">
        <v>160</v>
      </c>
      <c r="K13" s="38">
        <f>IF(RdwyWidth&lt;20,1,IF(RdwyWidth&lt;24,2,MIN(10,INT(RdwyWidth/12))))</f>
        <v>4</v>
      </c>
      <c r="L13" s="5"/>
      <c r="S13" s="499">
        <v>0.02</v>
      </c>
      <c r="T13" s="500">
        <f>IF(crossslope=S13,1,0)</f>
        <v>1</v>
      </c>
    </row>
    <row r="14" spans="2:22" ht="12.75" customHeight="1">
      <c r="B14" s="383"/>
      <c r="C14" s="383"/>
      <c r="D14" s="383"/>
      <c r="E14" s="383"/>
      <c r="F14" s="4" t="s">
        <v>159</v>
      </c>
      <c r="G14" s="10">
        <v>8.5</v>
      </c>
      <c r="H14" s="5" t="s">
        <v>155</v>
      </c>
      <c r="I14" s="383"/>
      <c r="J14" s="383"/>
      <c r="K14" s="383"/>
      <c r="L14" s="716" t="s">
        <v>1398</v>
      </c>
      <c r="M14" s="1226"/>
      <c r="S14" s="499">
        <v>8.5</v>
      </c>
      <c r="T14" s="500">
        <f>IF(slabthickness=S14,1,0)</f>
        <v>1</v>
      </c>
    </row>
    <row r="15" spans="2:22" ht="12.75" customHeight="1">
      <c r="B15" s="383"/>
      <c r="C15" s="383"/>
      <c r="D15" s="383"/>
      <c r="E15" s="383"/>
      <c r="F15" s="4" t="s">
        <v>355</v>
      </c>
      <c r="G15" s="10">
        <v>0</v>
      </c>
      <c r="H15" s="5" t="s">
        <v>155</v>
      </c>
      <c r="I15" s="383"/>
      <c r="J15" s="383"/>
      <c r="K15" s="383"/>
      <c r="L15" s="1396" t="str">
        <f>IF(RdwyWidth&gt;=12*11,"CAP18 cannot evaluate more than 10 lanes.","")</f>
        <v/>
      </c>
      <c r="S15" s="499">
        <v>0</v>
      </c>
      <c r="T15" s="500">
        <f>IF(FWSthickness=S15,1,0)</f>
        <v>1</v>
      </c>
    </row>
    <row r="16" spans="2:22" ht="12.75" customHeight="1">
      <c r="B16" s="383"/>
      <c r="C16" s="383"/>
      <c r="D16" s="383"/>
      <c r="E16" s="383"/>
      <c r="F16" s="4" t="s">
        <v>1105</v>
      </c>
      <c r="G16" s="293">
        <v>0.14000000000000001</v>
      </c>
      <c r="H16" s="5" t="s">
        <v>1111</v>
      </c>
      <c r="I16" s="13" t="s">
        <v>1416</v>
      </c>
      <c r="J16" s="383"/>
      <c r="K16" s="383"/>
      <c r="L16" s="383"/>
      <c r="M16" s="1226"/>
      <c r="S16" s="499">
        <v>0.14000000000000001</v>
      </c>
      <c r="T16" s="500">
        <f>IF(FWSwt=S16,1,0)</f>
        <v>1</v>
      </c>
    </row>
    <row r="17" spans="1:20" ht="12.75" customHeight="1">
      <c r="B17" s="383"/>
      <c r="C17" s="383"/>
      <c r="D17" s="383"/>
      <c r="E17" s="383"/>
      <c r="F17" s="4" t="s">
        <v>357</v>
      </c>
      <c r="G17" s="10">
        <v>0.15</v>
      </c>
      <c r="H17" s="5" t="s">
        <v>729</v>
      </c>
      <c r="I17" s="383"/>
      <c r="J17" s="383"/>
      <c r="K17" s="383"/>
      <c r="L17" s="383"/>
      <c r="S17" s="499">
        <v>0.15</v>
      </c>
      <c r="T17" s="500">
        <f>IF(utilities=S17,1,0)</f>
        <v>1</v>
      </c>
    </row>
    <row r="18" spans="1:20" ht="12.75" customHeight="1">
      <c r="B18" s="383"/>
      <c r="C18" s="383"/>
      <c r="D18" s="1203" t="s">
        <v>251</v>
      </c>
      <c r="E18" s="383"/>
      <c r="F18" s="383"/>
      <c r="G18" s="72" t="s">
        <v>351</v>
      </c>
      <c r="H18" s="5"/>
      <c r="I18" s="1204" t="s">
        <v>252</v>
      </c>
      <c r="J18" s="383"/>
      <c r="K18" s="1244" t="str">
        <f>bkspantype</f>
        <v>Concrete</v>
      </c>
      <c r="L18" s="383"/>
      <c r="S18" s="499" t="s">
        <v>351</v>
      </c>
      <c r="T18" s="500">
        <f>IF(bkspantype=S18,1,0)</f>
        <v>1</v>
      </c>
    </row>
    <row r="19" spans="1:20" ht="12.75" customHeight="1">
      <c r="A19" s="1503" t="str">
        <f>IF(OR(LEFT(bkspangirder,1)="U",LEFT(fdspangirder,1)="U"),"Brg St Wdth used assumed bm angle is 90-skew.","")</f>
        <v/>
      </c>
      <c r="B19" s="383"/>
      <c r="C19" s="383"/>
      <c r="D19" s="383"/>
      <c r="E19" s="383"/>
      <c r="F19" s="7" t="s">
        <v>1309</v>
      </c>
      <c r="G19" s="23" t="s">
        <v>864</v>
      </c>
      <c r="H19" s="5"/>
      <c r="I19" s="383"/>
      <c r="J19" s="7" t="s">
        <v>1309</v>
      </c>
      <c r="K19" s="1243" t="str">
        <f>bkspangirder</f>
        <v>Tx54</v>
      </c>
      <c r="L19" s="383"/>
      <c r="S19" s="499" t="s">
        <v>864</v>
      </c>
      <c r="T19" s="500">
        <f>IF(bkspangirder=S19,1,0)</f>
        <v>1</v>
      </c>
    </row>
    <row r="20" spans="1:20" ht="12.75" customHeight="1">
      <c r="A20" s="1503"/>
      <c r="B20" s="383"/>
      <c r="C20" s="383"/>
      <c r="D20" s="383"/>
      <c r="E20" s="383"/>
      <c r="F20" s="4" t="s">
        <v>161</v>
      </c>
      <c r="G20" s="1068">
        <v>2</v>
      </c>
      <c r="H20" s="5" t="s">
        <v>155</v>
      </c>
      <c r="I20" s="383"/>
      <c r="J20" s="4" t="s">
        <v>161</v>
      </c>
      <c r="K20" s="1068">
        <f>bkspanhaunch</f>
        <v>2</v>
      </c>
      <c r="L20" s="5" t="s">
        <v>155</v>
      </c>
      <c r="S20" s="499">
        <v>2</v>
      </c>
      <c r="T20" s="500">
        <f>IF(bkspanhaunch=S20,1,0)</f>
        <v>1</v>
      </c>
    </row>
    <row r="21" spans="1:20" ht="12.75" customHeight="1">
      <c r="B21" s="383"/>
      <c r="C21" s="383"/>
      <c r="D21" s="383"/>
      <c r="E21" s="383"/>
      <c r="F21" s="4" t="s">
        <v>641</v>
      </c>
      <c r="G21" s="1069">
        <f>VLOOKUP(G19,Reference!$B$6:$D$45,2,FALSE)</f>
        <v>54</v>
      </c>
      <c r="H21" s="1069">
        <f>VLOOKUP(bkspangirder,Reference!B6:F45,5,FALSE)</f>
        <v>32</v>
      </c>
      <c r="I21" s="383"/>
      <c r="J21" s="1206" t="s">
        <v>641</v>
      </c>
      <c r="K21" s="1069">
        <f>VLOOKUP(K19,Reference!$B$6:$D$45,2,FALSE)</f>
        <v>54</v>
      </c>
      <c r="L21" s="1069">
        <f>VLOOKUP(fdspangirder,Reference!B6:F45,5,FALSE)</f>
        <v>32</v>
      </c>
      <c r="N21" s="342"/>
      <c r="O21" s="1016"/>
      <c r="S21" s="499">
        <v>54</v>
      </c>
      <c r="T21" s="500">
        <f>IF(bkbmdepth=S21,1,0)</f>
        <v>1</v>
      </c>
    </row>
    <row r="22" spans="1:20" ht="12.75" customHeight="1">
      <c r="B22" s="383"/>
      <c r="C22" s="383"/>
      <c r="D22" s="383"/>
      <c r="E22" s="383"/>
      <c r="F22" s="7" t="s">
        <v>169</v>
      </c>
      <c r="G22" s="9">
        <v>2.75</v>
      </c>
      <c r="H22" s="5" t="s">
        <v>155</v>
      </c>
      <c r="I22" s="383"/>
      <c r="J22" s="7" t="s">
        <v>169</v>
      </c>
      <c r="K22" s="9">
        <f>bkbrgpad</f>
        <v>2.75</v>
      </c>
      <c r="L22" s="5" t="s">
        <v>155</v>
      </c>
      <c r="N22" s="342"/>
      <c r="O22" s="1017"/>
      <c r="S22" s="499">
        <v>3</v>
      </c>
      <c r="T22" s="500">
        <f>IF(OSOHBack=S22,1,0)</f>
        <v>1</v>
      </c>
    </row>
    <row r="23" spans="1:20" ht="12.75" customHeight="1">
      <c r="B23" s="383"/>
      <c r="C23" s="383"/>
      <c r="D23" s="383"/>
      <c r="E23" s="383"/>
      <c r="F23" s="4" t="str">
        <f>"Brg St Wdth "&amp;IF(LEFT(bkspangirder,1)&lt;&gt;"U","(norm. to bm) =","(along bent) =")</f>
        <v>Brg St Wdth (norm. to bm) =</v>
      </c>
      <c r="G23" s="1245">
        <f>VLOOKUP(bkspangirder,Reference!B6:E45,4,FALSE)</f>
        <v>3</v>
      </c>
      <c r="H23" s="5" t="s">
        <v>156</v>
      </c>
      <c r="I23" s="383"/>
      <c r="J23" s="1205" t="str">
        <f>"Brg St Wdth "&amp;IF(LEFT(fdspangirder,1)&lt;&gt;"U","(⊥ to bm) =","(along bent) =")</f>
        <v>Brg St Wdth (⊥ to bm) =</v>
      </c>
      <c r="K23" s="12">
        <f>VLOOKUP(fdspangirder,Reference!B6:E45,4,FALSE)</f>
        <v>3</v>
      </c>
      <c r="L23" s="5" t="s">
        <v>156</v>
      </c>
      <c r="S23" s="499">
        <v>2.75</v>
      </c>
      <c r="T23" s="500">
        <f>IF(bkbrgpad=S23,1,0)</f>
        <v>1</v>
      </c>
    </row>
    <row r="24" spans="1:20" ht="12.75" customHeight="1">
      <c r="B24" s="383"/>
      <c r="C24" s="383"/>
      <c r="D24" s="383"/>
      <c r="E24" s="383"/>
      <c r="F24" s="7" t="s">
        <v>85</v>
      </c>
      <c r="G24" s="1245">
        <f>(MAX(slabthickness+bkspanhaunch+bkbmdepth,slabthickness+fdspanhaunch+fdbmdepth)/12)+DeckWidth*crossslope</f>
        <v>6.375</v>
      </c>
      <c r="H24" s="5" t="s">
        <v>423</v>
      </c>
      <c r="I24" s="383"/>
      <c r="J24" s="383"/>
      <c r="K24" s="383"/>
      <c r="L24" s="383"/>
      <c r="S24" s="499">
        <v>0</v>
      </c>
      <c r="T24" s="500">
        <f>IF(PGLradius=S24,1,0)</f>
        <v>1</v>
      </c>
    </row>
    <row r="25" spans="1:20" ht="12.75" customHeight="1">
      <c r="B25" s="383"/>
      <c r="C25" s="383"/>
      <c r="D25" s="383"/>
      <c r="E25" s="383"/>
      <c r="F25" s="7" t="s">
        <v>65</v>
      </c>
      <c r="G25" s="9">
        <v>1.5</v>
      </c>
      <c r="H25" s="5" t="s">
        <v>155</v>
      </c>
      <c r="I25" s="719"/>
      <c r="J25" s="383"/>
      <c r="K25" s="383"/>
      <c r="L25" s="48"/>
      <c r="S25" s="499">
        <v>-23</v>
      </c>
      <c r="T25" s="500">
        <f>IF(PGLdist=S25,1,0)</f>
        <v>1</v>
      </c>
    </row>
    <row r="26" spans="1:20" ht="12.75" customHeight="1">
      <c r="B26" s="713" t="s">
        <v>731</v>
      </c>
      <c r="C26" s="383"/>
      <c r="D26" s="383"/>
      <c r="E26" s="383"/>
      <c r="F26" s="716"/>
      <c r="G26" s="383"/>
      <c r="H26" s="5"/>
      <c r="I26" s="383"/>
      <c r="J26" s="383"/>
      <c r="K26" s="383"/>
      <c r="L26" s="383"/>
      <c r="S26" s="499">
        <v>6</v>
      </c>
      <c r="T26" s="500">
        <f>IF(BkBms=S26,1,0)</f>
        <v>0</v>
      </c>
    </row>
    <row r="27" spans="1:20" ht="15" customHeight="1">
      <c r="B27" s="383"/>
      <c r="C27" s="717"/>
      <c r="D27" s="718"/>
      <c r="E27" s="717"/>
      <c r="F27" s="4" t="s">
        <v>739</v>
      </c>
      <c r="G27" s="8">
        <v>0</v>
      </c>
      <c r="H27" s="5" t="s">
        <v>156</v>
      </c>
      <c r="I27" s="383"/>
      <c r="J27" s="383"/>
      <c r="K27" s="716"/>
      <c r="L27" s="383"/>
      <c r="S27" s="499">
        <v>8.8000000000000007</v>
      </c>
      <c r="T27" s="500">
        <f>IF(BkSpa=S27,1,0)</f>
        <v>0</v>
      </c>
    </row>
    <row r="28" spans="1:20" ht="12.75" customHeight="1">
      <c r="B28" s="686"/>
      <c r="C28" s="383"/>
      <c r="D28" s="11"/>
      <c r="E28" s="11"/>
      <c r="F28" s="4" t="s">
        <v>1155</v>
      </c>
      <c r="G28" s="9">
        <v>-23</v>
      </c>
      <c r="H28" s="5" t="s">
        <v>939</v>
      </c>
      <c r="I28" s="383"/>
      <c r="J28" s="5"/>
      <c r="K28" s="5"/>
      <c r="L28" s="5"/>
      <c r="S28" s="499">
        <v>6</v>
      </c>
      <c r="T28" s="500">
        <f>IF(FdBms=S28,1,0)</f>
        <v>0</v>
      </c>
    </row>
    <row r="29" spans="1:20" ht="12.75" customHeight="1">
      <c r="B29" s="383"/>
      <c r="C29" s="383"/>
      <c r="D29" s="383"/>
      <c r="E29" s="383"/>
      <c r="F29" s="1015" t="s">
        <v>69</v>
      </c>
      <c r="G29" s="1201">
        <v>3</v>
      </c>
      <c r="H29" s="1201">
        <v>3</v>
      </c>
      <c r="I29" s="383"/>
      <c r="J29" s="383"/>
      <c r="K29" s="5" t="s">
        <v>938</v>
      </c>
      <c r="L29" s="383"/>
      <c r="S29" s="499">
        <v>8.8000000000000007</v>
      </c>
      <c r="T29" s="500">
        <f>IF(FdSpa=S29,1,0)</f>
        <v>0</v>
      </c>
    </row>
    <row r="30" spans="1:20" ht="12.75" customHeight="1">
      <c r="B30" s="383"/>
      <c r="C30" s="383"/>
      <c r="D30" s="11"/>
      <c r="E30" s="383"/>
      <c r="F30" s="1015" t="s">
        <v>68</v>
      </c>
      <c r="G30" s="1201">
        <v>3</v>
      </c>
      <c r="H30" s="1201">
        <v>3</v>
      </c>
      <c r="I30" s="383"/>
      <c r="J30" s="383"/>
      <c r="K30" s="4" t="s">
        <v>1077</v>
      </c>
      <c r="L30" s="1137" t="s">
        <v>1035</v>
      </c>
      <c r="P30" s="5"/>
      <c r="S30" s="499">
        <v>100</v>
      </c>
      <c r="T30" s="500">
        <f>IF(bkspanpgl=S30,1,0)</f>
        <v>1</v>
      </c>
    </row>
    <row r="31" spans="1:20" ht="12.75" customHeight="1" thickBot="1">
      <c r="B31" s="383"/>
      <c r="C31" s="383"/>
      <c r="D31" s="11"/>
      <c r="E31" s="11"/>
      <c r="F31" s="4" t="s">
        <v>170</v>
      </c>
      <c r="G31" s="655">
        <v>4</v>
      </c>
      <c r="H31" s="5"/>
      <c r="I31" s="383"/>
      <c r="J31" s="383"/>
      <c r="K31" s="4" t="s">
        <v>1078</v>
      </c>
      <c r="L31" s="23" t="s">
        <v>143</v>
      </c>
      <c r="P31" s="5"/>
      <c r="S31" s="499">
        <v>120</v>
      </c>
      <c r="T31" s="500">
        <f>IF(fdspanpgl=S31,1,0)</f>
        <v>1</v>
      </c>
    </row>
    <row r="32" spans="1:20" ht="12.75" customHeight="1">
      <c r="B32" s="383"/>
      <c r="C32" s="383"/>
      <c r="D32" s="11"/>
      <c r="E32" s="11"/>
      <c r="F32" s="4" t="s">
        <v>1554</v>
      </c>
      <c r="G32" s="839">
        <f>(DeckWidth-OSOHBack-OSOHBackRT)/(BkBms-1)</f>
        <v>14.666666666666666</v>
      </c>
      <c r="H32" s="5" t="s">
        <v>156</v>
      </c>
      <c r="I32" s="720"/>
      <c r="J32" s="233"/>
      <c r="K32" s="719" t="s">
        <v>722</v>
      </c>
      <c r="L32" s="289">
        <v>50</v>
      </c>
      <c r="N32" s="1020" t="s">
        <v>221</v>
      </c>
      <c r="O32" s="503"/>
      <c r="P32" s="503"/>
      <c r="Q32" s="503"/>
      <c r="R32" s="504"/>
      <c r="S32" s="500">
        <v>3</v>
      </c>
      <c r="T32" s="500">
        <f>IF(OSOH=S32,1,0)</f>
        <v>1</v>
      </c>
    </row>
    <row r="33" spans="2:20" ht="12.75" customHeight="1">
      <c r="B33" s="383"/>
      <c r="C33" s="383"/>
      <c r="D33" s="11"/>
      <c r="E33" s="11"/>
      <c r="F33" s="4" t="s">
        <v>171</v>
      </c>
      <c r="G33" s="655">
        <v>4</v>
      </c>
      <c r="H33" s="5"/>
      <c r="I33" s="5"/>
      <c r="J33" s="4" t="s">
        <v>172</v>
      </c>
      <c r="K33" s="1246" t="s">
        <v>1069</v>
      </c>
      <c r="L33" s="1246"/>
      <c r="N33" s="1019"/>
      <c r="O33" s="1018" t="s">
        <v>1223</v>
      </c>
      <c r="P33" s="1018"/>
      <c r="Q33" s="1018" t="s">
        <v>1224</v>
      </c>
      <c r="R33" s="506"/>
      <c r="S33" s="500" t="s">
        <v>1035</v>
      </c>
      <c r="T33" s="500">
        <f>IF(curvedirection=S33,1,0)</f>
        <v>1</v>
      </c>
    </row>
    <row r="34" spans="2:20" ht="12.75" customHeight="1">
      <c r="B34" s="383"/>
      <c r="C34" s="383"/>
      <c r="D34" s="11"/>
      <c r="E34" s="11"/>
      <c r="F34" s="4" t="s">
        <v>1313</v>
      </c>
      <c r="G34" s="839">
        <f>(DeckWidth-OSOH-OSOHRT)/(FdBms-1)</f>
        <v>14.666666666666666</v>
      </c>
      <c r="H34" s="5" t="s">
        <v>156</v>
      </c>
      <c r="I34" s="5"/>
      <c r="J34" s="4" t="s">
        <v>174</v>
      </c>
      <c r="K34" s="1248">
        <f>IF(G27=0,0,G35*360/(2*PI()*$G$27))</f>
        <v>0</v>
      </c>
      <c r="L34" s="5" t="s">
        <v>175</v>
      </c>
      <c r="N34" s="788" t="s">
        <v>1158</v>
      </c>
      <c r="O34" s="505">
        <f>IF(PGLradius=0,0,PGLradius+IF(curvedirection="Right",-PGLdist-OSOHBack,+PGLdist+OSOHBack))</f>
        <v>0</v>
      </c>
      <c r="P34" s="505" t="s">
        <v>156</v>
      </c>
      <c r="Q34" s="505">
        <f>IF(PGLradius=0,0,PGLradius+IF(curvedirection="Right",-PGLdist-OSOH,+PGLdist+OSOH))</f>
        <v>0</v>
      </c>
      <c r="R34" s="1021" t="s">
        <v>156</v>
      </c>
      <c r="S34" s="500" t="s">
        <v>143</v>
      </c>
      <c r="T34" s="500">
        <f>IF(super?=S34,1,0)</f>
        <v>1</v>
      </c>
    </row>
    <row r="35" spans="2:20" ht="12.75" customHeight="1">
      <c r="B35" s="383"/>
      <c r="C35" s="383"/>
      <c r="D35" s="686"/>
      <c r="E35" s="299"/>
      <c r="F35" s="4" t="s">
        <v>173</v>
      </c>
      <c r="G35" s="9">
        <v>100</v>
      </c>
      <c r="H35" s="5" t="s">
        <v>156</v>
      </c>
      <c r="I35" s="5"/>
      <c r="J35" s="4" t="s">
        <v>177</v>
      </c>
      <c r="K35" s="1247">
        <f>IF(G27=0,0,G36*360/(2*PI()*$G$27))</f>
        <v>0</v>
      </c>
      <c r="L35" s="5" t="s">
        <v>175</v>
      </c>
      <c r="N35" s="788" t="s">
        <v>245</v>
      </c>
      <c r="O35" s="505">
        <f>IF(PGLradius=0,0,PGLradius+IF(curvedirection="Right",-PGLdist-DeckWidth+OSOHBackRT,DeckWidth+PGLdist-OSOHBackRT))</f>
        <v>0</v>
      </c>
      <c r="P35" s="505" t="s">
        <v>156</v>
      </c>
      <c r="Q35" s="505">
        <f>IF(PGLradius=0,0,PGLradius+IF(curvedirection="Right",-PGLdist-DeckWidth+OSOHRT,DeckWidth+PGLdist-OSOHRT))</f>
        <v>0</v>
      </c>
      <c r="R35" s="1021" t="s">
        <v>156</v>
      </c>
      <c r="S35" s="500">
        <v>50</v>
      </c>
      <c r="T35" s="500">
        <f>IF(dsgnspeed=S35,1,0)</f>
        <v>1</v>
      </c>
    </row>
    <row r="36" spans="2:20" ht="12.75" customHeight="1">
      <c r="B36" s="383"/>
      <c r="C36" s="383"/>
      <c r="D36" s="686"/>
      <c r="E36" s="299"/>
      <c r="F36" s="4" t="s">
        <v>176</v>
      </c>
      <c r="G36" s="9">
        <v>120</v>
      </c>
      <c r="H36" s="5" t="s">
        <v>156</v>
      </c>
      <c r="I36" s="13" t="s">
        <v>365</v>
      </c>
      <c r="J36" s="11"/>
      <c r="K36" s="4"/>
      <c r="L36" s="5"/>
      <c r="N36" s="788" t="s">
        <v>1157</v>
      </c>
      <c r="O36" s="507">
        <f>(-PGLdist-OSOHBack)*TAN(RADIANS(G65))-(-PGLdist-OSOHBack)*TAN(RADIANS(J65))</f>
        <v>0</v>
      </c>
      <c r="P36" s="505" t="s">
        <v>156</v>
      </c>
      <c r="Q36" s="507">
        <f>(-PGLdist-OSOH)*TAN(RADIANS(G65))-(-PGLdist-OSOH)*TAN(RADIANS(K65))</f>
        <v>0</v>
      </c>
      <c r="R36" s="1021" t="s">
        <v>156</v>
      </c>
      <c r="S36" s="500" t="s">
        <v>212</v>
      </c>
      <c r="T36" s="500">
        <f>IF(railLeft=S36,1,0)</f>
        <v>1</v>
      </c>
    </row>
    <row r="37" spans="2:20" ht="12.75" customHeight="1">
      <c r="B37" s="383"/>
      <c r="C37" s="383"/>
      <c r="D37" s="686"/>
      <c r="E37" s="383"/>
      <c r="F37" s="4" t="s">
        <v>241</v>
      </c>
      <c r="G37" s="13" t="str">
        <f>"|Rleft - (Rleft "&amp;IF(curvedirection="Right","- ","+ ")&amp;"Overhang) * Cos((θ+Δθ)/2)|"</f>
        <v>|Rleft - (Rleft + Overhang) * Cos((θ+Δθ)/2)|</v>
      </c>
      <c r="H37" s="5"/>
      <c r="I37" s="720"/>
      <c r="J37" s="11"/>
      <c r="K37" s="4"/>
      <c r="L37" s="5"/>
      <c r="N37" s="788" t="s">
        <v>1156</v>
      </c>
      <c r="O37" s="507">
        <f>(DeckWidth+PGLdist-OSOHBackRT)*TAN(RADIANS(G65))-(DeckWidth+PGLdist-OSOHBackRT)*TAN(RADIANS(J65))</f>
        <v>0</v>
      </c>
      <c r="P37" s="505" t="s">
        <v>156</v>
      </c>
      <c r="Q37" s="507">
        <f>(DeckWidth+PGLdist-OSOHRT)*TAN(RADIANS(G65))-(DeckWidth+PGLdist-OSOHRT)*TAN(RADIANS(K65))</f>
        <v>0</v>
      </c>
      <c r="R37" s="1021" t="s">
        <v>156</v>
      </c>
      <c r="S37" s="500" t="s">
        <v>212</v>
      </c>
      <c r="T37" s="500">
        <f>IF(railRight=S37,1,0)</f>
        <v>1</v>
      </c>
    </row>
    <row r="38" spans="2:20" ht="12.75" customHeight="1">
      <c r="B38" s="383"/>
      <c r="C38" s="383"/>
      <c r="D38" s="686"/>
      <c r="E38" s="383"/>
      <c r="F38" s="4" t="s">
        <v>673</v>
      </c>
      <c r="G38" s="1249">
        <f>IF(curvedirection="Right",(PGLradius-PGLdist)-(PGLradius-PGLdist-OSOHBack)*COS(RADIANS(K34+O38)/2),(PGLradius+PGLdist+OSOHBack)*COS(RADIANS(K34+O38)/2)-(PGLradius+PGLdist))</f>
        <v>3</v>
      </c>
      <c r="H38" s="5" t="s">
        <v>156</v>
      </c>
      <c r="I38" s="978" t="str">
        <f>IF(curvedirection="Right","{("&amp;PGLradius&amp;"ft "&amp;IF(SIGN(PGLdist)=-1,"+ ","- ")&amp;ABS(FIXED(PGLdist,2))&amp;"ft) - ("&amp;PGLradius&amp;"ft "&amp;IF(SIGN(PGLdist)=-1,"+ ","- ")&amp;ABS(FIXED(PGLdist,2))&amp;"ft - "&amp;OSOHBack&amp;"ft) x COS("&amp;FIXED(K34+O38,2)&amp;" / 2)}","{("&amp;PGLradius&amp;"ft "&amp;IF(SIGN(PGLdist)=-1,"- ","+ ")&amp;ABS(FIXED(PGLdist,2))&amp;"ft + "&amp;OSOHBack&amp;"ft) x COS("&amp;FIXED(K34+O38,2)&amp;" / 2) - ("&amp;PGLradius&amp;"ft "&amp;IF(SIGN(PGLdist)=-1,"- ","+ ")&amp;ABS(FIXED(PGLdist,2))&amp;"ft)}")</f>
        <v>{(0ft - 23ft + 3ft) x COS(0.00 / 2) - (0ft - 23ft)}</v>
      </c>
      <c r="J38" s="11"/>
      <c r="K38" s="4"/>
      <c r="L38" s="5"/>
      <c r="N38" s="788" t="s">
        <v>1160</v>
      </c>
      <c r="O38" s="507">
        <f>IF(O34=0,0,-DEGREES(2*ASIN(O36/(2*O34))))</f>
        <v>0</v>
      </c>
      <c r="P38" s="786" t="s">
        <v>1163</v>
      </c>
      <c r="Q38" s="507">
        <f>IF(Q34=0,0,DEGREES(2*ASIN(Q36/(2*Q34))))</f>
        <v>0</v>
      </c>
      <c r="R38" s="1022" t="s">
        <v>1162</v>
      </c>
      <c r="S38" s="500" t="s">
        <v>1463</v>
      </c>
      <c r="T38" s="500">
        <f>IF(rail3rd=S38,1,0)</f>
        <v>1</v>
      </c>
    </row>
    <row r="39" spans="2:20" ht="12.75" customHeight="1">
      <c r="B39" s="383"/>
      <c r="C39" s="383"/>
      <c r="D39" s="686"/>
      <c r="E39" s="383"/>
      <c r="F39" s="4" t="s">
        <v>674</v>
      </c>
      <c r="G39" s="1245">
        <f>IF(curvedirection="Right",(PGLradius-PGLdist)-(PGLradius-PGLdist-OSOH)*COS(RADIANS(K35+Q38)/2),(PGLradius+PGLdist+OSOH)*COS(RADIANS(K35+Q38)/2)-(PGLradius+PGLdist))</f>
        <v>3</v>
      </c>
      <c r="H39" s="5" t="s">
        <v>156</v>
      </c>
      <c r="I39" s="978" t="str">
        <f>IF(curvedirection="Right","{("&amp;PGLradius&amp;"ft "&amp;IF(SIGN(PGLdist)=-1,"+ ","- ")&amp;ABS(FIXED(PGLdist,2))&amp;"ft) - ("&amp;PGLradius&amp;"ft "&amp;IF(SIGN(PGLdist)=-1,"+ ","- ")&amp;ABS(FIXED(PGLdist,2))&amp;"ft - "&amp;OSOH&amp;"ft) x COS("&amp;FIXED(K35+Q38,2)&amp;" / 2)}","{("&amp;PGLradius&amp;"ft "&amp;IF(SIGN(PGLdist)=-1,"- ","+ ")&amp;ABS(FIXED(PGLdist,2))&amp;"ft + "&amp;OSOH&amp;"ft) x COS("&amp;FIXED(K35+Q38,2)&amp;" / 2) - ("&amp;PGLradius&amp;"ft "&amp;IF(SIGN(PGLdist)=-1,"- ","+ ")&amp;ABS(FIXED(PGLdist,2))&amp;"ft)}")</f>
        <v>{(0ft - 23ft + 3ft) x COS(0.00 / 2) - (0ft - 23ft)}</v>
      </c>
      <c r="J39" s="383"/>
      <c r="K39" s="4"/>
      <c r="L39" s="5"/>
      <c r="N39" s="789" t="s">
        <v>1161</v>
      </c>
      <c r="O39" s="814">
        <f>IF(O35=0,0,DEGREES(2*ASIN(O37/(2*O35))))</f>
        <v>0</v>
      </c>
      <c r="P39" s="787" t="s">
        <v>1163</v>
      </c>
      <c r="Q39" s="814">
        <f>IF(Q35=0,0,-DEGREES(2*ASIN(Q37/(2*Q35))))</f>
        <v>0</v>
      </c>
      <c r="R39" s="1023" t="s">
        <v>1162</v>
      </c>
      <c r="S39" s="500">
        <v>0</v>
      </c>
      <c r="T39" s="500">
        <f>IF(sidewalk=S39,1,0)</f>
        <v>1</v>
      </c>
    </row>
    <row r="40" spans="2:20" ht="12.75" customHeight="1">
      <c r="B40" s="383"/>
      <c r="C40" s="383"/>
      <c r="D40" s="686"/>
      <c r="E40" s="383"/>
      <c r="F40" s="4" t="s">
        <v>675</v>
      </c>
      <c r="G40" s="13" t="str">
        <f>"|Rright - (Rright "&amp;IF(curvedirection="Right","+ ","- ")&amp;"Overhang) * Cos((θ+Δθ)/2)|"</f>
        <v>|Rright - (Rright - Overhang) * Cos((θ+Δθ)/2)|</v>
      </c>
      <c r="H40" s="5"/>
      <c r="I40" s="720"/>
      <c r="J40" s="11"/>
      <c r="K40" s="4"/>
      <c r="L40" s="5"/>
      <c r="N40" s="1509" t="s">
        <v>1159</v>
      </c>
      <c r="O40" s="1510"/>
      <c r="P40" s="1510"/>
      <c r="Q40" s="1510"/>
      <c r="R40" s="1511"/>
      <c r="S40" s="500" t="s">
        <v>1311</v>
      </c>
      <c r="T40" s="500">
        <f>IF(CapType=S40,1,0)</f>
        <v>1</v>
      </c>
    </row>
    <row r="41" spans="2:20" ht="12.75" customHeight="1">
      <c r="B41" s="383"/>
      <c r="C41" s="383"/>
      <c r="D41" s="686"/>
      <c r="E41" s="299"/>
      <c r="F41" s="4" t="s">
        <v>676</v>
      </c>
      <c r="G41" s="1250">
        <f>IF(curvedirection="Right",(PGLradius-PGLdist-DeckWidth+OSOHBackRT)*COS(RADIANS(K34+O39)/2)-(PGLradius-PGLdist-DeckWidth),(PGLradius+DeckWidth+PGLdist)-(PGLradius+DeckWidth+PGLdist-OSOHBackRT)*COS(RADIANS(K34+O39)/2))</f>
        <v>3</v>
      </c>
      <c r="H41" s="5" t="s">
        <v>156</v>
      </c>
      <c r="I41" s="978" t="str">
        <f>IF(curvedirection="Right","{("&amp;PGLradius&amp;"ft "&amp;IF(SIGN(PGLdist)=-1,"+ ","- ")&amp;ABS(FIXED(PGLdist,2))&amp;"ft - "&amp;FIXED(DeckWidth,2)&amp;"ft + "&amp;OSOHBackRT&amp;"ft) x COS("&amp;FIXED(K34+O39,2)&amp;" / 2) - ("&amp;PGLradius&amp;"ft "&amp;IF(SIGN(PGLdist)=-1,"+ ","- ")&amp;ABS(FIXED(PGLdist,2))&amp;"ft - "&amp;FIXED(DeckWidth,2)&amp;")}","{("&amp;PGLradius&amp;"ft + "&amp;FIXED(DeckWidth,2)&amp;"ft "&amp;IF(SIGN(PGLdist)=-1,"- ","+ ")&amp;ABS(FIXED(PGLdist,2))&amp;"ft) - ("&amp;PGLradius&amp;"ft + "&amp;FIXED(DeckWidth,2)&amp;"ft "&amp;IF(SIGN(PGLdist)=-1,"- ","+ ")&amp;ABS(FIXED(PGLdist,2))&amp;"ft - "&amp;OSOHBackRT&amp;"ft) x COS("&amp;FIXED(K34+O39,2)&amp;" / 2)}")</f>
        <v>{(0ft + 50.00ft - 23ft) - (0ft + 50.00ft - 23ft - 3ft) x COS(0.00 / 2)}</v>
      </c>
      <c r="J41" s="11"/>
      <c r="K41" s="4"/>
      <c r="L41" s="5"/>
      <c r="N41" s="1512"/>
      <c r="O41" s="1513"/>
      <c r="P41" s="1513"/>
      <c r="Q41" s="1513"/>
      <c r="R41" s="1514"/>
      <c r="S41" s="500">
        <v>150</v>
      </c>
      <c r="T41" s="500">
        <f>IF(capdensity=S41,1,0)</f>
        <v>1</v>
      </c>
    </row>
    <row r="42" spans="2:20" ht="12.75" customHeight="1">
      <c r="B42" s="383"/>
      <c r="C42" s="383"/>
      <c r="D42" s="686"/>
      <c r="E42" s="299"/>
      <c r="F42" s="4" t="s">
        <v>677</v>
      </c>
      <c r="G42" s="1245">
        <f>IF(curvedirection="Right",(PGLradius-PGLdist-DeckWidth+OSOHRT)*COS(RADIANS(K35+Q39)/2)-(PGLradius-PGLdist-DeckWidth),(PGLradius+DeckWidth+PGLdist)-(PGLradius+DeckWidth+PGLdist-OSOHRT)*COS(RADIANS(K35+Q39)/2))</f>
        <v>3</v>
      </c>
      <c r="H42" s="5" t="s">
        <v>156</v>
      </c>
      <c r="I42" s="978" t="str">
        <f>IF(curvedirection="Right","{("&amp;PGLradius&amp;"ft "&amp;IF(SIGN(PGLdist)=-1,"+ ","- ")&amp;ABS(FIXED(PGLdist,2))&amp;"ft - "&amp;FIXED(DeckWidth,2)&amp;"ft + "&amp;OSOHRT&amp;"ft) x COS("&amp;FIXED(K35+Q39,2)&amp;" / 2) - ("&amp;PGLradius&amp;"ft "&amp;IF(SIGN(PGLdist)=-1,"+ ","- ")&amp;ABS(FIXED(PGLdist,2))&amp;"ft - "&amp;FIXED(DeckWidth,2)&amp;")}","{("&amp;PGLradius&amp;"ft + "&amp;FIXED(DeckWidth,2)&amp;"ft "&amp;IF(SIGN(PGLdist)=-1,"- ","+ ")&amp;ABS(FIXED(PGLdist,2))&amp;"ft) - ("&amp;PGLradius&amp;"ft + "&amp;FIXED(DeckWidth,2)&amp;"ft "&amp;IF(SIGN(PGLdist)=-1,"- ","+ ")&amp;ABS(FIXED(PGLdist,2))&amp;"ft - "&amp;OSOHRT&amp;"ft) x COS("&amp;FIXED(K35+Q39,2)&amp;" / 2)}")</f>
        <v>{(0ft + 50.00ft - 23ft) - (0ft + 50.00ft - 23ft - 3ft) x COS(0.00 / 2)}</v>
      </c>
      <c r="J42" s="11"/>
      <c r="K42" s="4"/>
      <c r="L42" s="5"/>
      <c r="N42" s="1512"/>
      <c r="O42" s="1513"/>
      <c r="P42" s="1513"/>
      <c r="Q42" s="1513"/>
      <c r="R42" s="1514"/>
      <c r="S42" s="500">
        <v>3.6</v>
      </c>
      <c r="T42" s="500">
        <f>IF(fc=S42,1,0)</f>
        <v>1</v>
      </c>
    </row>
    <row r="43" spans="2:20" ht="12.75" customHeight="1" thickBot="1">
      <c r="B43" s="383"/>
      <c r="C43" s="383"/>
      <c r="D43" s="686"/>
      <c r="E43" s="299"/>
      <c r="F43" s="4" t="s">
        <v>1164</v>
      </c>
      <c r="G43" s="1245">
        <f>IF(ComplexGeom=FALSE,IF(PGLradius=0,bkspanpgl-O36,IF(curvedirection="Right",2*(PGLradius-PGLdist-OSOHBack)*SIN(RADIANS(K34+O38)/2),2*(PGLradius+PGLdist+OSOHBack)*SIN(RADIANS(K34+O38)/2))),'Complex Geometry'!$J$19)</f>
        <v>100</v>
      </c>
      <c r="H43" s="5" t="s">
        <v>156</v>
      </c>
      <c r="I43" s="13" t="str">
        <f>IF(ComplexGeom=FALSE,"{L = 2 * (Radius Lft bm "&amp;IF(curvedirection="Right","- ","+ ")&amp;"Overhang) * Sin(θ/2)}","")</f>
        <v>{L = 2 * (Radius Lft bm + Overhang) * Sin(θ/2)}</v>
      </c>
      <c r="J43" s="11"/>
      <c r="K43" s="4"/>
      <c r="L43" s="5"/>
      <c r="N43" s="1515"/>
      <c r="O43" s="1516"/>
      <c r="P43" s="1516"/>
      <c r="Q43" s="1516"/>
      <c r="R43" s="1517"/>
      <c r="S43" s="500">
        <v>60</v>
      </c>
      <c r="T43" s="500">
        <f>IF(fy=S43,1,0)</f>
        <v>1</v>
      </c>
    </row>
    <row r="44" spans="2:20" ht="12.75" customHeight="1">
      <c r="B44" s="383"/>
      <c r="C44" s="383"/>
      <c r="D44" s="686"/>
      <c r="E44" s="299"/>
      <c r="F44" s="4" t="s">
        <v>1165</v>
      </c>
      <c r="G44" s="1245">
        <f>IF(ComplexGeom=FALSE,IF(PGLradius=0,fdspanpgl+Q36,IF(curvedirection="Right",2*(PGLradius-PGLdist-OSOH)*SIN(RADIANS(K35+Q38)/2),2*(PGLradius+PGLdist+OSOH)*SIN(RADIANS(K35+Q38)/2))),'Complex Geometry'!$J$41)</f>
        <v>120</v>
      </c>
      <c r="H44" s="5" t="s">
        <v>156</v>
      </c>
      <c r="I44" s="11"/>
      <c r="J44" s="11"/>
      <c r="K44" s="4"/>
      <c r="L44" s="5"/>
      <c r="S44" s="499" t="s">
        <v>1624</v>
      </c>
      <c r="T44" s="500">
        <f>IF(exposure=S44,1,0)</f>
        <v>1</v>
      </c>
    </row>
    <row r="45" spans="2:20" ht="12.75" customHeight="1">
      <c r="B45" s="383"/>
      <c r="C45" s="383"/>
      <c r="D45" s="686"/>
      <c r="E45" s="299"/>
      <c r="F45" s="4" t="s">
        <v>1166</v>
      </c>
      <c r="G45" s="1245">
        <f>IF(ComplexGeom=FALSE,IF(PGLradius=0,bkspanpgl+O37,IF(curvedirection="Right",2*(PGLradius-(DeckWidth+PGLdist)+OSOHBackRT)*SIN(RADIANS(K34+O39)/2),2*(PGLradius+(DeckWidth+PGLdist)-OSOHBackRT)*SIN(RADIANS(K34+O39)/2))),VLOOKUP(BkBms,'Complex Geometry'!I19:J38,2,FALSE))</f>
        <v>100</v>
      </c>
      <c r="H45" s="5" t="s">
        <v>156</v>
      </c>
      <c r="I45" s="13" t="str">
        <f>IF(ComplexGeom=FALSE,"{L = 2 * (Radius Rt bm "&amp;IF(curvedirection="Right","+ ","- ")&amp;"Overhang) * Sin(θ/2)}","")</f>
        <v>{L = 2 * (Radius Rt bm - Overhang) * Sin(θ/2)}</v>
      </c>
      <c r="J45" s="11"/>
      <c r="K45" s="4"/>
      <c r="L45" s="5"/>
      <c r="O45" s="342"/>
      <c r="P45" s="342"/>
      <c r="Q45" s="498"/>
      <c r="R45" s="498"/>
      <c r="S45" s="499">
        <v>0</v>
      </c>
      <c r="T45" s="500">
        <f>IF(BentSkew=S45,1,0)</f>
        <v>1</v>
      </c>
    </row>
    <row r="46" spans="2:20" ht="12.75" customHeight="1">
      <c r="B46" s="383"/>
      <c r="C46" s="383"/>
      <c r="D46" s="686"/>
      <c r="E46" s="299"/>
      <c r="F46" s="4" t="s">
        <v>1167</v>
      </c>
      <c r="G46" s="1245">
        <f>IF(ComplexGeom=FALSE,IF(PGLradius=0,fdspanpgl-Q37,IF(curvedirection="Right",2*(PGLradius-(DeckWidth+PGLdist)+OSOHRT)*SIN(RADIANS(K35+Q39)/2),2*(PGLradius+(DeckWidth+PGLdist)-OSOHRT)*SIN(RADIANS(K35+Q39)/2))),VLOOKUP(FdBms,'Complex Geometry'!I41:J60,2,FALSE))</f>
        <v>120</v>
      </c>
      <c r="H46" s="5" t="s">
        <v>156</v>
      </c>
      <c r="I46" s="662"/>
      <c r="J46" s="6"/>
      <c r="K46" s="662"/>
      <c r="L46" s="662"/>
      <c r="O46" s="342"/>
      <c r="P46" s="342"/>
      <c r="Q46" s="498"/>
      <c r="R46" s="498"/>
      <c r="S46" s="499">
        <v>48</v>
      </c>
      <c r="T46" s="500">
        <f>IF(caplength=S46,1,0)</f>
        <v>1</v>
      </c>
    </row>
    <row r="47" spans="2:20" ht="24.75" customHeight="1">
      <c r="B47" s="383"/>
      <c r="C47" s="383"/>
      <c r="D47" s="686"/>
      <c r="E47" s="383"/>
      <c r="F47" s="383"/>
      <c r="G47" s="673" t="str">
        <f>IF(ComplexGeom=TRUE,"",IF(OR(AND(LEFT(bkspangirder,1)&lt;&gt;"U",OSOHBack&gt;0.5*BkSpa),AND(LEFT(fdspangirder,1)&lt;&gt;"U",OSOH&gt;0.5*FdSpa)),"Overhang is greater than half of beam spacing.",""))</f>
        <v/>
      </c>
      <c r="H47" s="1508" t="s">
        <v>1555</v>
      </c>
      <c r="I47" s="1508"/>
      <c r="J47" s="1508"/>
      <c r="K47" s="1508"/>
      <c r="L47" s="1508"/>
      <c r="N47" s="388" t="s">
        <v>611</v>
      </c>
      <c r="O47" s="345"/>
      <c r="P47" s="345"/>
      <c r="Q47" s="1075"/>
      <c r="R47" s="498"/>
      <c r="S47" s="499">
        <v>-20</v>
      </c>
      <c r="T47" s="500">
        <f>IF(PGLToBm1=S47,1,0)</f>
        <v>1</v>
      </c>
    </row>
    <row r="48" spans="2:20" ht="12.75" customHeight="1">
      <c r="B48" s="713" t="s">
        <v>356</v>
      </c>
      <c r="C48" s="13" t="str">
        <f>IF(AND(RailDistribution=FALSE,OR(BkBms&gt;6,FdBms&gt;6)),"Left and Right Rails are distributed to outside 3 beams.","Rail loads are distributed equally to all beams.")&amp;IF(G50="None",""," Third rail load is distributed according to distribution shown.")</f>
        <v>Rail loads are distributed equally to all beams. Third rail load is distributed according to distribution shown.</v>
      </c>
      <c r="D48" s="383"/>
      <c r="E48" s="383"/>
      <c r="F48" s="383"/>
      <c r="G48" s="383"/>
      <c r="H48" s="1335"/>
      <c r="I48" s="1335"/>
      <c r="J48" s="1335"/>
      <c r="K48" s="1335"/>
      <c r="L48" s="383"/>
      <c r="N48" s="388"/>
      <c r="O48" s="1073" t="b">
        <v>0</v>
      </c>
      <c r="P48" s="388"/>
      <c r="Q48" s="388"/>
      <c r="S48" s="499">
        <v>60</v>
      </c>
      <c r="T48" s="500">
        <f>IF(capheight=S48,1,0)</f>
        <v>1</v>
      </c>
    </row>
    <row r="49" spans="2:20" ht="13.5" customHeight="1">
      <c r="B49" s="383"/>
      <c r="C49" s="383"/>
      <c r="D49" s="383"/>
      <c r="E49" s="721" t="s">
        <v>1035</v>
      </c>
      <c r="F49" s="721" t="s">
        <v>872</v>
      </c>
      <c r="G49" s="721" t="s">
        <v>127</v>
      </c>
      <c r="H49" s="383"/>
      <c r="I49" s="662"/>
      <c r="J49" s="6" t="str">
        <f>IF(rail3rd="None","","Distribute Other Rail to Beams:")</f>
        <v>Distribute Other Rail to Beams:</v>
      </c>
      <c r="K49" s="662"/>
      <c r="L49" s="662"/>
      <c r="N49" s="388"/>
      <c r="O49" s="388"/>
      <c r="P49" s="388"/>
      <c r="Q49" s="388"/>
      <c r="S49" s="499">
        <v>54</v>
      </c>
      <c r="T49" s="500">
        <f>IF(capstemWidth=S49,1,0)</f>
        <v>1</v>
      </c>
    </row>
    <row r="50" spans="2:20" ht="12.75" customHeight="1">
      <c r="B50" s="383"/>
      <c r="C50" s="383"/>
      <c r="D50" s="4" t="s">
        <v>226</v>
      </c>
      <c r="E50" s="664" t="s">
        <v>212</v>
      </c>
      <c r="F50" s="664" t="s">
        <v>212</v>
      </c>
      <c r="G50" s="664" t="s">
        <v>1463</v>
      </c>
      <c r="H50" s="383"/>
      <c r="I50" s="662"/>
      <c r="J50" s="7" t="str">
        <f>IF(rail3rd="None","","Back Span (from/to)")</f>
        <v>Back Span (from/to)</v>
      </c>
      <c r="K50" s="23">
        <v>2</v>
      </c>
      <c r="L50" s="23">
        <v>4</v>
      </c>
      <c r="S50" s="499">
        <v>12</v>
      </c>
      <c r="T50" s="500">
        <f>IF(BearingDist=S50,1,0)</f>
        <v>1</v>
      </c>
    </row>
    <row r="51" spans="2:20" ht="12.75" customHeight="1">
      <c r="B51" s="383"/>
      <c r="C51" s="383"/>
      <c r="D51" s="4" t="s">
        <v>74</v>
      </c>
      <c r="E51" s="1336">
        <f>VLOOKUP(E50,Reference!H6:K60,3,FALSE)</f>
        <v>36</v>
      </c>
      <c r="F51" s="1336">
        <f>VLOOKUP(F50,Reference!H6:K60,3,FALSE)</f>
        <v>36</v>
      </c>
      <c r="G51" s="1336">
        <f>VLOOKUP(G50,Reference!H6:K60,3,FALSE)</f>
        <v>42</v>
      </c>
      <c r="H51" s="5"/>
      <c r="I51" s="662"/>
      <c r="J51" s="7" t="str">
        <f>IF(rail3rd="None","","Fwd Span (from/to)")</f>
        <v>Fwd Span (from/to)</v>
      </c>
      <c r="K51" s="23">
        <v>2</v>
      </c>
      <c r="L51" s="23">
        <v>5</v>
      </c>
      <c r="S51" s="499">
        <v>10</v>
      </c>
      <c r="T51" s="500">
        <f>IF(ColSpa1=S51,1,0)</f>
        <v>0</v>
      </c>
    </row>
    <row r="52" spans="2:20" ht="12.75" customHeight="1">
      <c r="B52" s="383"/>
      <c r="C52" s="383"/>
      <c r="D52" s="4" t="s">
        <v>75</v>
      </c>
      <c r="E52" s="1336">
        <f>VLOOKUP(E50,Reference!H6:K60,2,FALSE)</f>
        <v>1</v>
      </c>
      <c r="F52" s="1336">
        <f>VLOOKUP(F50,Reference!H6:K60,2,FALSE)</f>
        <v>1</v>
      </c>
      <c r="G52" s="1336">
        <f>VLOOKUP(G50,Reference!H6:K60,2,FALSE)</f>
        <v>2</v>
      </c>
      <c r="H52" s="5"/>
      <c r="I52" s="383"/>
      <c r="J52" s="383"/>
      <c r="K52" s="383"/>
      <c r="L52" s="383"/>
      <c r="S52" s="499">
        <v>28</v>
      </c>
      <c r="T52" s="500">
        <f>IF(ColSpa2=S52,1,0)</f>
        <v>0</v>
      </c>
    </row>
    <row r="53" spans="2:20" ht="12.75" customHeight="1">
      <c r="B53" s="383"/>
      <c r="C53" s="383"/>
      <c r="D53" s="4" t="s">
        <v>76</v>
      </c>
      <c r="E53" s="1336">
        <f>VLOOKUP(E50,Reference!H6:K60,4,FALSE)</f>
        <v>376</v>
      </c>
      <c r="F53" s="1336">
        <f>VLOOKUP(F50,Reference!H6:K60,4,FALSE)</f>
        <v>376</v>
      </c>
      <c r="G53" s="1336">
        <f>VLOOKUP(G50,Reference!H6:K60,4,FALSE)</f>
        <v>717</v>
      </c>
      <c r="H53" s="6"/>
      <c r="I53" s="383"/>
      <c r="J53" s="383"/>
      <c r="K53" s="383"/>
      <c r="L53" s="383"/>
      <c r="O53" s="570" t="b">
        <v>1</v>
      </c>
      <c r="P53" s="571" t="b">
        <v>1</v>
      </c>
      <c r="S53" s="499">
        <v>0</v>
      </c>
      <c r="T53" s="500">
        <f>IF(ColSpa3=S53,1,0)</f>
        <v>1</v>
      </c>
    </row>
    <row r="54" spans="2:20" ht="14.25" customHeight="1">
      <c r="B54" s="383"/>
      <c r="C54" s="722"/>
      <c r="D54" s="722"/>
      <c r="E54" s="299"/>
      <c r="F54" s="7" t="s">
        <v>1070</v>
      </c>
      <c r="G54" s="1336">
        <f>MAX(E51,F51,G51)</f>
        <v>42</v>
      </c>
      <c r="H54" s="6" t="s">
        <v>155</v>
      </c>
      <c r="I54" s="383"/>
      <c r="J54" s="383"/>
      <c r="K54" s="383"/>
      <c r="L54" s="383"/>
      <c r="M54" s="1031"/>
      <c r="S54" s="499">
        <v>0</v>
      </c>
      <c r="T54" s="500">
        <f>IF(ColSpa4=S54,1,0)</f>
        <v>1</v>
      </c>
    </row>
    <row r="55" spans="2:20" ht="12.75" customHeight="1">
      <c r="B55" s="713" t="s">
        <v>1106</v>
      </c>
      <c r="C55" s="383"/>
      <c r="D55" s="714"/>
      <c r="E55" s="383"/>
      <c r="F55" s="383"/>
      <c r="G55" s="383"/>
      <c r="H55" s="383"/>
      <c r="I55" s="662"/>
      <c r="J55" s="6" t="str">
        <f>IF(sdwkwidth=0,"","Distribute Sidewalk to Beams:")</f>
        <v/>
      </c>
      <c r="K55" s="662"/>
      <c r="L55" s="662"/>
      <c r="S55" s="499">
        <v>0</v>
      </c>
      <c r="T55" s="500">
        <f>IF(ColSpa5=S55,1,0)</f>
        <v>1</v>
      </c>
    </row>
    <row r="56" spans="2:20" ht="12.75" customHeight="1">
      <c r="B56" s="383"/>
      <c r="C56" s="383"/>
      <c r="D56" s="715" t="s">
        <v>1107</v>
      </c>
      <c r="E56" s="9">
        <v>0</v>
      </c>
      <c r="F56" s="5" t="s">
        <v>156</v>
      </c>
      <c r="G56" s="715" t="s">
        <v>1109</v>
      </c>
      <c r="H56" s="9">
        <v>0.15</v>
      </c>
      <c r="I56" s="6" t="str">
        <f>IF(sdwkwidth=0,"kcf","kcf      Back Span (from/to)")</f>
        <v>kcf</v>
      </c>
      <c r="J56" s="1072"/>
      <c r="K56" s="23"/>
      <c r="L56" s="23"/>
      <c r="O56" s="570" t="b">
        <v>1</v>
      </c>
      <c r="P56" s="571" t="b">
        <v>1</v>
      </c>
      <c r="S56" s="499">
        <v>0</v>
      </c>
      <c r="T56" s="500">
        <f>IF(ColSpa6=S56,1,0)</f>
        <v>1</v>
      </c>
    </row>
    <row r="57" spans="2:20" ht="12.75" customHeight="1">
      <c r="B57" s="383"/>
      <c r="C57" s="383"/>
      <c r="D57" s="715" t="s">
        <v>1108</v>
      </c>
      <c r="E57" s="8">
        <v>0.5</v>
      </c>
      <c r="F57" s="5" t="s">
        <v>156</v>
      </c>
      <c r="G57" s="715" t="s">
        <v>1110</v>
      </c>
      <c r="H57" s="383">
        <f>E56*E57*H56</f>
        <v>0</v>
      </c>
      <c r="I57" s="6" t="str">
        <f>IF(sdwkwidth=0,"klf","klf      Fwd Span (from/to)")</f>
        <v>klf</v>
      </c>
      <c r="J57" s="1072"/>
      <c r="K57" s="23"/>
      <c r="L57" s="23"/>
      <c r="S57" s="499">
        <v>0</v>
      </c>
      <c r="T57" s="500">
        <f>IF(ColSpa7=S57,1,0)</f>
        <v>1</v>
      </c>
    </row>
    <row r="58" spans="2:20" ht="15" customHeight="1">
      <c r="B58" s="722"/>
      <c r="C58" s="717"/>
      <c r="D58" s="717"/>
      <c r="E58" s="717"/>
      <c r="F58" s="662"/>
      <c r="G58" s="383"/>
      <c r="H58" s="383"/>
      <c r="I58" s="383"/>
      <c r="J58" s="383"/>
      <c r="K58" s="383"/>
      <c r="L58" s="383"/>
      <c r="O58" s="666" t="b">
        <v>0</v>
      </c>
      <c r="S58" s="500">
        <v>0</v>
      </c>
      <c r="T58" s="500">
        <f>IF(ColSpa8=S58,1,0)</f>
        <v>1</v>
      </c>
    </row>
    <row r="59" spans="2:20" ht="12.75" customHeight="1" thickBot="1">
      <c r="B59" s="713" t="s">
        <v>228</v>
      </c>
      <c r="C59" s="383"/>
      <c r="D59" s="383"/>
      <c r="E59" s="383"/>
      <c r="F59" s="383"/>
      <c r="G59" s="383"/>
      <c r="H59" s="383"/>
      <c r="I59" s="383"/>
      <c r="J59" s="383"/>
      <c r="K59" s="383"/>
      <c r="L59" s="383"/>
      <c r="S59" s="500">
        <v>0</v>
      </c>
      <c r="T59" s="500">
        <f>IF(ColSpa9=S59,1,0)</f>
        <v>1</v>
      </c>
    </row>
    <row r="60" spans="2:20" ht="12.75" customHeight="1" thickTop="1" thickBot="1">
      <c r="B60" s="508"/>
      <c r="C60" s="509" t="s">
        <v>191</v>
      </c>
      <c r="D60" s="1506" t="s">
        <v>1311</v>
      </c>
      <c r="E60" s="1507"/>
      <c r="F60" s="383"/>
      <c r="G60" s="510"/>
      <c r="H60" s="508"/>
      <c r="I60" s="511"/>
      <c r="J60" s="383"/>
      <c r="K60" s="383"/>
      <c r="L60" s="383"/>
      <c r="N60" s="1473" t="s">
        <v>1103</v>
      </c>
      <c r="O60" s="1474"/>
      <c r="P60" s="1474"/>
      <c r="Q60" s="1474"/>
      <c r="R60" s="1475"/>
      <c r="S60" s="500">
        <v>0</v>
      </c>
      <c r="T60" s="500">
        <f>IF(ColSpa10=S60,1,0)</f>
        <v>1</v>
      </c>
    </row>
    <row r="61" spans="2:20" ht="12.75" customHeight="1" thickTop="1">
      <c r="B61" s="383"/>
      <c r="C61" s="11" t="s">
        <v>229</v>
      </c>
      <c r="D61" s="383"/>
      <c r="E61" s="383"/>
      <c r="F61" s="1208" t="s">
        <v>486</v>
      </c>
      <c r="G61" s="10">
        <v>150</v>
      </c>
      <c r="H61" s="1207" t="s">
        <v>197</v>
      </c>
      <c r="I61" s="383"/>
      <c r="J61" s="383"/>
      <c r="K61" s="383"/>
      <c r="L61" s="383"/>
      <c r="N61" s="1480" t="str">
        <f>IF(CapDataSht=FALSE,"",IF(CAP18comptot=0,"Input Geometry is newer than CAP18 Output!",""))</f>
        <v/>
      </c>
      <c r="O61" s="1481"/>
      <c r="P61" s="1481"/>
      <c r="Q61" s="1481"/>
      <c r="R61" s="1482"/>
      <c r="S61" s="813">
        <v>3</v>
      </c>
      <c r="T61" s="500">
        <f>IF(BBSPA1=S61,1,0)</f>
        <v>1</v>
      </c>
    </row>
    <row r="62" spans="2:20" ht="14.25" customHeight="1" thickBot="1">
      <c r="B62" s="383"/>
      <c r="C62" s="383"/>
      <c r="D62" s="383"/>
      <c r="E62" s="383"/>
      <c r="F62" s="1208" t="s">
        <v>194</v>
      </c>
      <c r="G62" s="8">
        <v>3.6</v>
      </c>
      <c r="H62" s="1207" t="s">
        <v>1303</v>
      </c>
      <c r="I62" s="38">
        <f>120000*(((G61-5)/1000)^2)*(G62)^0.33</f>
        <v>3850.3222213758031</v>
      </c>
      <c r="J62" s="1210" t="s">
        <v>1399</v>
      </c>
      <c r="K62" s="383"/>
      <c r="L62" s="383"/>
      <c r="M62" s="1226"/>
      <c r="N62" s="1483"/>
      <c r="O62" s="1484"/>
      <c r="P62" s="1484"/>
      <c r="Q62" s="1484"/>
      <c r="R62" s="1485"/>
      <c r="S62" s="813">
        <v>8.8000000000000007</v>
      </c>
      <c r="T62" s="500">
        <f>IF(BBSPA2=S62,1,0)</f>
        <v>0</v>
      </c>
    </row>
    <row r="63" spans="2:20" ht="12.75" customHeight="1" thickTop="1">
      <c r="B63" s="383"/>
      <c r="C63" s="383"/>
      <c r="D63" s="383"/>
      <c r="E63" s="383"/>
      <c r="F63" s="1208" t="s">
        <v>195</v>
      </c>
      <c r="G63" s="8">
        <v>60</v>
      </c>
      <c r="H63" s="1207" t="s">
        <v>1304</v>
      </c>
      <c r="I63" s="5">
        <v>29000</v>
      </c>
      <c r="J63" s="1209" t="s">
        <v>196</v>
      </c>
      <c r="K63" s="383"/>
      <c r="L63" s="383"/>
      <c r="N63" s="1487" t="s">
        <v>296</v>
      </c>
      <c r="O63" s="1488"/>
      <c r="P63" s="1488"/>
      <c r="Q63" s="1488"/>
      <c r="R63" s="512"/>
      <c r="S63" s="813">
        <v>8.8000000000000007</v>
      </c>
      <c r="T63" s="500">
        <f>IF(BBSPA3=S63,1,0)</f>
        <v>0</v>
      </c>
    </row>
    <row r="64" spans="2:20" ht="12.75" customHeight="1">
      <c r="B64" s="383"/>
      <c r="C64" s="383"/>
      <c r="D64" s="383"/>
      <c r="E64" s="383"/>
      <c r="F64" s="1211" t="s">
        <v>509</v>
      </c>
      <c r="G64" s="665" t="s">
        <v>1624</v>
      </c>
      <c r="H64" s="5"/>
      <c r="I64" s="1078"/>
      <c r="J64" s="1077" t="str">
        <f>IF(ComplexGeom=TRUE,"","Bk Bnt")</f>
        <v>Bk Bnt</v>
      </c>
      <c r="K64" s="1077" t="str">
        <f>IF(ComplexGeom=TRUE,"","Fwd Bnt")</f>
        <v>Fwd Bnt</v>
      </c>
      <c r="L64" s="383"/>
      <c r="N64" s="513" t="s">
        <v>976</v>
      </c>
      <c r="O64" s="514">
        <f>BkSpanDW+BkSpanDC+FwdSpanDW+FwdSpanDC+CapWeight+'Conc DL'!G117+K78*(G77+G78)*capdensity/1000</f>
        <v>1337.96875</v>
      </c>
      <c r="P64" s="515" t="s">
        <v>341</v>
      </c>
      <c r="Q64" s="388"/>
      <c r="R64" s="516"/>
      <c r="S64" s="813">
        <v>8.8000000000000007</v>
      </c>
      <c r="T64" s="500">
        <f>IF(BBSPA4=S64,1,0)</f>
        <v>0</v>
      </c>
    </row>
    <row r="65" spans="1:25" ht="12.75" customHeight="1">
      <c r="A65" s="1032" t="str">
        <f>IF(AND(ABS(BentSkew)&gt;15,NoSupports=1,CapDataSht=TRUE),"NOTE: Skew &gt; 15 degrees.","")</f>
        <v/>
      </c>
      <c r="B65" s="383"/>
      <c r="C65" s="383"/>
      <c r="D65" s="383"/>
      <c r="E65" s="383"/>
      <c r="F65" s="1208" t="s">
        <v>548</v>
      </c>
      <c r="G65" s="1076">
        <v>0</v>
      </c>
      <c r="H65" s="723" t="s">
        <v>1244</v>
      </c>
      <c r="I65" s="715"/>
      <c r="J65" s="1076">
        <v>0</v>
      </c>
      <c r="K65" s="1076">
        <v>0</v>
      </c>
      <c r="L65" s="383"/>
      <c r="N65" s="513" t="str">
        <f>IF(D60="Rectangular","CAP18 output =","")</f>
        <v>CAP18 output =</v>
      </c>
      <c r="O65" s="514">
        <f>IF(R66=0,"",'CAP18 Out(2)'!E23)</f>
        <v>0</v>
      </c>
      <c r="P65" s="515" t="str">
        <f>IF(R66=0,"",IF(D60="Rectangular","k",""))</f>
        <v>k</v>
      </c>
      <c r="Q65" s="517"/>
      <c r="R65" s="518"/>
      <c r="S65" s="813">
        <v>8.8000000000000007</v>
      </c>
      <c r="T65" s="500">
        <f>IF(BBSPA5=S65,1,0)</f>
        <v>0</v>
      </c>
    </row>
    <row r="66" spans="1:25" ht="12.75" customHeight="1" thickBot="1">
      <c r="A66" s="1032" t="str">
        <f>IF(AND(ABS(BentSkew)&gt;15,NoSupports=1,CapDataSht=TRUE),"LL DF do not consider effects","")</f>
        <v/>
      </c>
      <c r="B66" s="383"/>
      <c r="C66" s="383"/>
      <c r="D66" s="383"/>
      <c r="E66" s="383"/>
      <c r="F66" s="1208" t="s">
        <v>192</v>
      </c>
      <c r="G66" s="1337">
        <v>48</v>
      </c>
      <c r="H66" s="233" t="s">
        <v>156</v>
      </c>
      <c r="I66" s="972"/>
      <c r="J66" s="1015" t="s">
        <v>642</v>
      </c>
      <c r="K66" s="8">
        <v>0</v>
      </c>
      <c r="L66" s="383" t="s">
        <v>155</v>
      </c>
      <c r="N66" s="513" t="str">
        <f>IF(D60="Rectangular","Difference =","")</f>
        <v>Difference =</v>
      </c>
      <c r="O66" s="904" t="str">
        <f>IF(R66=0,"",IF(NoSupports=1,"N/A",(O64-O65)/O64))</f>
        <v>N/A</v>
      </c>
      <c r="P66" s="519"/>
      <c r="Q66" s="520">
        <f>SUM(T:T)</f>
        <v>93</v>
      </c>
      <c r="R66" s="521">
        <v>1</v>
      </c>
      <c r="S66" s="813">
        <v>8.8000000000000007</v>
      </c>
      <c r="T66" s="500">
        <f>IF(BBSPA6=S66,1,0)</f>
        <v>0</v>
      </c>
    </row>
    <row r="67" spans="1:25" ht="12.75" customHeight="1" thickTop="1">
      <c r="A67" s="1032" t="str">
        <f>IF(AND(ABS(BentSkew)&gt;15,NoSupports=1,CapDataSht=TRUE),"due to skewed condition.","")</f>
        <v/>
      </c>
      <c r="B67" s="383"/>
      <c r="C67" s="383"/>
      <c r="D67" s="383"/>
      <c r="E67" s="383"/>
      <c r="F67" s="1237" t="s">
        <v>1225</v>
      </c>
      <c r="G67" s="839">
        <f>IF(ComplexGeom=FALSE,(PGLdist+OSOHBack)/COS(RADIANS(BentSkew)),Cmplx_Bk_PGLBm1)</f>
        <v>-20</v>
      </c>
      <c r="H67" s="1086" t="s">
        <v>1306</v>
      </c>
      <c r="I67" s="383"/>
      <c r="J67" s="1015" t="str">
        <f>IF(D60="Inverted-Tee","Ledge Depth =",IF(D60="Tee","Top Fl Depth",""))</f>
        <v/>
      </c>
      <c r="K67" s="28"/>
      <c r="L67" s="383" t="str">
        <f>IF(D60&lt;&gt;"Rectangular","in","")</f>
        <v/>
      </c>
      <c r="N67" s="1487" t="s">
        <v>1087</v>
      </c>
      <c r="O67" s="1488"/>
      <c r="P67" s="1488"/>
      <c r="Q67" s="1488"/>
      <c r="R67" s="1489"/>
      <c r="S67" s="500">
        <v>0</v>
      </c>
      <c r="T67" s="500">
        <f>IF(BBSPA7=S67,1,0)</f>
        <v>1</v>
      </c>
    </row>
    <row r="68" spans="1:25" ht="12.75" customHeight="1">
      <c r="A68" s="1031" t="str">
        <f>IF(INT(caplength*2)&lt;&gt;caplength*2,"Cap lengths should be","")</f>
        <v/>
      </c>
      <c r="B68" s="383"/>
      <c r="C68" s="383"/>
      <c r="D68" s="383"/>
      <c r="E68" s="383"/>
      <c r="F68" s="1237" t="s">
        <v>1429</v>
      </c>
      <c r="G68" s="1341">
        <f>IF(ComplexGeom=FALSE,(caplength-(BkBms-1)*BkSpa/COS(RADIANS(BentSkew)))*0.5,(caplength-SUM(bckspanspa))/2)</f>
        <v>2</v>
      </c>
      <c r="H68" s="48" t="s">
        <v>1</v>
      </c>
      <c r="I68" s="383"/>
      <c r="J68" s="1015" t="str">
        <f>IF(D60="Inverted-Tee","Total Cap Width @ bot =",IF(D60="Tee","Top Flange Width",""))</f>
        <v/>
      </c>
      <c r="K68" s="28"/>
      <c r="L68" s="5" t="str">
        <f>IF(D60&lt;&gt;"Rectangular","in","")</f>
        <v/>
      </c>
      <c r="N68" s="522"/>
      <c r="O68" s="1492" t="s">
        <v>678</v>
      </c>
      <c r="P68" s="1493"/>
      <c r="Q68" s="1490" t="s">
        <v>679</v>
      </c>
      <c r="R68" s="1491"/>
      <c r="S68" s="500">
        <v>0</v>
      </c>
      <c r="T68" s="500">
        <f>IF(BBSPA8=S68,1,0)</f>
        <v>1</v>
      </c>
    </row>
    <row r="69" spans="1:25" ht="12.75" customHeight="1">
      <c r="A69" s="1031" t="str">
        <f>IF(INT(caplength*2)&lt;&gt;caplength*2,"rounded to 6'' increments.","")</f>
        <v/>
      </c>
      <c r="B69" s="383"/>
      <c r="C69" s="383"/>
      <c r="D69" s="383"/>
      <c r="E69" s="383"/>
      <c r="F69" s="1237" t="s">
        <v>1428</v>
      </c>
      <c r="G69" s="1338">
        <f>IF(ComplexGeom=FALSE,(caplength-(FdBms-1)*FdSpa/COS(RADIANS(BentSkew)))*0.5,(caplength-SUM(fwdspanspa))/2)</f>
        <v>2</v>
      </c>
      <c r="H69" s="48" t="s">
        <v>1</v>
      </c>
      <c r="I69" s="383"/>
      <c r="J69" s="1015" t="s">
        <v>1565</v>
      </c>
      <c r="K69" s="8">
        <v>12</v>
      </c>
      <c r="L69" s="233" t="s">
        <v>155</v>
      </c>
      <c r="M69" s="1304" t="s">
        <v>1472</v>
      </c>
      <c r="N69" s="524" t="s">
        <v>681</v>
      </c>
      <c r="O69" s="525" t="str">
        <f>IF(R66=0,"",IF(LEFT('Bars A'!L24,3)="Yes","P","O"))</f>
        <v>P</v>
      </c>
      <c r="P69" s="526"/>
      <c r="Q69" s="525" t="str">
        <f>IF(R66=0,"",IF(LEFT('Bars B'!L24,3)="Yes","P","O"))</f>
        <v>P</v>
      </c>
      <c r="R69" s="527"/>
      <c r="S69" s="500">
        <v>0</v>
      </c>
      <c r="T69" s="500">
        <f>IF(BBSPA9=S69,1,0)</f>
        <v>1</v>
      </c>
      <c r="W69" s="1226"/>
    </row>
    <row r="70" spans="1:25" ht="12.75" customHeight="1">
      <c r="A70" s="1067" t="str">
        <f>IF(AND(CapType&lt;&gt;"Rectangular",OR(LEFT(bkspangirder,1)="U",LEFT(fdspangirder,1)="U")),"See BDM for minimum.","")</f>
        <v/>
      </c>
      <c r="B70" s="383"/>
      <c r="C70" s="383"/>
      <c r="D70" s="383"/>
      <c r="E70" s="383"/>
      <c r="F70" s="1237" t="s">
        <v>1559</v>
      </c>
      <c r="G70" s="1245">
        <f>IF(ComplexGeom=FALSE,caplength-BkBm1toCapEnd-(BkBms-1)*BkSpa/COS(RADIANS(BentSkew)),caplength-SUM(bckspanspa)-BkBm1toCapEnd)</f>
        <v>2</v>
      </c>
      <c r="H70" s="48" t="s">
        <v>1</v>
      </c>
      <c r="I70" s="336"/>
      <c r="J70" s="336"/>
      <c r="K70" s="383"/>
      <c r="L70" s="383"/>
      <c r="N70" s="524" t="s">
        <v>672</v>
      </c>
      <c r="O70" s="528" t="str">
        <f>IF(R66=0,"",IF(RIGHT('Bars A'!L30,2)="OK","P","O"))</f>
        <v>O</v>
      </c>
      <c r="P70" s="526">
        <f>IF(R66=0,"",'Bars A'!D30)</f>
        <v>5.6409360624528411</v>
      </c>
      <c r="Q70" s="529" t="e">
        <f>IF(R66=0,"",IF(RIGHT('Bars B'!L30,2)="OK","P","O"))</f>
        <v>#VALUE!</v>
      </c>
      <c r="R70" s="527" t="e">
        <f>IF(R66=0,"",'Bars B'!D30)</f>
        <v>#VALUE!</v>
      </c>
      <c r="S70" s="500">
        <v>0</v>
      </c>
      <c r="T70" s="500">
        <f>IF(BBSPA10=S70,1,0)</f>
        <v>1</v>
      </c>
      <c r="W70" s="1226"/>
    </row>
    <row r="71" spans="1:25" ht="12.75" customHeight="1">
      <c r="A71" s="1067"/>
      <c r="B71" s="383"/>
      <c r="C71" s="383"/>
      <c r="D71" s="383"/>
      <c r="E71" s="383"/>
      <c r="F71" s="1237" t="s">
        <v>1560</v>
      </c>
      <c r="G71" s="1245">
        <f>IF(ComplexGeom=FALSE,caplength-Bm1toCapEnd-(FdBms-1)*FdSpa/COS(RADIANS(BentSkew)),caplength-SUM(fwdspanspa)-Bm1toCapEnd)</f>
        <v>2</v>
      </c>
      <c r="H71" s="48" t="s">
        <v>1</v>
      </c>
      <c r="I71" s="336"/>
      <c r="J71" s="48"/>
      <c r="K71" s="383"/>
      <c r="L71" s="383"/>
      <c r="M71" s="530"/>
      <c r="N71" s="524" t="s">
        <v>680</v>
      </c>
      <c r="O71" s="528" t="str">
        <f>IF(R66=0,"",IF(RIGHT('Bars A'!J40,2)="OK","P","O"))</f>
        <v>P</v>
      </c>
      <c r="P71" s="526">
        <f>IF(R66=0,"",'Bars A'!H40)</f>
        <v>0.48200144622597513</v>
      </c>
      <c r="Q71" s="529" t="e">
        <f>IF(R66=0,"",IF(RIGHT('Bars B'!J40,2)="OK","P","O"))</f>
        <v>#VALUE!</v>
      </c>
      <c r="R71" s="527" t="e">
        <f>IF(R66=0,"",'Bars B'!H40)</f>
        <v>#VALUE!</v>
      </c>
      <c r="S71" s="500">
        <v>0</v>
      </c>
      <c r="T71" s="500">
        <f>IF(BBSPA11=S71,1,0)</f>
        <v>1</v>
      </c>
    </row>
    <row r="72" spans="1:25" ht="12.75" customHeight="1">
      <c r="A72" s="523"/>
      <c r="B72" s="383"/>
      <c r="C72" s="383"/>
      <c r="D72" s="383"/>
      <c r="E72" s="383"/>
      <c r="F72" s="1347" t="s">
        <v>1561</v>
      </c>
      <c r="G72" s="1342">
        <f>MAX(IF(LEFT(bkspangirder,1)="U",G23/2+0.5,MAX(IF(ABS(BentSkew)&gt;30,((IF(OR(CapType="Tee",CapType="Inverted-Tee"),InvTeeBotWidth,capstemWidth))/2*TAN(RADIANS(ABS(BentSkew)))+H21/2/COS(RADIANS(ABS(BentSkew))))/12,(12*G23/2/COS(RADIANS(ABS(BentSkew)))+(IF(OR(CapType="Tee",CapType="Inverted-Tee"),InvTeeBotWidth,capstemWidth))*TAN(RADIANS(ABS(BentSkew)))/2+3)/12)+K66/12,1.75)),IF(LEFT(fdspangirder,1)="U",K23/2+0.5,MAX(IF(ABS(BentSkew)&gt;30,((IF(OR(CapType="Tee",CapType="Inverted-Tee"),InvTeeBotWidth,capstemWidth))/2*TAN(RADIANS(ABS(BentSkew)))+L21/2/COS(RADIANS(ABS(BentSkew))))/12,(12*K23/2/COS(RADIANS(ABS(BentSkew)))+(IF(OR(CapType="Tee",CapType="Inverted-Tee"),InvTeeBotWidth,capstemWidth))*TAN(RADIANS(ABS(BentSkew)))/2+3)/12)+K66/12,1.75)))+Earwall_Left</f>
        <v>1.75</v>
      </c>
      <c r="H72" s="5" t="s">
        <v>156</v>
      </c>
      <c r="I72" s="838" t="str">
        <f>IF(G72&gt;MIN(G68:G69),"End distances are too small, Increase cap length","")</f>
        <v/>
      </c>
      <c r="J72" s="383"/>
      <c r="K72" s="383"/>
      <c r="L72" s="383"/>
      <c r="M72" s="530"/>
      <c r="N72" s="524" t="s">
        <v>691</v>
      </c>
      <c r="O72" s="528" t="str">
        <f>IF(R66=0,"",IF(RIGHT('Bars A'!L43,2)="OK","P","O"))</f>
        <v>P</v>
      </c>
      <c r="P72" s="531">
        <f>IF(R66=0,"",'Bars A'!F44+VLOOKUP('Bars A'!F10,BarTable,2,FALSE))</f>
        <v>6.7628571428571433</v>
      </c>
      <c r="Q72" s="529" t="str">
        <f>IF(R66=0,"",IF(RIGHT('Bars B'!L43,2)="OK","P","O"))</f>
        <v>P</v>
      </c>
      <c r="R72" s="532">
        <f>IF(R66=0,"",'Bars B'!F44+VLOOKUP('Bars B'!F10,BarTable,2,FALSE))</f>
        <v>5.2600000000000007</v>
      </c>
      <c r="S72" s="500">
        <v>0</v>
      </c>
      <c r="T72" s="500">
        <f>IF(BBSPA12=S72,1,0)</f>
        <v>1</v>
      </c>
    </row>
    <row r="73" spans="1:25" ht="12.75" customHeight="1">
      <c r="A73" s="523"/>
      <c r="B73" s="383"/>
      <c r="C73" s="383"/>
      <c r="D73" s="383"/>
      <c r="E73" s="383"/>
      <c r="F73" s="1347" t="s">
        <v>1562</v>
      </c>
      <c r="G73" s="1342">
        <f>MAX(IF(LEFT(bkspangirder,1)="U",G23/2+0.5,MAX(IF(ABS(BentSkew)&gt;30,((IF(OR(CapType="Tee",CapType="Inverted-Tee"),InvTeeBotWidth,capstemWidth))/2*TAN(RADIANS(ABS(BentSkew)))+H21/2/COS(RADIANS(ABS(BentSkew))))/12,(12*G23/2/COS(RADIANS(ABS(BentSkew)))+(IF(OR(CapType="Tee",CapType="Inverted-Tee"),InvTeeBotWidth,capstemWidth))*TAN(RADIANS(ABS(BentSkew)))/2+3)/12)+K66/12,1.75)),IF(LEFT(fdspangirder,1)="U",K23/2+0.5,MAX(IF(ABS(BentSkew)&gt;30,((IF(OR(CapType="Tee",CapType="Inverted-Tee"),InvTeeBotWidth,capstemWidth))/2*TAN(RADIANS(ABS(BentSkew)))+L21/2/COS(RADIANS(ABS(BentSkew))))/12,(12*K23/2/COS(RADIANS(ABS(BentSkew)))+(IF(OR(CapType="Tee",CapType="Inverted-Tee"),InvTeeBotWidth,capstemWidth))*TAN(RADIANS(ABS(BentSkew)))/2+3)/12)+K66/12,1.75)))+Earwall_Right</f>
        <v>1.75</v>
      </c>
      <c r="H73" s="5" t="s">
        <v>156</v>
      </c>
      <c r="I73" s="838" t="str">
        <f>IF(G73&gt;MIN(G70:G71),"End distances are too small, Increase cap length","")</f>
        <v/>
      </c>
      <c r="J73" s="383"/>
      <c r="K73" s="383"/>
      <c r="L73" s="383"/>
      <c r="M73" s="530"/>
      <c r="N73" s="524" t="s">
        <v>690</v>
      </c>
      <c r="O73" s="528" t="str">
        <f>IF(R66=0,"",IF(RIGHT('Bars A'!L52,2)="OK","P","O"))</f>
        <v>P</v>
      </c>
      <c r="P73" s="531">
        <f>IF(R66=0,"",IF(MAX('Bars A'!H10:H12)=2,"N/A",'Bars A'!F49+2*VLOOKUP('Bars A'!F10,BarTable,2,FALSE)))</f>
        <v>15.31</v>
      </c>
      <c r="Q73" s="529" t="str">
        <f>IF(R66=0,"",IF(RIGHT('Bars B'!L52,2)="OK","P","O"))</f>
        <v>P</v>
      </c>
      <c r="R73" s="532">
        <f>IF(R66=0,"",IF(MAX('Bars B'!H10:H12)=2,"N/A",'Bars B'!F49+2*VLOOKUP('Bars B'!F10,BarTable,2,FALSE)))</f>
        <v>11.4825</v>
      </c>
      <c r="S73" s="500">
        <v>0</v>
      </c>
      <c r="T73" s="500">
        <f>IF(BBSPA13=S73,1,0)</f>
        <v>1</v>
      </c>
    </row>
    <row r="74" spans="1:25" ht="12.75" customHeight="1">
      <c r="A74" s="523"/>
      <c r="B74" s="383"/>
      <c r="C74" s="1346" t="str">
        <f>IF(AND(LEFT(bkspangirder,1)="U",LEFT(fdspangirder,1)="U"),"",IF(BentSkew&lt;=30,"Minimum Distance Required = {MAX(1.75 ft , brg st width / 2 / COS(BentSkew) + CapWidth*TAN(BentSkew) / 2 + 3 inches + "&amp;K66&amp;" inches + Earwall)","Minimum Distance Required = {MAX(1.75 ft , bm bot flg width / 2 / COS(BentSkew) + CapWidth*TAN(BentSkew) / 2 + "&amp;K66&amp;" inches + Earwall)"))</f>
        <v>Minimum Distance Required = {MAX(1.75 ft , brg st width / 2 / COS(BentSkew) + CapWidth*TAN(BentSkew) / 2 + 3 inches + 0 inches + Earwall)</v>
      </c>
      <c r="D74" s="383"/>
      <c r="E74" s="383"/>
      <c r="F74" s="383"/>
      <c r="G74" s="383"/>
      <c r="H74" s="383"/>
      <c r="I74" s="383"/>
      <c r="J74" s="383"/>
      <c r="K74" s="383"/>
      <c r="L74" s="383"/>
      <c r="M74" s="530"/>
      <c r="N74" s="524" t="s">
        <v>1248</v>
      </c>
      <c r="O74" s="528" t="str">
        <f>IF(R66=0,"",IF(RIGHT('Bars A'!L65,2)="OK","P","O"))</f>
        <v>O</v>
      </c>
      <c r="P74" s="526">
        <f>IF(R66=0,"",P75)</f>
        <v>6.0573774751596066</v>
      </c>
      <c r="Q74" s="529" t="e">
        <f>IF(R66=0,"",IF(RIGHT('Bars B'!L65,2)="OK","P","O"))</f>
        <v>#VALUE!</v>
      </c>
      <c r="R74" s="527" t="e">
        <f>IF(R66=0,"",R75)</f>
        <v>#VALUE!</v>
      </c>
      <c r="S74" s="500">
        <v>0</v>
      </c>
      <c r="T74" s="500">
        <f>IF(BBSPA14=S74,1,0)</f>
        <v>1</v>
      </c>
      <c r="X74" s="533"/>
      <c r="Y74" s="533"/>
    </row>
    <row r="75" spans="1:25" ht="12.75" customHeight="1">
      <c r="B75" s="383"/>
      <c r="C75" s="383"/>
      <c r="D75" s="383"/>
      <c r="E75" s="383"/>
      <c r="F75" s="4" t="s">
        <v>438</v>
      </c>
      <c r="G75" s="8">
        <v>60</v>
      </c>
      <c r="H75" s="233" t="str">
        <f>"in  ("&amp;ROUND(capheight/12,2)&amp;"ft)"</f>
        <v>in  (5ft)</v>
      </c>
      <c r="I75" s="383"/>
      <c r="J75" s="1211" t="s">
        <v>232</v>
      </c>
      <c r="K75" s="1246">
        <f>IF(D60="Rectangular",capheight*capstemWidth,capheight*capstemWidth+CapLedgeDepth*(InvTeeBotWidth-capstemWidth))</f>
        <v>3240</v>
      </c>
      <c r="L75" s="6" t="s">
        <v>66</v>
      </c>
      <c r="M75" s="530"/>
      <c r="N75" s="524" t="s">
        <v>1248</v>
      </c>
      <c r="O75" s="528" t="str">
        <f>IF(R66=0,"",IF(RIGHT('Bars A'!L65,2)="OK","P","O"))</f>
        <v>O</v>
      </c>
      <c r="P75" s="526">
        <f>IF(R66=0,"",'Bars A'!H65)</f>
        <v>6.0573774751596066</v>
      </c>
      <c r="Q75" s="529" t="e">
        <f>IF(R66=0,"",IF(RIGHT('Bars B'!L65,2)="OK","P","O"))</f>
        <v>#VALUE!</v>
      </c>
      <c r="R75" s="527" t="e">
        <f>IF(R66=0,"",'Bars B'!H65)</f>
        <v>#VALUE!</v>
      </c>
      <c r="S75" s="500">
        <v>0</v>
      </c>
      <c r="T75" s="500">
        <f>IF(BBSPA15=S75,1,0)</f>
        <v>1</v>
      </c>
      <c r="X75" s="533"/>
      <c r="Y75" s="533"/>
    </row>
    <row r="76" spans="1:25" ht="12.75" customHeight="1">
      <c r="B76" s="383"/>
      <c r="C76" s="383"/>
      <c r="D76" s="383"/>
      <c r="E76" s="383"/>
      <c r="F76" s="4" t="str">
        <f>IF(D60&lt;&gt;"Rectangular","Stem Width =","Cap Width =")</f>
        <v>Cap Width =</v>
      </c>
      <c r="G76" s="8">
        <v>54</v>
      </c>
      <c r="H76" s="233" t="str">
        <f>"in  ("&amp;ROUND(capstemWidth/12,2)&amp;"ft)"</f>
        <v>in  (4.5ft)</v>
      </c>
      <c r="I76" s="383"/>
      <c r="J76" s="1208" t="s">
        <v>253</v>
      </c>
      <c r="K76" s="1343">
        <f>IF(D60="Rectangular",capheight/2,IF(CapType="Tee",((capheight*capstemWidth*capheight/2+(K68-capstemWidth)*K67*(K67/2))/(capheight*capstemWidth+(K68-capstemWidth)*K67)),((capheight*capstemWidth*capheight/2+(K68-capstemWidth)*K67*(capheight-(K67/2)))/(capheight*capstemWidth+(K68-capstemWidth)*K67))))</f>
        <v>30</v>
      </c>
      <c r="L76" s="5" t="s">
        <v>155</v>
      </c>
      <c r="M76" s="534"/>
      <c r="N76" s="524" t="s">
        <v>684</v>
      </c>
      <c r="O76" s="528" t="str">
        <f>IF(R66=0,"",IF(RIGHT('Bars A'!L75,2)="OK","P","O"))</f>
        <v>O</v>
      </c>
      <c r="P76" s="526"/>
      <c r="Q76" s="529" t="str">
        <f>IF(R66=0,"",IF(RIGHT('Bars B'!L75,2)="OK","P","O"))</f>
        <v>P</v>
      </c>
      <c r="R76" s="527"/>
      <c r="S76" s="500">
        <v>0</v>
      </c>
      <c r="T76" s="500">
        <f>IF(BBSPA16=S76,1,0)</f>
        <v>1</v>
      </c>
      <c r="U76" s="535"/>
      <c r="V76" s="536"/>
      <c r="W76" s="536"/>
    </row>
    <row r="77" spans="1:25" ht="12.75" customHeight="1">
      <c r="B77" s="383"/>
      <c r="C77" s="383"/>
      <c r="D77" s="383"/>
      <c r="E77" s="383"/>
      <c r="F77" s="4" t="str">
        <f>IF(D60&lt;&gt;"Inverted-Tee",IF(G77="","","Delete Value --&gt;"),"Earwall Width - Left =")</f>
        <v/>
      </c>
      <c r="G77" s="28"/>
      <c r="H77" s="5" t="str">
        <f>IF(D60&lt;&gt;"Inverted-Tee","","ft")</f>
        <v/>
      </c>
      <c r="I77" s="383"/>
      <c r="J77" s="1208" t="s">
        <v>234</v>
      </c>
      <c r="K77" s="1246">
        <f>IF(D60="Rectangular",(capstemWidth*capheight^3)/12,IF(CapType="Tee",(capstemWidth*((capheight-K67)^3)/12)+((capstemWidth*(capheight-K67))*(K76-((capheight-K67)/2+CapLedgeDepth))^2)+((K68*K67^3)/12)+(K67*K68*(K76-(K67/2))^2),(capstemWidth*((capheight-K67)^3)/12)+((capstemWidth*(capheight-K67))*(K76-(capheight-K67)/2)^2)+((K68*K67^3)/12)+(K67*K68*(K76-(capheight-K67/2))^2)))</f>
        <v>972000</v>
      </c>
      <c r="L77" s="5" t="s">
        <v>1400</v>
      </c>
      <c r="M77" s="534"/>
      <c r="N77" s="524" t="s">
        <v>682</v>
      </c>
      <c r="O77" s="528" t="str">
        <f>IF(R66=0,"",IF(RIGHT('Bars A'!L79,2)="OK","P","O"))</f>
        <v>P</v>
      </c>
      <c r="P77" s="526"/>
      <c r="Q77" s="529" t="str">
        <f>IF(R66=0,"",IF(RIGHT('Bars B'!L79,2)="OK","P","O"))</f>
        <v>P</v>
      </c>
      <c r="R77" s="527"/>
      <c r="S77" s="500">
        <v>0</v>
      </c>
      <c r="T77" s="500">
        <f>IF(BBSPA17=S77,1,0)</f>
        <v>1</v>
      </c>
      <c r="V77" s="537"/>
    </row>
    <row r="78" spans="1:25" ht="12.75" customHeight="1">
      <c r="B78" s="383"/>
      <c r="C78" s="383"/>
      <c r="D78" s="383"/>
      <c r="E78" s="383"/>
      <c r="F78" s="4" t="str">
        <f>IF(D60&lt;&gt;"Inverted-Tee",IF(G78="","","Delete Value --&gt;"),"Earwall Width - Right =")</f>
        <v/>
      </c>
      <c r="G78" s="28"/>
      <c r="H78" s="5" t="str">
        <f>IF(D60&lt;&gt;"Inverted-Tee","","ft")</f>
        <v/>
      </c>
      <c r="I78" s="383"/>
      <c r="J78" s="1208" t="str">
        <f>IF(D60&lt;&gt;"Inverted-Tee",IF(K78="","","Delete Value --&gt;"),"Earwall X-Sect. Area =")</f>
        <v/>
      </c>
      <c r="K78" s="28"/>
      <c r="L78" s="6" t="str">
        <f>IF(D60&lt;&gt;"Inverted-Tee","","sf")</f>
        <v/>
      </c>
      <c r="M78" s="538"/>
      <c r="N78" s="524" t="s">
        <v>683</v>
      </c>
      <c r="O78" s="539" t="str">
        <f>IF(R66=0,"",IF(AND(RIGHT('Bars A'!L82,2)="OK",(RIGHT('Bars A'!L79,2)="OK")),"P","O"))</f>
        <v>P</v>
      </c>
      <c r="P78" s="526"/>
      <c r="Q78" s="540" t="str">
        <f>IF(R66=0,"",IF(AND(RIGHT('Bars B'!L79,2)="OK",RIGHT('Bars B'!L82,2)="OK"),"P","O"))</f>
        <v>P</v>
      </c>
      <c r="R78" s="541">
        <f>COUNTIF(O77:O78,"P")+COUNTIF(Q77:Q78,"P")</f>
        <v>4</v>
      </c>
      <c r="S78" s="500">
        <v>0</v>
      </c>
      <c r="T78" s="500">
        <f>IF(BBSPA18=S78,1,0)</f>
        <v>1</v>
      </c>
      <c r="V78" s="537"/>
    </row>
    <row r="79" spans="1:25" ht="12.75" customHeight="1" thickBot="1">
      <c r="B79" s="383"/>
      <c r="C79" s="383"/>
      <c r="D79" s="383"/>
      <c r="E79" s="383"/>
      <c r="F79" s="4" t="s">
        <v>738</v>
      </c>
      <c r="G79" s="1249">
        <f>IF(OR(CapType="Rectangular",CapType="Tee"),(capheight+PedestalHt)/12,(K67+PedestalHt)/12)</f>
        <v>5.125</v>
      </c>
      <c r="H79" s="5" t="s">
        <v>1228</v>
      </c>
      <c r="I79" s="383"/>
      <c r="J79" s="4"/>
      <c r="K79" s="28"/>
      <c r="L79" s="6"/>
      <c r="M79" s="538"/>
      <c r="N79" s="542" t="s">
        <v>1084</v>
      </c>
      <c r="O79" s="543" t="str">
        <f>IF(R66=0,"",IF(COUNTIF(O69:O71,"P")+COUNTIF(O74:O78,"P")=8,IF(COUNTIF(O72:O73,"P")&gt;0,"Yes","No"),"No"))</f>
        <v>No</v>
      </c>
      <c r="P79" s="544"/>
      <c r="Q79" s="543" t="str">
        <f>IF(R66=0,"",IF(COUNTIF(Q69:Q71,"P")+COUNTIF(Q74:Q78,"P")=8,IF(COUNTIF(Q72:Q73,"P")&gt;0,"Yes","No"),"No"))</f>
        <v>No</v>
      </c>
      <c r="R79" s="545"/>
      <c r="S79" s="500">
        <v>0</v>
      </c>
      <c r="T79" s="500">
        <f>IF(BBSPA19=S79,1,0)</f>
        <v>1</v>
      </c>
      <c r="V79" s="537"/>
    </row>
    <row r="80" spans="1:25" ht="12.75" customHeight="1" thickTop="1">
      <c r="B80" s="383"/>
      <c r="C80" s="383"/>
      <c r="D80" s="383"/>
      <c r="E80" s="383"/>
      <c r="F80" s="383"/>
      <c r="G80" s="383"/>
      <c r="H80" s="383"/>
      <c r="I80" s="383"/>
      <c r="J80" s="383"/>
      <c r="K80" s="383"/>
      <c r="L80" s="383"/>
      <c r="M80" s="538"/>
      <c r="N80" s="1487" t="s">
        <v>1088</v>
      </c>
      <c r="O80" s="1488"/>
      <c r="P80" s="1488"/>
      <c r="Q80" s="1488"/>
      <c r="R80" s="512"/>
      <c r="S80" s="500">
        <v>0</v>
      </c>
      <c r="T80" s="500">
        <f>IF(BBSPA20=S80,1,0)</f>
        <v>1</v>
      </c>
      <c r="V80" s="537"/>
    </row>
    <row r="81" spans="2:22" ht="12.75" customHeight="1">
      <c r="B81" s="383"/>
      <c r="C81" s="724" t="str">
        <f>IF(CapDataSht=TRUE,"Flexural Reinforcement:","")</f>
        <v>Flexural Reinforcement:</v>
      </c>
      <c r="D81" s="383"/>
      <c r="E81" s="383"/>
      <c r="F81" s="557" t="str">
        <f>IF(NoSupports=1,"",IF(OR(CAP18comptot=1,CapDataSht=FALSE),"","Adjust Reinforcement after CAP18 has been Run"))</f>
        <v/>
      </c>
      <c r="G81" s="383"/>
      <c r="H81" s="383"/>
      <c r="I81" s="383"/>
      <c r="J81" s="383"/>
      <c r="K81" s="383"/>
      <c r="L81" s="383"/>
      <c r="M81" s="538"/>
      <c r="N81" s="513"/>
      <c r="O81" s="546" t="s">
        <v>1102</v>
      </c>
      <c r="P81" s="515"/>
      <c r="Q81" s="547" t="str">
        <f>IF(R66=0,"",IF(NoSupports=1,'Shear(S) '!G24,'Shear(M)'!G24))</f>
        <v>NG - Need to change θ(trial)</v>
      </c>
      <c r="R81" s="548"/>
      <c r="S81" s="499">
        <v>3</v>
      </c>
      <c r="T81" s="500">
        <f>IF(FBSPA1=S81,1,0)</f>
        <v>1</v>
      </c>
      <c r="V81" s="537"/>
    </row>
    <row r="82" spans="2:22" ht="12.75" customHeight="1" thickBot="1">
      <c r="B82" s="383"/>
      <c r="C82" s="383"/>
      <c r="D82" s="383"/>
      <c r="E82" s="976" t="str">
        <f>IF(CapDataSht=TRUE,"Top-Neg. Reinf. "&amp;IF(Atest4&lt;&gt;"P","(Bund)",""),"")</f>
        <v xml:space="preserve">Top-Neg. Reinf. </v>
      </c>
      <c r="F82" s="4" t="str">
        <f>IF(CapDataSht=TRUE,"Size:","")</f>
        <v>Size:</v>
      </c>
      <c r="G82" s="78" t="s">
        <v>401</v>
      </c>
      <c r="H82" s="383"/>
      <c r="I82" s="976" t="str">
        <f>IF(CapDataSht=TRUE,"Bot-Pos. Reinf. "&amp;IF(Btest4&lt;&gt;"P","(Bund)",""),"")</f>
        <v xml:space="preserve">Bot-Pos. Reinf. </v>
      </c>
      <c r="J82" s="4" t="str">
        <f>IF(CapDataSht=TRUE,"Size:","")</f>
        <v>Size:</v>
      </c>
      <c r="K82" s="78" t="s">
        <v>401</v>
      </c>
      <c r="L82" s="383"/>
      <c r="M82" s="538"/>
      <c r="N82" s="549"/>
      <c r="O82" s="550" t="s">
        <v>1086</v>
      </c>
      <c r="P82" s="551" t="str">
        <f>IF(R66=0,"","("&amp;IF(NoSupports&gt;1,'Shear(M)'!F51,'Shear(S) '!G47)&amp;"'')")</f>
        <v>(NG'')</v>
      </c>
      <c r="Q82" s="552" t="str">
        <f>IF(R66=0,"",IF(NoSupports=1,'Shear(S) '!I47,'Shear(M)'!H51))</f>
        <v>NG</v>
      </c>
      <c r="R82" s="553"/>
      <c r="S82" s="815">
        <v>8.8000000000000007</v>
      </c>
      <c r="T82" s="500">
        <f>IF(FBSPA2=S82,1,0)</f>
        <v>0</v>
      </c>
      <c r="V82" s="537"/>
    </row>
    <row r="83" spans="2:22" ht="12.75" customHeight="1" thickTop="1">
      <c r="B83" s="383"/>
      <c r="C83" s="383"/>
      <c r="D83" s="383"/>
      <c r="E83" s="383"/>
      <c r="F83" s="4" t="str">
        <f>IF(CapDataSht=TRUE,"Dist. between Rows =","")</f>
        <v>Dist. between Rows =</v>
      </c>
      <c r="G83" s="23">
        <v>4</v>
      </c>
      <c r="H83" s="5" t="str">
        <f>IF(CapDataSht=TRUE,"in","")</f>
        <v>in</v>
      </c>
      <c r="I83" s="5"/>
      <c r="J83" s="4" t="str">
        <f>IF(CapDataSht=TRUE,"Dist. between Rows =","")</f>
        <v>Dist. between Rows =</v>
      </c>
      <c r="K83" s="23">
        <v>4</v>
      </c>
      <c r="L83" s="5" t="str">
        <f>IF(CapDataSht=TRUE,"in","")</f>
        <v>in</v>
      </c>
      <c r="M83" s="538"/>
      <c r="S83" s="815">
        <v>8.8000000000000007</v>
      </c>
      <c r="T83" s="500">
        <f>IF(FBSPA3=S83,1,0)</f>
        <v>0</v>
      </c>
      <c r="V83" s="537"/>
    </row>
    <row r="84" spans="2:22" ht="12.75" customHeight="1">
      <c r="B84" s="383"/>
      <c r="C84" s="383"/>
      <c r="D84" s="383"/>
      <c r="E84" s="725"/>
      <c r="F84" s="1208" t="str">
        <f>IF(CapDataSht=TRUE,"1st Row:","")</f>
        <v>1st Row:</v>
      </c>
      <c r="G84" s="23">
        <v>8</v>
      </c>
      <c r="H84" s="6" t="str">
        <f>IF(CapDataSht=TRUE,"(top row)","")</f>
        <v>(top row)</v>
      </c>
      <c r="I84" s="5"/>
      <c r="J84" s="1208" t="str">
        <f>IF(CapDataSht=TRUE,"1st Row:","")</f>
        <v>1st Row:</v>
      </c>
      <c r="K84" s="23">
        <v>10</v>
      </c>
      <c r="L84" s="5" t="str">
        <f>IF(CapDataSht=TRUE,"(bot row)","")</f>
        <v>(bot row)</v>
      </c>
      <c r="M84" s="538"/>
      <c r="S84" s="816">
        <v>8.8000000000000007</v>
      </c>
      <c r="T84" s="554">
        <f>IF(FBSPA4=S84,1,0)</f>
        <v>0</v>
      </c>
      <c r="V84" s="537"/>
    </row>
    <row r="85" spans="2:22" ht="12.75" customHeight="1">
      <c r="B85" s="383"/>
      <c r="C85" s="1207" t="str">
        <f>IF(CapDataSht=TRUE,"Reinf. Bars  (by row)","")</f>
        <v>Reinf. Bars  (by row)</v>
      </c>
      <c r="D85" s="725"/>
      <c r="E85" s="725"/>
      <c r="F85" s="1208" t="str">
        <f>IF(CapDataSht=TRUE,"2nd Row:","")</f>
        <v>2nd Row:</v>
      </c>
      <c r="G85" s="23"/>
      <c r="H85" s="383"/>
      <c r="I85" s="5"/>
      <c r="J85" s="1208" t="str">
        <f>IF(CapDataSht=TRUE,"2nd Row:","")</f>
        <v>2nd Row:</v>
      </c>
      <c r="K85" s="23"/>
      <c r="L85" s="383"/>
      <c r="M85" s="538"/>
      <c r="S85" s="816">
        <v>8.8000000000000007</v>
      </c>
      <c r="T85" s="554">
        <f>IF(FBSPA5=S85,1,0)</f>
        <v>0</v>
      </c>
      <c r="V85" s="555"/>
    </row>
    <row r="86" spans="2:22" ht="12.75" customHeight="1">
      <c r="B86" s="383"/>
      <c r="C86" s="383"/>
      <c r="D86" s="725"/>
      <c r="E86" s="725"/>
      <c r="F86" s="1208" t="str">
        <f>IF(CapDataSht=TRUE,"3rd Row:","")</f>
        <v>3rd Row:</v>
      </c>
      <c r="G86" s="23"/>
      <c r="H86" s="383"/>
      <c r="I86" s="383"/>
      <c r="J86" s="1208" t="str">
        <f>IF(CapDataSht=TRUE,"3rd Row:","")</f>
        <v>3rd Row:</v>
      </c>
      <c r="K86" s="23"/>
      <c r="L86" s="383"/>
      <c r="S86" s="816">
        <v>8.8000000000000007</v>
      </c>
      <c r="T86" s="554">
        <f>IF(FBSPA6=S86,1,0)</f>
        <v>0</v>
      </c>
    </row>
    <row r="87" spans="2:22" ht="12.75" customHeight="1">
      <c r="B87" s="383"/>
      <c r="C87" s="383"/>
      <c r="D87" s="5"/>
      <c r="E87" s="383"/>
      <c r="F87" s="383"/>
      <c r="G87" s="383"/>
      <c r="H87" s="383"/>
      <c r="I87" s="383"/>
      <c r="J87" s="383"/>
      <c r="K87" s="383"/>
      <c r="L87" s="383"/>
      <c r="S87" s="499">
        <v>0</v>
      </c>
      <c r="T87" s="500">
        <f>IF(FBSPA7=S87,1,0)</f>
        <v>1</v>
      </c>
    </row>
    <row r="88" spans="2:22" ht="12.75" customHeight="1">
      <c r="B88" s="383"/>
      <c r="C88" s="724" t="str">
        <f>IF(CapDataSht=TRUE,"Shear Reinforcement:","")</f>
        <v>Shear Reinforcement:</v>
      </c>
      <c r="D88" s="383"/>
      <c r="E88" s="383"/>
      <c r="F88" s="383"/>
      <c r="G88" s="383"/>
      <c r="H88" s="383"/>
      <c r="I88" s="383"/>
      <c r="J88" s="556" t="str">
        <f>IF(CapDataSht=TRUE,"Skin/Temp Reinforcement:","")</f>
        <v>Skin/Temp Reinforcement:</v>
      </c>
      <c r="K88" s="383"/>
      <c r="L88" s="383"/>
      <c r="O88" s="571" t="b">
        <v>0</v>
      </c>
      <c r="P88" s="344">
        <f>IF(O88=TRUE,0.5,0)</f>
        <v>0</v>
      </c>
      <c r="S88" s="499">
        <v>0</v>
      </c>
      <c r="T88" s="500">
        <f>IF(FBSPA8=S88,1,0)</f>
        <v>1</v>
      </c>
    </row>
    <row r="89" spans="2:22" ht="12.75" customHeight="1">
      <c r="B89" s="383"/>
      <c r="C89" s="383"/>
      <c r="D89" s="383"/>
      <c r="E89" s="383"/>
      <c r="F89" s="1208" t="str">
        <f>IF(CapDataSht=TRUE,"Main Cap Stirrups","")</f>
        <v>Main Cap Stirrups</v>
      </c>
      <c r="G89" s="23" t="s">
        <v>33</v>
      </c>
      <c r="H89" s="385" t="str">
        <f>IF(CapDataSht=FALSE,"",IF(CapType="Inverted-Tee","","(Min spa = "&amp;IF(NoSupports&gt;1,IF(CAP18comptot=1,'Shear(M)'!F51,""),'Shear(S) '!G47)&amp;"'')"))</f>
        <v>(Min spa = NG'')</v>
      </c>
      <c r="I89" s="383"/>
      <c r="J89" s="1208" t="str">
        <f>IF(CapDataSht=TRUE,"Size:","")</f>
        <v>Size:</v>
      </c>
      <c r="K89" s="24" t="s">
        <v>227</v>
      </c>
      <c r="L89" s="383"/>
      <c r="S89" s="499">
        <v>0</v>
      </c>
      <c r="T89" s="500">
        <f>IF(FBSPA9=S89,1,0)</f>
        <v>1</v>
      </c>
    </row>
    <row r="90" spans="2:22" ht="12.75" customHeight="1">
      <c r="B90" s="383"/>
      <c r="C90" s="383"/>
      <c r="D90" s="383"/>
      <c r="E90" s="383"/>
      <c r="F90" s="1208" t="str">
        <f>IF(CapDataSht=TRUE,"Main Cap Stirrups","")</f>
        <v>Main Cap Stirrups</v>
      </c>
      <c r="G90" s="1339" t="s">
        <v>227</v>
      </c>
      <c r="H90" s="667" t="str">
        <f>IF(CapDataSht=TRUE,"Bars S","")</f>
        <v>Bars S</v>
      </c>
      <c r="I90" s="383"/>
      <c r="J90" s="1208" t="str">
        <f>IF(CapDataSht=TRUE,"No. of Bars per face:","")</f>
        <v>No. of Bars per face:</v>
      </c>
      <c r="K90" s="1340">
        <v>5</v>
      </c>
      <c r="L90" s="969"/>
      <c r="S90" s="499">
        <v>0</v>
      </c>
      <c r="T90" s="500">
        <f>IF(FBSPA10=S90,1,0)</f>
        <v>1</v>
      </c>
    </row>
    <row r="91" spans="2:22" ht="12.75" customHeight="1">
      <c r="B91" s="383"/>
      <c r="C91" s="383"/>
      <c r="D91" s="383"/>
      <c r="E91" s="383"/>
      <c r="F91" s="1208" t="str">
        <f>IF(CapDataSht=TRUE,"Cover to C.L. of Stirrup","")</f>
        <v>Cover to C.L. of Stirrup</v>
      </c>
      <c r="G91" s="1344">
        <f>IF(CapDataSht=TRUE,2+VLOOKUP(BarS,BarTable,2,FALSE)/2+P88,"")</f>
        <v>2.3125</v>
      </c>
      <c r="H91" s="5" t="str">
        <f>IF(CapDataSht=TRUE,"in","")</f>
        <v>in</v>
      </c>
      <c r="I91" s="383"/>
      <c r="J91" s="1208" t="str">
        <f>IF(CapDataSht=TRUE,"E.S. @:","")</f>
        <v>E.S. @:</v>
      </c>
      <c r="K91" s="1392">
        <f>IF(CapDataSht=TRUE,(capheight-2*cover-VLOOKUP(BarS,BarTable,2,FALSE)-VLOOKUP(G82,BarTable,2,FALSE)/2-IF(Arow3&gt;0,2*BarsAdist,IF(Arow2&gt;0,BarsAdist,0))-VLOOKUP(K82,BarTable,2,FALSE)/2-IF(Brow3&gt;0,2*BarsBdist,IF(Brow2&gt;0,BarsBdist,0)))/(K90+1),"")</f>
        <v>8.89</v>
      </c>
      <c r="L91" s="5" t="str">
        <f>IF(CapDataSht=TRUE,"in","")</f>
        <v>in</v>
      </c>
      <c r="S91" s="499">
        <v>0</v>
      </c>
      <c r="T91" s="500">
        <f>IF(FBSPA11=S91,1,0)</f>
        <v>1</v>
      </c>
    </row>
    <row r="92" spans="2:22" ht="12.75" customHeight="1">
      <c r="B92" s="383"/>
      <c r="C92" s="383"/>
      <c r="D92" s="715"/>
      <c r="E92" s="383"/>
      <c r="F92" s="4"/>
      <c r="G92" s="28"/>
      <c r="H92" s="563" t="str">
        <f>IF(CapDataSht=TRUE,IF(CapType="Inverted-Tee","Shear reinf. here is assumed, see Inverted-Tee calc for actual reinforcing.",""),"")</f>
        <v/>
      </c>
      <c r="I92" s="383"/>
      <c r="J92" s="383"/>
      <c r="K92" s="383"/>
      <c r="L92" s="556" t="str">
        <f>IF(CapDataSht=TRUE,IF(AND('Bars A'!L79="None Required - OK",'Bars A'!L82="None Required - OK",'Bars B'!L79="None Required - OK",'Bars B'!L82="None Required - OK"),"No Skin Reinforcement Required","Skin Reinforcement is Required"),"")</f>
        <v>Skin Reinforcement is Required</v>
      </c>
      <c r="S92" s="499">
        <v>0</v>
      </c>
      <c r="T92" s="500">
        <f>IF(FBSPA12=S92,1,0)</f>
        <v>1</v>
      </c>
    </row>
    <row r="93" spans="2:22" ht="12.75" customHeight="1">
      <c r="B93" s="383"/>
      <c r="C93" s="383"/>
      <c r="D93" s="383"/>
      <c r="E93" s="383"/>
      <c r="F93" s="4"/>
      <c r="G93" s="28"/>
      <c r="H93" s="667"/>
      <c r="I93" s="383"/>
      <c r="J93" s="383"/>
      <c r="K93" s="383"/>
      <c r="L93" s="383"/>
      <c r="S93" s="499">
        <v>0</v>
      </c>
      <c r="T93" s="500">
        <f>IF(FBSPA13=S93,1,0)</f>
        <v>1</v>
      </c>
    </row>
    <row r="94" spans="2:22">
      <c r="B94" s="713" t="s">
        <v>247</v>
      </c>
      <c r="C94" s="717"/>
      <c r="D94" s="717"/>
      <c r="E94" s="717"/>
      <c r="F94" s="717"/>
      <c r="G94" s="717"/>
      <c r="H94" s="557"/>
      <c r="I94" s="383"/>
      <c r="J94" s="383"/>
      <c r="K94" s="383"/>
      <c r="L94" s="383"/>
      <c r="S94" s="499">
        <v>0</v>
      </c>
      <c r="T94" s="500">
        <f>IF(FBSPA14=S94,1,0)</f>
        <v>1</v>
      </c>
    </row>
    <row r="95" spans="2:22" ht="12.75" customHeight="1">
      <c r="B95" s="383"/>
      <c r="C95" s="509" t="s">
        <v>233</v>
      </c>
      <c r="D95" s="1518" t="s">
        <v>1311</v>
      </c>
      <c r="E95" s="1519"/>
      <c r="F95" s="726" t="s">
        <v>248</v>
      </c>
      <c r="G95" s="502">
        <v>1</v>
      </c>
      <c r="H95" s="383"/>
      <c r="I95" s="383"/>
      <c r="J95" s="727" t="b">
        <v>0</v>
      </c>
      <c r="K95" s="383"/>
      <c r="L95" s="383"/>
      <c r="S95" s="499">
        <v>0</v>
      </c>
      <c r="T95" s="500">
        <f>IF(FBSPA15=S95,1,0)</f>
        <v>1</v>
      </c>
    </row>
    <row r="96" spans="2:22" ht="12.75" customHeight="1">
      <c r="B96" s="383"/>
      <c r="C96" s="11"/>
      <c r="D96" s="383"/>
      <c r="E96" s="383"/>
      <c r="F96" s="383"/>
      <c r="G96" s="383"/>
      <c r="H96" s="383"/>
      <c r="I96" s="383"/>
      <c r="J96" s="383"/>
      <c r="K96" s="383"/>
      <c r="L96" s="383"/>
      <c r="S96" s="499">
        <v>0</v>
      </c>
      <c r="T96" s="500">
        <f>IF(FBSPA16=S96,1,0)</f>
        <v>1</v>
      </c>
    </row>
    <row r="97" spans="1:20" ht="12.75" customHeight="1">
      <c r="B97" s="383"/>
      <c r="C97" s="11" t="s">
        <v>230</v>
      </c>
      <c r="D97" s="383"/>
      <c r="E97" s="383"/>
      <c r="F97" s="383"/>
      <c r="G97" s="383"/>
      <c r="H97" s="383"/>
      <c r="I97" s="383" t="s">
        <v>57</v>
      </c>
      <c r="J97" s="383"/>
      <c r="K97" s="383"/>
      <c r="L97" s="383"/>
      <c r="S97" s="499">
        <v>0</v>
      </c>
      <c r="T97" s="500">
        <f>IF(FBSPA17=S97,1,0)</f>
        <v>1</v>
      </c>
    </row>
    <row r="98" spans="1:20" ht="14.25" customHeight="1">
      <c r="B98" s="383"/>
      <c r="C98" s="383"/>
      <c r="D98" s="383"/>
      <c r="E98" s="383"/>
      <c r="F98" s="4" t="str">
        <f>IF(AestheticCol=TRUE,"Nominal ","")&amp;IF(D95&lt;&gt;"Circular","Transverse Width (┴ to Rdwy) =","Diameter =")</f>
        <v>Transverse Width (┴ to Rdwy) =</v>
      </c>
      <c r="G98" s="1070">
        <v>72</v>
      </c>
      <c r="H98" s="233" t="str">
        <f>"in  ("&amp;ROUND(G98/12,2)&amp;"ft)"</f>
        <v>in  (6ft)</v>
      </c>
      <c r="I98" s="383"/>
      <c r="J98" s="4" t="s">
        <v>60</v>
      </c>
      <c r="K98" s="1345">
        <f>IF(AestheticCol=TRUE,VLOOKUP(ColType,AesthColDB,8,FALSE),IF(ColType="Rectangular",coltranswidth*collongwidth,coltranswidth^2*PI()/4))</f>
        <v>3456</v>
      </c>
      <c r="L98" s="5" t="s">
        <v>66</v>
      </c>
      <c r="S98" s="499">
        <v>0</v>
      </c>
      <c r="T98" s="500">
        <f>IF(FBSPA18=S98,1,0)</f>
        <v>1</v>
      </c>
    </row>
    <row r="99" spans="1:20" ht="12.75" customHeight="1">
      <c r="B99" s="383"/>
      <c r="C99" s="383"/>
      <c r="D99" s="383"/>
      <c r="E99" s="383"/>
      <c r="F99" s="4" t="str">
        <f>IF(AestheticCol=TRUE,"Nominal ","")&amp;IF(D95&lt;&gt;"Circular","Longitudinal Width (║ to Rdwy) =","")</f>
        <v>Longitudinal Width (║ to Rdwy) =</v>
      </c>
      <c r="G99" s="1070">
        <v>48</v>
      </c>
      <c r="H99" s="5" t="str">
        <f>IF(D95&lt;&gt;"Circular","in  ("&amp;ROUND(collongwidth/12,2)&amp;"ft)","")</f>
        <v>in  (4ft)</v>
      </c>
      <c r="I99" s="383"/>
      <c r="J99" s="4" t="s">
        <v>59</v>
      </c>
      <c r="K99" s="1345">
        <f>IF(AestheticCol=TRUE,VLOOKUP(ColType,AesthColDB,9,FALSE),IF(ColType="Rectangular",coltranswidth^3*collongwidth/12,coltranswidth^4/64*PI()))</f>
        <v>1492992</v>
      </c>
      <c r="L99" s="5" t="s">
        <v>1401</v>
      </c>
      <c r="S99" s="499">
        <v>0</v>
      </c>
      <c r="T99" s="500">
        <f>IF(FBSPA19=S99,1,0)</f>
        <v>1</v>
      </c>
    </row>
    <row r="100" spans="1:20" ht="12.75" customHeight="1">
      <c r="B100" s="508"/>
      <c r="C100" s="383"/>
      <c r="D100" s="383"/>
      <c r="E100" s="383"/>
      <c r="F100" s="4" t="str">
        <f>"Effective Capital "&amp;IF(D95&lt;&gt;"Circular","Width","Radius")&amp;" (0 if no capital) ="</f>
        <v>Effective Capital Width (0 if no capital) =</v>
      </c>
      <c r="G100" s="10">
        <v>0</v>
      </c>
      <c r="H100" s="383" t="s">
        <v>155</v>
      </c>
      <c r="I100" s="383"/>
      <c r="J100" s="4" t="s">
        <v>58</v>
      </c>
      <c r="K100" s="1345">
        <f>IF(AestheticCol=TRUE,VLOOKUP(ColType,AesthColDB,10,FALSE),IF(ColType="Rectangular",coltranswidth*collongwidth^3/12,coltranswidth^4/64*PI()))</f>
        <v>663552</v>
      </c>
      <c r="L100" s="5" t="s">
        <v>1401</v>
      </c>
      <c r="N100" s="790"/>
      <c r="S100" s="499">
        <v>0</v>
      </c>
      <c r="T100" s="500">
        <f>IF(FBSPA20=S100,1,0)</f>
        <v>1</v>
      </c>
    </row>
    <row r="101" spans="1:20" ht="12.75" customHeight="1">
      <c r="B101" s="383"/>
      <c r="C101" s="383"/>
      <c r="D101" s="383"/>
      <c r="E101" s="383"/>
      <c r="F101" s="4" t="s">
        <v>63</v>
      </c>
      <c r="G101" s="1071">
        <v>0</v>
      </c>
      <c r="H101" s="5" t="s">
        <v>1262</v>
      </c>
      <c r="I101" s="383"/>
      <c r="J101" s="383"/>
      <c r="K101" s="383"/>
      <c r="L101" s="383"/>
      <c r="N101" s="530"/>
      <c r="O101" s="530"/>
      <c r="P101" s="530"/>
      <c r="Q101" s="530"/>
      <c r="R101" s="530"/>
      <c r="S101" s="499">
        <v>2</v>
      </c>
      <c r="T101" s="500">
        <f>IF(RailDistributeBackStart=S101,1,0)</f>
        <v>1</v>
      </c>
    </row>
    <row r="102" spans="1:20" ht="12.75" customHeight="1">
      <c r="B102" s="383"/>
      <c r="C102" s="383"/>
      <c r="D102" s="383"/>
      <c r="E102" s="383"/>
      <c r="F102" s="715"/>
      <c r="G102" s="383"/>
      <c r="H102" s="383"/>
      <c r="I102" s="383"/>
      <c r="J102" s="383"/>
      <c r="K102" s="383"/>
      <c r="L102" s="383"/>
      <c r="M102" s="530"/>
      <c r="N102" s="558"/>
      <c r="O102" s="558"/>
      <c r="P102" s="558"/>
      <c r="Q102" s="530"/>
      <c r="R102" s="530"/>
      <c r="S102" s="499">
        <v>4</v>
      </c>
      <c r="T102" s="500">
        <f>IF(RailDistributeBackEnd=S102,1,0)</f>
        <v>1</v>
      </c>
    </row>
    <row r="103" spans="1:20" ht="12.75" customHeight="1">
      <c r="B103" s="383"/>
      <c r="C103" s="5"/>
      <c r="D103" s="5"/>
      <c r="E103" s="5"/>
      <c r="F103" s="4" t="s">
        <v>671</v>
      </c>
      <c r="G103" s="1216">
        <f>IF(D95&lt;&gt;"Circular",IF(G100=0,G98/2,G100/2),SQRT(PI()*IF(G100=0,G98,G100)^2/4)/2)</f>
        <v>36</v>
      </c>
      <c r="H103" s="5" t="s">
        <v>155</v>
      </c>
      <c r="I103" s="1486" t="s">
        <v>734</v>
      </c>
      <c r="J103" s="1486"/>
      <c r="K103" s="1486"/>
      <c r="L103" s="1486"/>
      <c r="M103" s="530"/>
      <c r="N103" s="558"/>
      <c r="O103" s="558"/>
      <c r="P103" s="558"/>
      <c r="Q103" s="530"/>
      <c r="R103" s="530"/>
      <c r="S103" s="499">
        <v>2</v>
      </c>
      <c r="T103" s="500">
        <f>IF(RailDistributeFwdStart=S103,1,0)</f>
        <v>1</v>
      </c>
    </row>
    <row r="104" spans="1:20" ht="12.75" customHeight="1">
      <c r="B104" s="383"/>
      <c r="C104" s="383"/>
      <c r="D104" s="383"/>
      <c r="E104" s="383"/>
      <c r="F104" s="383"/>
      <c r="G104" s="383"/>
      <c r="H104" s="383"/>
      <c r="I104" s="1348" t="s">
        <v>1563</v>
      </c>
      <c r="J104" s="1504">
        <f>(-PGLdist/COS(RADIANS(BentSkew))+PGLToBm1-BkBm1toCapEnd)</f>
        <v>1</v>
      </c>
      <c r="K104" s="1504"/>
      <c r="L104" s="1505"/>
      <c r="M104" s="530"/>
      <c r="N104" s="507"/>
      <c r="O104" s="507"/>
      <c r="P104" s="576">
        <v>1</v>
      </c>
      <c r="Q104" s="577">
        <f t="shared" ref="Q104:Q113" si="0">IF(J107="","",MAX(I107,J107))</f>
        <v>25</v>
      </c>
      <c r="R104" s="577" t="str">
        <f>Q113</f>
        <v/>
      </c>
      <c r="S104" s="499">
        <v>5</v>
      </c>
      <c r="T104" s="500">
        <f>IF(RailDistributeFwdEnd=S104,1,0)</f>
        <v>1</v>
      </c>
    </row>
    <row r="105" spans="1:20" ht="12.75" customHeight="1">
      <c r="A105" s="359"/>
      <c r="B105" s="383"/>
      <c r="C105" s="383" t="s">
        <v>1065</v>
      </c>
      <c r="D105" s="383"/>
      <c r="E105" s="383"/>
      <c r="F105" s="383"/>
      <c r="G105" s="383"/>
      <c r="H105" s="383"/>
      <c r="I105" s="1520" t="s">
        <v>1029</v>
      </c>
      <c r="J105" s="1521"/>
      <c r="K105" s="1476" t="s">
        <v>1117</v>
      </c>
      <c r="L105" s="1477"/>
      <c r="M105" s="559"/>
      <c r="N105" s="507"/>
      <c r="O105" s="507"/>
      <c r="P105" s="576">
        <v>2</v>
      </c>
      <c r="Q105" s="577" t="str">
        <f t="shared" si="0"/>
        <v/>
      </c>
      <c r="R105" s="577" t="str">
        <f>Q112</f>
        <v/>
      </c>
      <c r="S105" s="499">
        <v>0</v>
      </c>
      <c r="T105" s="500">
        <f>IF(SWalkDistributeBackStart=S105,1,0)</f>
        <v>1</v>
      </c>
    </row>
    <row r="106" spans="1:20" ht="12.75" customHeight="1">
      <c r="A106" s="359"/>
      <c r="B106" s="383"/>
      <c r="C106" s="383" t="s">
        <v>236</v>
      </c>
      <c r="D106" s="728" t="s">
        <v>237</v>
      </c>
      <c r="E106" s="728" t="s">
        <v>238</v>
      </c>
      <c r="F106" s="728" t="s">
        <v>239</v>
      </c>
      <c r="G106" s="383"/>
      <c r="H106" s="383"/>
      <c r="I106" s="1084" t="s">
        <v>1030</v>
      </c>
      <c r="J106" s="1080" t="s">
        <v>1031</v>
      </c>
      <c r="K106" s="1478" t="s">
        <v>381</v>
      </c>
      <c r="L106" s="1479"/>
      <c r="M106" s="559"/>
      <c r="N106" s="560"/>
      <c r="O106" s="561"/>
      <c r="P106" s="577">
        <v>3</v>
      </c>
      <c r="Q106" s="577" t="str">
        <f t="shared" si="0"/>
        <v/>
      </c>
      <c r="R106" s="577" t="str">
        <f>Q111</f>
        <v/>
      </c>
      <c r="S106" s="499">
        <v>0</v>
      </c>
      <c r="T106" s="500">
        <f>IF(SWalkDistributeBackEnd=S106,1,0)</f>
        <v>1</v>
      </c>
    </row>
    <row r="107" spans="1:20" ht="12.75" customHeight="1">
      <c r="B107" s="383"/>
      <c r="C107" s="383"/>
      <c r="D107" s="729" t="s">
        <v>240</v>
      </c>
      <c r="E107" s="502">
        <v>1</v>
      </c>
      <c r="F107" s="831">
        <v>24</v>
      </c>
      <c r="G107" s="383"/>
      <c r="H107" s="383"/>
      <c r="I107" s="1083">
        <f>F107</f>
        <v>24</v>
      </c>
      <c r="J107" s="1085">
        <f t="shared" ref="J107:J116" si="1">IF(I107="","",I107+$J$104)</f>
        <v>25</v>
      </c>
      <c r="K107" s="1464">
        <f>_ISP1</f>
        <v>50</v>
      </c>
      <c r="L107" s="1466"/>
      <c r="M107" s="559"/>
      <c r="N107" s="560"/>
      <c r="O107" s="561"/>
      <c r="P107" s="577">
        <v>4</v>
      </c>
      <c r="Q107" s="577" t="str">
        <f t="shared" si="0"/>
        <v/>
      </c>
      <c r="R107" s="577" t="str">
        <f>Q110</f>
        <v/>
      </c>
      <c r="S107" s="499">
        <v>0</v>
      </c>
      <c r="T107" s="500">
        <f>IF(SWalkDistributeFwdStart=S107,1,0)</f>
        <v>1</v>
      </c>
    </row>
    <row r="108" spans="1:20" ht="12.75" hidden="1" customHeight="1">
      <c r="A108" s="359" t="str">
        <f t="shared" ref="A108:A116" si="2">IF(D108="","*","")</f>
        <v>*</v>
      </c>
      <c r="B108" s="383"/>
      <c r="C108" s="383"/>
      <c r="D108" s="502" t="str">
        <f>IF(NoSupports=1,"",1)</f>
        <v/>
      </c>
      <c r="E108" s="502" t="str">
        <f t="shared" ref="E108:E116" si="3">IF(E107="","",IF(E107+1&lt;=$G$95,E107+1,""))</f>
        <v/>
      </c>
      <c r="F108" s="831"/>
      <c r="G108" s="383"/>
      <c r="H108" s="383"/>
      <c r="I108" s="1083" t="str">
        <f t="shared" ref="I108:I116" si="4">IF(ISERROR(I107+F108*(E108-D108)),"",I107+F108*(E108-D108))</f>
        <v/>
      </c>
      <c r="J108" s="1085" t="str">
        <f t="shared" si="1"/>
        <v/>
      </c>
      <c r="K108" s="1464" t="str">
        <f>_ISP2</f>
        <v/>
      </c>
      <c r="L108" s="1466"/>
      <c r="M108" s="559"/>
      <c r="N108" s="560"/>
      <c r="O108" s="561"/>
      <c r="P108" s="577">
        <v>5</v>
      </c>
      <c r="Q108" s="577" t="str">
        <f t="shared" si="0"/>
        <v/>
      </c>
      <c r="R108" s="577" t="str">
        <f>Q109</f>
        <v/>
      </c>
      <c r="S108" s="499">
        <v>0</v>
      </c>
      <c r="T108" s="500">
        <f>IF(SWalkDistributeFwdEnd=S108,1,0)</f>
        <v>1</v>
      </c>
    </row>
    <row r="109" spans="1:20" ht="12.75" hidden="1" customHeight="1">
      <c r="A109" s="359" t="str">
        <f t="shared" si="2"/>
        <v>*</v>
      </c>
      <c r="B109" s="383"/>
      <c r="C109" s="383"/>
      <c r="D109" s="502" t="str">
        <f t="shared" ref="D109:D116" si="5">IF(E109="","",E108)</f>
        <v/>
      </c>
      <c r="E109" s="502" t="str">
        <f t="shared" si="3"/>
        <v/>
      </c>
      <c r="F109" s="831"/>
      <c r="G109" s="383"/>
      <c r="H109" s="383"/>
      <c r="I109" s="1083" t="str">
        <f t="shared" si="4"/>
        <v/>
      </c>
      <c r="J109" s="1085" t="str">
        <f t="shared" si="1"/>
        <v/>
      </c>
      <c r="K109" s="1464" t="str">
        <f>_ISP3</f>
        <v/>
      </c>
      <c r="L109" s="1466"/>
      <c r="M109" s="559"/>
      <c r="N109" s="560"/>
      <c r="O109" s="561"/>
      <c r="P109" s="577">
        <v>6</v>
      </c>
      <c r="Q109" s="577" t="str">
        <f t="shared" si="0"/>
        <v/>
      </c>
      <c r="R109" s="577" t="str">
        <f>Q108</f>
        <v/>
      </c>
      <c r="S109" s="499" t="s">
        <v>864</v>
      </c>
      <c r="T109" s="500">
        <f>IF(fdspangirder=S109,1,0)</f>
        <v>1</v>
      </c>
    </row>
    <row r="110" spans="1:20" ht="12.75" hidden="1" customHeight="1">
      <c r="A110" s="359" t="str">
        <f t="shared" si="2"/>
        <v>*</v>
      </c>
      <c r="B110" s="383"/>
      <c r="C110" s="383"/>
      <c r="D110" s="502" t="str">
        <f>IF(E110="","",E109)</f>
        <v/>
      </c>
      <c r="E110" s="502" t="str">
        <f t="shared" si="3"/>
        <v/>
      </c>
      <c r="F110" s="831"/>
      <c r="G110" s="383"/>
      <c r="H110" s="383"/>
      <c r="I110" s="1083" t="str">
        <f t="shared" si="4"/>
        <v/>
      </c>
      <c r="J110" s="1085" t="str">
        <f t="shared" si="1"/>
        <v/>
      </c>
      <c r="K110" s="1464" t="str">
        <f>_ISP4</f>
        <v/>
      </c>
      <c r="L110" s="1466"/>
      <c r="M110" s="559"/>
      <c r="N110" s="560"/>
      <c r="O110" s="561"/>
      <c r="P110" s="577">
        <v>7</v>
      </c>
      <c r="Q110" s="577" t="str">
        <f t="shared" si="0"/>
        <v/>
      </c>
      <c r="R110" s="577" t="str">
        <f>Q107</f>
        <v/>
      </c>
      <c r="S110" s="499">
        <v>2</v>
      </c>
      <c r="T110" s="500">
        <f>IF(fdspanhaunch=S110,1,0)</f>
        <v>1</v>
      </c>
    </row>
    <row r="111" spans="1:20" ht="12.75" hidden="1" customHeight="1">
      <c r="A111" s="359" t="str">
        <f t="shared" si="2"/>
        <v>*</v>
      </c>
      <c r="B111" s="383"/>
      <c r="C111" s="383"/>
      <c r="D111" s="502" t="str">
        <f t="shared" si="5"/>
        <v/>
      </c>
      <c r="E111" s="502" t="str">
        <f t="shared" si="3"/>
        <v/>
      </c>
      <c r="F111" s="831"/>
      <c r="G111" s="383"/>
      <c r="H111" s="383"/>
      <c r="I111" s="1083" t="str">
        <f t="shared" si="4"/>
        <v/>
      </c>
      <c r="J111" s="1085" t="str">
        <f t="shared" si="1"/>
        <v/>
      </c>
      <c r="K111" s="1464" t="str">
        <f>_ISP5</f>
        <v/>
      </c>
      <c r="L111" s="1466"/>
      <c r="M111" s="559"/>
      <c r="N111" s="560"/>
      <c r="O111" s="561"/>
      <c r="P111" s="577">
        <v>8</v>
      </c>
      <c r="Q111" s="577" t="str">
        <f t="shared" si="0"/>
        <v/>
      </c>
      <c r="R111" s="577" t="str">
        <f>Q106</f>
        <v/>
      </c>
      <c r="S111" s="499">
        <v>2.75</v>
      </c>
      <c r="T111" s="500">
        <f>IF(fdbrgpad=S111,1,0)</f>
        <v>1</v>
      </c>
    </row>
    <row r="112" spans="1:20" ht="12.75" hidden="1" customHeight="1">
      <c r="A112" s="359" t="str">
        <f t="shared" si="2"/>
        <v>*</v>
      </c>
      <c r="B112" s="383"/>
      <c r="C112" s="383"/>
      <c r="D112" s="502" t="str">
        <f t="shared" si="5"/>
        <v/>
      </c>
      <c r="E112" s="502" t="str">
        <f t="shared" si="3"/>
        <v/>
      </c>
      <c r="F112" s="831"/>
      <c r="G112" s="383"/>
      <c r="H112" s="383"/>
      <c r="I112" s="1083" t="str">
        <f t="shared" si="4"/>
        <v/>
      </c>
      <c r="J112" s="1085" t="str">
        <f t="shared" si="1"/>
        <v/>
      </c>
      <c r="K112" s="1464" t="str">
        <f>_ISP6</f>
        <v/>
      </c>
      <c r="L112" s="1466"/>
      <c r="M112" s="559"/>
      <c r="N112" s="560"/>
      <c r="O112" s="561"/>
      <c r="P112" s="577">
        <v>9</v>
      </c>
      <c r="Q112" s="577" t="str">
        <f t="shared" si="0"/>
        <v/>
      </c>
      <c r="R112" s="577" t="str">
        <f>Q105</f>
        <v/>
      </c>
      <c r="S112" s="499">
        <v>1.5</v>
      </c>
      <c r="T112" s="500">
        <f>IF(PedestalHt=S112,1,0)</f>
        <v>1</v>
      </c>
    </row>
    <row r="113" spans="1:20" ht="12.75" hidden="1" customHeight="1">
      <c r="A113" s="359" t="str">
        <f t="shared" si="2"/>
        <v>*</v>
      </c>
      <c r="B113" s="383"/>
      <c r="C113" s="383"/>
      <c r="D113" s="502" t="str">
        <f t="shared" si="5"/>
        <v/>
      </c>
      <c r="E113" s="502" t="str">
        <f t="shared" si="3"/>
        <v/>
      </c>
      <c r="F113" s="831"/>
      <c r="G113" s="383"/>
      <c r="H113" s="383"/>
      <c r="I113" s="1083" t="str">
        <f t="shared" si="4"/>
        <v/>
      </c>
      <c r="J113" s="1085" t="str">
        <f t="shared" si="1"/>
        <v/>
      </c>
      <c r="K113" s="1464" t="str">
        <f>_ISP7</f>
        <v/>
      </c>
      <c r="L113" s="1466" t="e">
        <f>__ISP7</f>
        <v>#NAME?</v>
      </c>
      <c r="M113" s="559"/>
      <c r="N113" s="560"/>
      <c r="O113" s="561"/>
      <c r="P113" s="577">
        <v>10</v>
      </c>
      <c r="Q113" s="577" t="str">
        <f t="shared" si="0"/>
        <v/>
      </c>
      <c r="R113" s="577">
        <f>Q104</f>
        <v>25</v>
      </c>
      <c r="S113" s="562">
        <v>0</v>
      </c>
      <c r="T113" s="562">
        <f>IF(BackBentSkew=S113,1,0)</f>
        <v>1</v>
      </c>
    </row>
    <row r="114" spans="1:20" ht="12.75" hidden="1" customHeight="1">
      <c r="A114" s="359" t="str">
        <f t="shared" si="2"/>
        <v>*</v>
      </c>
      <c r="B114" s="383"/>
      <c r="C114" s="383"/>
      <c r="D114" s="502" t="str">
        <f t="shared" si="5"/>
        <v/>
      </c>
      <c r="E114" s="502" t="str">
        <f t="shared" si="3"/>
        <v/>
      </c>
      <c r="F114" s="831"/>
      <c r="G114" s="383"/>
      <c r="H114" s="383"/>
      <c r="I114" s="1083" t="str">
        <f t="shared" si="4"/>
        <v/>
      </c>
      <c r="J114" s="1085" t="str">
        <f t="shared" si="1"/>
        <v/>
      </c>
      <c r="K114" s="1464" t="str">
        <f>_ISP8</f>
        <v/>
      </c>
      <c r="L114" s="1466" t="e">
        <f>__ISP8</f>
        <v>#NAME?</v>
      </c>
      <c r="M114" s="559"/>
      <c r="N114" s="1132" t="s">
        <v>826</v>
      </c>
      <c r="O114" s="560"/>
      <c r="P114" s="560"/>
      <c r="Q114" s="534"/>
      <c r="R114" s="560"/>
      <c r="S114" s="493">
        <v>0</v>
      </c>
      <c r="T114" s="493">
        <f>IF(FwdBentSkew=S114,1,0)</f>
        <v>1</v>
      </c>
    </row>
    <row r="115" spans="1:20" hidden="1">
      <c r="A115" s="359" t="str">
        <f t="shared" si="2"/>
        <v>*</v>
      </c>
      <c r="B115" s="383"/>
      <c r="C115" s="383"/>
      <c r="D115" s="502" t="str">
        <f t="shared" si="5"/>
        <v/>
      </c>
      <c r="E115" s="502" t="str">
        <f t="shared" si="3"/>
        <v/>
      </c>
      <c r="F115" s="831"/>
      <c r="G115" s="383"/>
      <c r="H115" s="383"/>
      <c r="I115" s="1083" t="str">
        <f t="shared" si="4"/>
        <v/>
      </c>
      <c r="J115" s="1085" t="str">
        <f t="shared" si="1"/>
        <v/>
      </c>
      <c r="K115" s="1464" t="str">
        <f>_ISP9</f>
        <v/>
      </c>
      <c r="L115" s="1466" t="e">
        <f>__ISP9</f>
        <v>#NAME?</v>
      </c>
      <c r="M115" s="534"/>
      <c r="N115" s="1133" t="s">
        <v>827</v>
      </c>
      <c r="R115" s="388"/>
      <c r="S115" s="569">
        <v>0</v>
      </c>
      <c r="T115" s="569">
        <f>IF(sdwkwidth=S115,1,0)</f>
        <v>1</v>
      </c>
    </row>
    <row r="116" spans="1:20" ht="13.5" hidden="1" customHeight="1">
      <c r="A116" s="359" t="str">
        <f t="shared" si="2"/>
        <v>*</v>
      </c>
      <c r="B116" s="383"/>
      <c r="C116" s="383"/>
      <c r="D116" s="502" t="str">
        <f t="shared" si="5"/>
        <v/>
      </c>
      <c r="E116" s="502" t="str">
        <f t="shared" si="3"/>
        <v/>
      </c>
      <c r="F116" s="831"/>
      <c r="G116" s="383"/>
      <c r="H116" s="383"/>
      <c r="I116" s="1083" t="str">
        <f t="shared" si="4"/>
        <v/>
      </c>
      <c r="J116" s="1085" t="str">
        <f t="shared" si="1"/>
        <v/>
      </c>
      <c r="K116" s="1464" t="str">
        <f>_ISP10</f>
        <v/>
      </c>
      <c r="L116" s="1466" t="e">
        <f>__ISP10</f>
        <v>#NAME?</v>
      </c>
      <c r="R116" s="388"/>
      <c r="S116" s="565">
        <v>0.5</v>
      </c>
      <c r="T116" s="566">
        <f>IF(sdwkthickness=S116,1,0)</f>
        <v>1</v>
      </c>
    </row>
    <row r="117" spans="1:20">
      <c r="A117" s="359" t="s">
        <v>1118</v>
      </c>
      <c r="B117" s="383"/>
      <c r="C117" s="5"/>
      <c r="D117" s="5"/>
      <c r="E117" s="5"/>
      <c r="F117" s="4" t="str">
        <f>"Distance from CL col " &amp; MAX(E107:E116) &amp; " to right cap edge ="</f>
        <v>Distance from CL col 1 to right cap edge =</v>
      </c>
      <c r="G117" s="12">
        <f>G66-VLOOKUP(MAX(E107:E116),E107:I116,5,FALSE)</f>
        <v>24</v>
      </c>
      <c r="H117" s="5" t="s">
        <v>828</v>
      </c>
      <c r="I117" s="830" t="str">
        <f>IF(AND(NoSupports=1,OR(BkBm1toCapEnd&lt;&gt;BmLastToCapEnd,Bm1toCapEnd&lt;&gt;FwdBmLastToCapEnd,ColSpa1&lt;&gt;caplength/2)),"  NOTE - Column is Offset from C.L. of Cap",IF(G117&lt;(G98/24),"ERROR - Increase Cap Length or Decrease Spacing",""))</f>
        <v/>
      </c>
      <c r="J117" s="383"/>
      <c r="K117" s="662"/>
      <c r="L117" s="662"/>
      <c r="R117" s="388"/>
      <c r="S117" s="565">
        <v>0.15</v>
      </c>
      <c r="T117" s="566">
        <f>IF(sdwkdensity=S117,1,0)</f>
        <v>1</v>
      </c>
    </row>
    <row r="118" spans="1:20">
      <c r="A118" s="359"/>
      <c r="B118" s="383"/>
      <c r="C118" s="383"/>
      <c r="D118" s="563"/>
      <c r="E118" s="564"/>
      <c r="F118" s="4" t="str">
        <f>IF(NoSupports=1,"Single Column offset =","")</f>
        <v>Single Column offset =</v>
      </c>
      <c r="G118" s="1138">
        <f>IF(NoSupports=1,(ColSpa1-ColSpaEnd)/2,0)</f>
        <v>0</v>
      </c>
      <c r="H118" s="383" t="str">
        <f>IF(NoSupports=1,"ft","")</f>
        <v>ft</v>
      </c>
      <c r="I118" s="568" t="str">
        <f>IF(MAX(I107:I116)&gt;caplength,"INCREASE CAP LENGTH","")</f>
        <v/>
      </c>
      <c r="J118" s="383"/>
      <c r="K118" s="383"/>
      <c r="L118" s="383"/>
      <c r="R118" s="388"/>
      <c r="S118" s="565">
        <v>2</v>
      </c>
      <c r="T118" s="566">
        <f>IF(Bm1toCapEnd=S118,1,0)</f>
        <v>1</v>
      </c>
    </row>
    <row r="119" spans="1:20" ht="12.75" customHeight="1">
      <c r="A119" s="359"/>
      <c r="B119" s="383"/>
      <c r="C119" s="383"/>
      <c r="D119" s="686"/>
      <c r="E119" s="299"/>
      <c r="F119" s="4" t="str">
        <f>"Column ''H'' Height "&amp;IF(NoSupports=2,"(Left) ","") &amp;"="</f>
        <v>Column ''H'' Height =</v>
      </c>
      <c r="G119" s="300">
        <v>20</v>
      </c>
      <c r="H119" s="5" t="str">
        <f>"ft          "&amp;IF(NoSupports=2,"Column ''H'' Height (Rt) =","")</f>
        <v xml:space="preserve">ft          </v>
      </c>
      <c r="I119" s="5"/>
      <c r="J119" s="383"/>
      <c r="K119" s="301"/>
      <c r="L119" s="5" t="str">
        <f>IF(H119="ft          ","","ft")</f>
        <v/>
      </c>
      <c r="R119" s="388"/>
      <c r="S119" s="565" t="s">
        <v>1311</v>
      </c>
      <c r="T119" s="566">
        <f>IF(ColType=S119,1,0)</f>
        <v>1</v>
      </c>
    </row>
    <row r="120" spans="1:20" ht="12.75" customHeight="1">
      <c r="A120" s="359"/>
      <c r="B120" s="383"/>
      <c r="C120" s="383"/>
      <c r="D120" s="383"/>
      <c r="E120" s="383"/>
      <c r="F120" s="383"/>
      <c r="G120" s="383"/>
      <c r="H120" s="383"/>
      <c r="I120" s="383"/>
      <c r="J120" s="383"/>
      <c r="K120" s="383"/>
      <c r="L120" s="383"/>
      <c r="R120" s="388"/>
      <c r="S120" s="565">
        <v>72</v>
      </c>
      <c r="T120" s="566">
        <f>IF(coltranswidth=S120,1,0)</f>
        <v>1</v>
      </c>
    </row>
    <row r="121" spans="1:20" ht="12.75" customHeight="1">
      <c r="A121" s="359"/>
      <c r="B121" s="713" t="s">
        <v>726</v>
      </c>
      <c r="C121" s="717"/>
      <c r="D121" s="717"/>
      <c r="E121" s="383"/>
      <c r="F121" s="383"/>
      <c r="G121" s="383"/>
      <c r="H121" s="383"/>
      <c r="I121" s="383"/>
      <c r="J121" s="383"/>
      <c r="K121" s="383"/>
      <c r="L121" s="383"/>
      <c r="R121" s="388"/>
    </row>
    <row r="122" spans="1:20" ht="12.75" customHeight="1">
      <c r="A122" s="359"/>
      <c r="B122" s="713"/>
      <c r="C122" s="717"/>
      <c r="D122" s="717"/>
      <c r="E122" s="383"/>
      <c r="F122" s="383"/>
      <c r="G122" s="383"/>
      <c r="H122" s="383"/>
      <c r="I122" s="383"/>
      <c r="J122" s="383"/>
      <c r="K122" s="383"/>
      <c r="L122" s="383"/>
      <c r="R122" s="388"/>
    </row>
    <row r="123" spans="1:20" ht="12.75" customHeight="1">
      <c r="A123" s="359"/>
      <c r="B123" s="713"/>
      <c r="C123" s="1204" t="s">
        <v>251</v>
      </c>
      <c r="D123" s="717"/>
      <c r="E123" s="383"/>
      <c r="F123" s="715" t="s">
        <v>249</v>
      </c>
      <c r="G123" s="895">
        <f>G31</f>
        <v>4</v>
      </c>
      <c r="H123" s="383"/>
      <c r="I123" s="383"/>
      <c r="J123" s="383"/>
      <c r="K123" s="383"/>
      <c r="L123" s="383"/>
      <c r="R123" s="388"/>
    </row>
    <row r="124" spans="1:20" ht="12.75" customHeight="1">
      <c r="A124" s="359"/>
      <c r="B124" s="686"/>
      <c r="C124" s="662"/>
      <c r="D124" s="383"/>
      <c r="E124" s="383"/>
      <c r="F124" s="383"/>
      <c r="G124" s="662"/>
      <c r="H124" s="1464" t="s">
        <v>735</v>
      </c>
      <c r="I124" s="1465"/>
      <c r="J124" s="1465"/>
      <c r="K124" s="1466"/>
      <c r="L124" s="1470" t="s">
        <v>1028</v>
      </c>
    </row>
    <row r="125" spans="1:20" ht="12.75" customHeight="1">
      <c r="A125" s="359"/>
      <c r="B125" s="383"/>
      <c r="C125" s="383"/>
      <c r="D125" s="383"/>
      <c r="E125" s="1464" t="s">
        <v>725</v>
      </c>
      <c r="F125" s="1465"/>
      <c r="G125" s="1466"/>
      <c r="H125" s="1467" t="s">
        <v>732</v>
      </c>
      <c r="I125" s="1467" t="s">
        <v>1243</v>
      </c>
      <c r="J125" s="1467" t="s">
        <v>733</v>
      </c>
      <c r="K125" s="1467" t="s">
        <v>737</v>
      </c>
      <c r="L125" s="1471"/>
    </row>
    <row r="126" spans="1:20" ht="12" customHeight="1">
      <c r="A126" s="359"/>
      <c r="B126" s="383"/>
      <c r="C126" s="383"/>
      <c r="D126" s="383"/>
      <c r="E126" s="828" t="str">
        <f>IF(ComplexGeom=TRUE,"Equivalent","Beam")</f>
        <v>Beam</v>
      </c>
      <c r="F126" s="1464" t="s">
        <v>724</v>
      </c>
      <c r="G126" s="1466"/>
      <c r="H126" s="1468"/>
      <c r="I126" s="1468"/>
      <c r="J126" s="1468"/>
      <c r="K126" s="1468"/>
      <c r="L126" s="1471"/>
    </row>
    <row r="127" spans="1:20" ht="12" customHeight="1">
      <c r="A127" s="359"/>
      <c r="B127" s="383"/>
      <c r="C127" s="567" t="s">
        <v>237</v>
      </c>
      <c r="D127" s="728" t="s">
        <v>238</v>
      </c>
      <c r="E127" s="829" t="s">
        <v>239</v>
      </c>
      <c r="F127" s="827" t="s">
        <v>736</v>
      </c>
      <c r="G127" s="826" t="s">
        <v>1331</v>
      </c>
      <c r="H127" s="1469"/>
      <c r="I127" s="1469"/>
      <c r="J127" s="1469"/>
      <c r="K127" s="1469"/>
      <c r="L127" s="1472"/>
    </row>
    <row r="128" spans="1:20" ht="12" customHeight="1">
      <c r="B128" s="383"/>
      <c r="C128" s="729" t="s">
        <v>730</v>
      </c>
      <c r="D128" s="502">
        <v>1</v>
      </c>
      <c r="E128" s="835">
        <f>OSOHBack</f>
        <v>3</v>
      </c>
      <c r="F128" s="832">
        <f>IF(ComplexGeom=TRUE,Cmplx_Bk_CCBm1,$G$43)</f>
        <v>100</v>
      </c>
      <c r="G128" s="833">
        <f t="shared" ref="G128:G147" si="6">IF(F128="","",(F128-BmEndDist*2/12-IF(OR($D$60="Rectangular",$D$60="Tee"),0,(capstemWidth)/12)))</f>
        <v>99.5</v>
      </c>
      <c r="H128" s="1349" t="s">
        <v>1564</v>
      </c>
      <c r="I128" s="824">
        <f>BkBm1toCapEnd-BearingDist/12*TAN(RADIANS(BentSkew))</f>
        <v>2</v>
      </c>
      <c r="J128" s="834">
        <f>OSOHBack/COS(RADIANS(BentSkew))-BearingDist/12*TAN(RADIANS(BentSkew))</f>
        <v>3</v>
      </c>
      <c r="K128" s="824">
        <f>IF(C128="","",OSOHBack)</f>
        <v>3</v>
      </c>
      <c r="L128" s="1079">
        <f>_IBM1</f>
        <v>6</v>
      </c>
    </row>
    <row r="129" spans="1:12" ht="12" customHeight="1">
      <c r="A129" s="359" t="str">
        <f t="shared" ref="A129:A147" si="7">IF(C129="","*","")</f>
        <v/>
      </c>
      <c r="B129" s="383"/>
      <c r="C129" s="502">
        <v>1</v>
      </c>
      <c r="D129" s="502">
        <f t="shared" ref="D129:D147" si="8">IF(D128="","",IF(D128+1&lt;=$G$123,D128+1,""))</f>
        <v>2</v>
      </c>
      <c r="E129" s="835">
        <f>BkSpa</f>
        <v>14.666666666666666</v>
      </c>
      <c r="F129" s="832">
        <f>IF(E129="","",IF(ComplexGeom=TRUE,'Complex Geometry'!$J20,F128+E129*($G$45-$G$43)/(DeckWidth-OSOHBack-OSOHBackRT)))</f>
        <v>100</v>
      </c>
      <c r="G129" s="833">
        <f t="shared" si="6"/>
        <v>99.5</v>
      </c>
      <c r="H129" s="824">
        <f>IF(C129="","",IF(ComplexGeom=FALSE,BBSPA2/COS(RADIANS(BentSkew)),Cmplx_Bk_PGLBm2))</f>
        <v>14.666666666666666</v>
      </c>
      <c r="I129" s="825">
        <f t="shared" ref="I129:I147" si="9">IF(C129="",0,H129+I128)</f>
        <v>16.666666666666664</v>
      </c>
      <c r="J129" s="834">
        <f>IF(C129="",0,(I129-I128)+J128)</f>
        <v>17.666666666666664</v>
      </c>
      <c r="K129" s="824">
        <f>IF(C129="","",K128+E129)</f>
        <v>17.666666666666664</v>
      </c>
      <c r="L129" s="1079">
        <f>_IBM2</f>
        <v>35</v>
      </c>
    </row>
    <row r="130" spans="1:12" ht="12" customHeight="1">
      <c r="A130" s="359" t="str">
        <f t="shared" si="7"/>
        <v/>
      </c>
      <c r="B130" s="383"/>
      <c r="C130" s="502">
        <f t="shared" ref="C130:C147" si="10">IF(D130="","",D129)</f>
        <v>2</v>
      </c>
      <c r="D130" s="502">
        <f t="shared" si="8"/>
        <v>3</v>
      </c>
      <c r="E130" s="835">
        <f>BkSpa</f>
        <v>14.666666666666666</v>
      </c>
      <c r="F130" s="832">
        <f>IF(E130="","",IF(ComplexGeom=TRUE,'Complex Geometry'!$J21,F129+E130*($G$45-$G$43)/(DeckWidth-OSOHBack-OSOHBackRT)))</f>
        <v>100</v>
      </c>
      <c r="G130" s="833">
        <f t="shared" si="6"/>
        <v>99.5</v>
      </c>
      <c r="H130" s="824">
        <f>IF(C130="","",IF(ComplexGeom=FALSE,BBSPA3/COS(RADIANS(BentSkew)),Cmplx_Bk_PGLBm3))</f>
        <v>14.666666666666666</v>
      </c>
      <c r="I130" s="825">
        <f t="shared" si="9"/>
        <v>31.333333333333329</v>
      </c>
      <c r="J130" s="834">
        <f>IF(C130="",0,(I130-I129)+J129)</f>
        <v>32.333333333333329</v>
      </c>
      <c r="K130" s="824">
        <f t="shared" ref="K130:K147" si="11">IF(C130="","",K129+E130)</f>
        <v>32.333333333333329</v>
      </c>
      <c r="L130" s="1079">
        <f>_IBM3</f>
        <v>65</v>
      </c>
    </row>
    <row r="131" spans="1:12" ht="12" customHeight="1">
      <c r="A131" s="359" t="str">
        <f t="shared" si="7"/>
        <v/>
      </c>
      <c r="B131" s="383"/>
      <c r="C131" s="502">
        <f t="shared" si="10"/>
        <v>3</v>
      </c>
      <c r="D131" s="502">
        <f t="shared" si="8"/>
        <v>4</v>
      </c>
      <c r="E131" s="835">
        <f>BkSpa</f>
        <v>14.666666666666666</v>
      </c>
      <c r="F131" s="832">
        <f>IF(E131="","",IF(ComplexGeom=TRUE,'Complex Geometry'!$J22,F130+E131*($G$45-$G$43)/(DeckWidth-OSOHBack-OSOHBackRT)))</f>
        <v>100</v>
      </c>
      <c r="G131" s="833">
        <f t="shared" si="6"/>
        <v>99.5</v>
      </c>
      <c r="H131" s="824">
        <f>IF(C131="","",IF(ComplexGeom=FALSE,BBSPA4/COS(RADIANS(BentSkew)),Cmplx_Bk_PGLBm4))</f>
        <v>14.666666666666666</v>
      </c>
      <c r="I131" s="825">
        <f t="shared" si="9"/>
        <v>45.999999999999993</v>
      </c>
      <c r="J131" s="834">
        <f t="shared" ref="J131:J147" si="12">IF(C131="",0,(I131-I130)+J130)</f>
        <v>46.999999999999993</v>
      </c>
      <c r="K131" s="824">
        <f t="shared" si="11"/>
        <v>46.999999999999993</v>
      </c>
      <c r="L131" s="1079">
        <f>_IBM4</f>
        <v>94</v>
      </c>
    </row>
    <row r="132" spans="1:12" ht="12" hidden="1" customHeight="1">
      <c r="A132" s="359" t="str">
        <f t="shared" si="7"/>
        <v>*</v>
      </c>
      <c r="B132" s="383"/>
      <c r="C132" s="502" t="str">
        <f t="shared" si="10"/>
        <v/>
      </c>
      <c r="D132" s="502" t="str">
        <f t="shared" si="8"/>
        <v/>
      </c>
      <c r="E132" s="835"/>
      <c r="F132" s="832" t="str">
        <f>IF(E132="","",IF(ComplexGeom=TRUE,'Complex Geometry'!$J23,F131+E132*($G$45-$G$43)/(DeckWidth-OSOHBack-OSOHBackRT)))</f>
        <v/>
      </c>
      <c r="G132" s="833" t="str">
        <f t="shared" si="6"/>
        <v/>
      </c>
      <c r="H132" s="824" t="str">
        <f>IF(C132="","",IF(ComplexGeom=FALSE,BBSPA5/COS(RADIANS(BentSkew)),Cmplx_Bk_PGLBm5))</f>
        <v/>
      </c>
      <c r="I132" s="825">
        <f t="shared" si="9"/>
        <v>0</v>
      </c>
      <c r="J132" s="834">
        <f t="shared" si="12"/>
        <v>0</v>
      </c>
      <c r="K132" s="824" t="str">
        <f t="shared" si="11"/>
        <v/>
      </c>
      <c r="L132" s="1079" t="str">
        <f>_IBM5</f>
        <v/>
      </c>
    </row>
    <row r="133" spans="1:12" ht="12" hidden="1" customHeight="1">
      <c r="A133" s="359" t="str">
        <f t="shared" si="7"/>
        <v>*</v>
      </c>
      <c r="B133" s="383"/>
      <c r="C133" s="502" t="str">
        <f t="shared" si="10"/>
        <v/>
      </c>
      <c r="D133" s="502" t="str">
        <f t="shared" si="8"/>
        <v/>
      </c>
      <c r="E133" s="835"/>
      <c r="F133" s="832" t="str">
        <f>IF(E133="","",IF(ComplexGeom=TRUE,'Complex Geometry'!$J24,F132+E133*($G$45-$G$43)/(DeckWidth-OSOHBack-OSOHBackRT)))</f>
        <v/>
      </c>
      <c r="G133" s="833" t="str">
        <f t="shared" si="6"/>
        <v/>
      </c>
      <c r="H133" s="824" t="str">
        <f>IF(C133="","",IF(ComplexGeom=FALSE,BBSPA6/COS(RADIANS(BentSkew)),Cmplx_Bk_PGLBm6))</f>
        <v/>
      </c>
      <c r="I133" s="825">
        <f t="shared" si="9"/>
        <v>0</v>
      </c>
      <c r="J133" s="834">
        <f t="shared" si="12"/>
        <v>0</v>
      </c>
      <c r="K133" s="824" t="str">
        <f t="shared" si="11"/>
        <v/>
      </c>
      <c r="L133" s="1079" t="str">
        <f>_IBM6</f>
        <v/>
      </c>
    </row>
    <row r="134" spans="1:12" ht="12" hidden="1" customHeight="1">
      <c r="A134" s="359" t="str">
        <f t="shared" si="7"/>
        <v>*</v>
      </c>
      <c r="B134" s="383"/>
      <c r="C134" s="502" t="str">
        <f t="shared" si="10"/>
        <v/>
      </c>
      <c r="D134" s="502" t="str">
        <f t="shared" si="8"/>
        <v/>
      </c>
      <c r="E134" s="835"/>
      <c r="F134" s="832" t="str">
        <f>IF(E134="","",IF(ComplexGeom=TRUE,'Complex Geometry'!$J25,F133+E134*($G$45-$G$43)/(DeckWidth-OSOHBack-OSOHBackRT)))</f>
        <v/>
      </c>
      <c r="G134" s="833" t="str">
        <f t="shared" si="6"/>
        <v/>
      </c>
      <c r="H134" s="824" t="str">
        <f>IF(C134="","",IF(ComplexGeom=FALSE,BBSPA7/COS(RADIANS(BentSkew)),Cmplx_Bk_PGLBm7))</f>
        <v/>
      </c>
      <c r="I134" s="825">
        <f t="shared" si="9"/>
        <v>0</v>
      </c>
      <c r="J134" s="834">
        <f t="shared" si="12"/>
        <v>0</v>
      </c>
      <c r="K134" s="824" t="str">
        <f t="shared" si="11"/>
        <v/>
      </c>
      <c r="L134" s="1079" t="str">
        <f>_IBM7</f>
        <v/>
      </c>
    </row>
    <row r="135" spans="1:12" ht="12" hidden="1" customHeight="1">
      <c r="A135" s="359" t="str">
        <f t="shared" si="7"/>
        <v>*</v>
      </c>
      <c r="B135" s="383"/>
      <c r="C135" s="502" t="str">
        <f t="shared" si="10"/>
        <v/>
      </c>
      <c r="D135" s="502" t="str">
        <f t="shared" si="8"/>
        <v/>
      </c>
      <c r="E135" s="835"/>
      <c r="F135" s="832" t="str">
        <f>IF(E135="","",IF(ComplexGeom=TRUE,'Complex Geometry'!$J26,F134+E135*($G$45-$G$43)/(DeckWidth-OSOHBack-OSOHBackRT)))</f>
        <v/>
      </c>
      <c r="G135" s="833" t="str">
        <f t="shared" si="6"/>
        <v/>
      </c>
      <c r="H135" s="824" t="str">
        <f>IF(C135="","",IF(ComplexGeom=FALSE,BBSPA8/COS(RADIANS(BentSkew)),Cmplx_Bk_PGLBm8))</f>
        <v/>
      </c>
      <c r="I135" s="825">
        <f t="shared" si="9"/>
        <v>0</v>
      </c>
      <c r="J135" s="834">
        <f t="shared" si="12"/>
        <v>0</v>
      </c>
      <c r="K135" s="824" t="str">
        <f t="shared" si="11"/>
        <v/>
      </c>
      <c r="L135" s="1079" t="str">
        <f>_IBM8</f>
        <v/>
      </c>
    </row>
    <row r="136" spans="1:12" ht="12" hidden="1" customHeight="1">
      <c r="A136" s="359" t="str">
        <f t="shared" si="7"/>
        <v>*</v>
      </c>
      <c r="B136" s="383"/>
      <c r="C136" s="502" t="str">
        <f t="shared" si="10"/>
        <v/>
      </c>
      <c r="D136" s="502" t="str">
        <f t="shared" si="8"/>
        <v/>
      </c>
      <c r="E136" s="835"/>
      <c r="F136" s="832" t="str">
        <f>IF(E136="","",IF(ComplexGeom=TRUE,'Complex Geometry'!$J27,F135+E136*($G$45-$G$43)/(DeckWidth-OSOHBack-OSOHBackRT)))</f>
        <v/>
      </c>
      <c r="G136" s="833" t="str">
        <f t="shared" si="6"/>
        <v/>
      </c>
      <c r="H136" s="824" t="str">
        <f>IF(C136="","",IF(ComplexGeom=FALSE,BBSPA9/COS(RADIANS(BentSkew)),Cmplx_Bk_PGLBm9))</f>
        <v/>
      </c>
      <c r="I136" s="825">
        <f t="shared" si="9"/>
        <v>0</v>
      </c>
      <c r="J136" s="834">
        <f t="shared" si="12"/>
        <v>0</v>
      </c>
      <c r="K136" s="824" t="str">
        <f t="shared" si="11"/>
        <v/>
      </c>
      <c r="L136" s="1079" t="str">
        <f>_IBM9</f>
        <v/>
      </c>
    </row>
    <row r="137" spans="1:12" ht="12" hidden="1" customHeight="1">
      <c r="A137" s="359" t="str">
        <f t="shared" si="7"/>
        <v>*</v>
      </c>
      <c r="B137" s="383"/>
      <c r="C137" s="502" t="str">
        <f t="shared" si="10"/>
        <v/>
      </c>
      <c r="D137" s="502" t="str">
        <f t="shared" si="8"/>
        <v/>
      </c>
      <c r="E137" s="835"/>
      <c r="F137" s="832" t="str">
        <f>IF(E137="","",IF(ComplexGeom=TRUE,'Complex Geometry'!$J28,F136+E137*($G$45-$G$43)/(DeckWidth-OSOHBack-OSOHBackRT)))</f>
        <v/>
      </c>
      <c r="G137" s="833" t="str">
        <f t="shared" si="6"/>
        <v/>
      </c>
      <c r="H137" s="824" t="str">
        <f>IF(C137="","",IF(ComplexGeom=FALSE,BBSPA10/COS(RADIANS(BentSkew)),Cmplx_Bk_PGLBm10))</f>
        <v/>
      </c>
      <c r="I137" s="825">
        <f t="shared" si="9"/>
        <v>0</v>
      </c>
      <c r="J137" s="834">
        <f t="shared" si="12"/>
        <v>0</v>
      </c>
      <c r="K137" s="824" t="str">
        <f t="shared" si="11"/>
        <v/>
      </c>
      <c r="L137" s="1079" t="str">
        <f>_IBM10</f>
        <v/>
      </c>
    </row>
    <row r="138" spans="1:12" ht="12" hidden="1" customHeight="1">
      <c r="A138" s="359" t="str">
        <f t="shared" si="7"/>
        <v>*</v>
      </c>
      <c r="B138" s="383"/>
      <c r="C138" s="502" t="str">
        <f t="shared" si="10"/>
        <v/>
      </c>
      <c r="D138" s="502" t="str">
        <f t="shared" si="8"/>
        <v/>
      </c>
      <c r="E138" s="835"/>
      <c r="F138" s="832" t="str">
        <f>IF(E138="","",IF(ComplexGeom=TRUE,'Complex Geometry'!$J29,F137+E138*($G$45-$G$43)/(DeckWidth-OSOHBack-OSOHBackRT)))</f>
        <v/>
      </c>
      <c r="G138" s="833" t="str">
        <f t="shared" si="6"/>
        <v/>
      </c>
      <c r="H138" s="824" t="str">
        <f>IF(C138="","",IF(ComplexGeom=FALSE,BBSPA11/COS(RADIANS(BentSkew)),Cmplx_Bk_PGLBm11))</f>
        <v/>
      </c>
      <c r="I138" s="825">
        <f t="shared" si="9"/>
        <v>0</v>
      </c>
      <c r="J138" s="834">
        <f t="shared" si="12"/>
        <v>0</v>
      </c>
      <c r="K138" s="824" t="str">
        <f t="shared" si="11"/>
        <v/>
      </c>
      <c r="L138" s="1079" t="str">
        <f>_IBM11</f>
        <v/>
      </c>
    </row>
    <row r="139" spans="1:12" ht="12" hidden="1" customHeight="1">
      <c r="A139" s="359" t="str">
        <f t="shared" si="7"/>
        <v>*</v>
      </c>
      <c r="B139" s="383"/>
      <c r="C139" s="502" t="str">
        <f t="shared" si="10"/>
        <v/>
      </c>
      <c r="D139" s="502" t="str">
        <f t="shared" si="8"/>
        <v/>
      </c>
      <c r="E139" s="835"/>
      <c r="F139" s="832" t="str">
        <f>IF(E139="","",IF(ComplexGeom=TRUE,'Complex Geometry'!$J30,F138+E139*($G$45-$G$43)/(DeckWidth-OSOHBack-OSOHBackRT)))</f>
        <v/>
      </c>
      <c r="G139" s="833" t="str">
        <f t="shared" si="6"/>
        <v/>
      </c>
      <c r="H139" s="824" t="str">
        <f>IF(C139="","",IF(ComplexGeom=FALSE,BBSPA12/COS(RADIANS(BentSkew)),Cmplx_Bk_PGLBm12))</f>
        <v/>
      </c>
      <c r="I139" s="825">
        <f t="shared" si="9"/>
        <v>0</v>
      </c>
      <c r="J139" s="834">
        <f t="shared" si="12"/>
        <v>0</v>
      </c>
      <c r="K139" s="824" t="str">
        <f t="shared" si="11"/>
        <v/>
      </c>
      <c r="L139" s="1079" t="str">
        <f>_IBM12</f>
        <v/>
      </c>
    </row>
    <row r="140" spans="1:12" ht="12" hidden="1" customHeight="1">
      <c r="A140" s="359" t="str">
        <f t="shared" si="7"/>
        <v>*</v>
      </c>
      <c r="B140" s="383"/>
      <c r="C140" s="502" t="str">
        <f t="shared" si="10"/>
        <v/>
      </c>
      <c r="D140" s="502" t="str">
        <f t="shared" si="8"/>
        <v/>
      </c>
      <c r="E140" s="835"/>
      <c r="F140" s="832" t="str">
        <f>IF(E140="","",IF(ComplexGeom=TRUE,'Complex Geometry'!$J31,F139+E140*($G$45-$G$43)/(DeckWidth-OSOHBack-OSOHBackRT)))</f>
        <v/>
      </c>
      <c r="G140" s="833" t="str">
        <f t="shared" si="6"/>
        <v/>
      </c>
      <c r="H140" s="824" t="str">
        <f>IF(C140="","",IF(ComplexGeom=FALSE,BBSPA13/COS(RADIANS(BentSkew)),Cmplx_Bk_PGLBm13))</f>
        <v/>
      </c>
      <c r="I140" s="825">
        <f t="shared" si="9"/>
        <v>0</v>
      </c>
      <c r="J140" s="834">
        <f t="shared" si="12"/>
        <v>0</v>
      </c>
      <c r="K140" s="824" t="str">
        <f t="shared" si="11"/>
        <v/>
      </c>
      <c r="L140" s="1079" t="str">
        <f>_IBM13</f>
        <v/>
      </c>
    </row>
    <row r="141" spans="1:12" ht="12" hidden="1" customHeight="1">
      <c r="A141" s="359" t="str">
        <f t="shared" si="7"/>
        <v>*</v>
      </c>
      <c r="B141" s="383"/>
      <c r="C141" s="502" t="str">
        <f t="shared" si="10"/>
        <v/>
      </c>
      <c r="D141" s="502" t="str">
        <f t="shared" si="8"/>
        <v/>
      </c>
      <c r="E141" s="835"/>
      <c r="F141" s="832" t="str">
        <f>IF(E141="","",IF(ComplexGeom=TRUE,'Complex Geometry'!$J32,F140+E141*($G$45-$G$43)/(DeckWidth-OSOHBack-OSOHBackRT)))</f>
        <v/>
      </c>
      <c r="G141" s="833" t="str">
        <f t="shared" si="6"/>
        <v/>
      </c>
      <c r="H141" s="824" t="str">
        <f>IF(C141="","",IF(ComplexGeom=FALSE,BBSPA14/COS(RADIANS(BentSkew)),Cmplx_Bk_PGLBm14))</f>
        <v/>
      </c>
      <c r="I141" s="825">
        <f t="shared" si="9"/>
        <v>0</v>
      </c>
      <c r="J141" s="834">
        <f t="shared" si="12"/>
        <v>0</v>
      </c>
      <c r="K141" s="824" t="str">
        <f t="shared" si="11"/>
        <v/>
      </c>
      <c r="L141" s="1079" t="str">
        <f>_IBM14</f>
        <v/>
      </c>
    </row>
    <row r="142" spans="1:12" ht="12" hidden="1" customHeight="1">
      <c r="A142" s="359" t="str">
        <f t="shared" si="7"/>
        <v>*</v>
      </c>
      <c r="B142" s="383"/>
      <c r="C142" s="502" t="str">
        <f t="shared" si="10"/>
        <v/>
      </c>
      <c r="D142" s="502" t="str">
        <f t="shared" si="8"/>
        <v/>
      </c>
      <c r="E142" s="835"/>
      <c r="F142" s="832" t="str">
        <f>IF(E142="","",IF(ComplexGeom=TRUE,'Complex Geometry'!$J33,F141+E142*($G$45-$G$43)/(DeckWidth-OSOHBack-OSOHBackRT)))</f>
        <v/>
      </c>
      <c r="G142" s="833" t="str">
        <f t="shared" si="6"/>
        <v/>
      </c>
      <c r="H142" s="824" t="str">
        <f>IF(C142="","",IF(ComplexGeom=FALSE,BBSPA15/COS(RADIANS(BentSkew)),Cmplx_Bk_PGLBm15))</f>
        <v/>
      </c>
      <c r="I142" s="825">
        <f t="shared" si="9"/>
        <v>0</v>
      </c>
      <c r="J142" s="834">
        <f t="shared" si="12"/>
        <v>0</v>
      </c>
      <c r="K142" s="824" t="str">
        <f t="shared" si="11"/>
        <v/>
      </c>
      <c r="L142" s="1079" t="str">
        <f>_IBM15</f>
        <v/>
      </c>
    </row>
    <row r="143" spans="1:12" ht="12" hidden="1" customHeight="1">
      <c r="A143" s="359" t="str">
        <f t="shared" si="7"/>
        <v>*</v>
      </c>
      <c r="B143" s="383"/>
      <c r="C143" s="502" t="str">
        <f t="shared" si="10"/>
        <v/>
      </c>
      <c r="D143" s="502" t="str">
        <f t="shared" si="8"/>
        <v/>
      </c>
      <c r="E143" s="835"/>
      <c r="F143" s="832" t="str">
        <f>IF(E143="","",IF(ComplexGeom=TRUE,'Complex Geometry'!$J34,F142+E143*($G$45-$G$43)/(DeckWidth-OSOHBack-OSOHBackRT)))</f>
        <v/>
      </c>
      <c r="G143" s="833" t="str">
        <f t="shared" si="6"/>
        <v/>
      </c>
      <c r="H143" s="824" t="str">
        <f>IF(C143="","",IF(ComplexGeom=FALSE,BBSPA16/COS(RADIANS(BentSkew)),Cmplx_Bk_PGLBm16))</f>
        <v/>
      </c>
      <c r="I143" s="825">
        <f t="shared" si="9"/>
        <v>0</v>
      </c>
      <c r="J143" s="834">
        <f t="shared" si="12"/>
        <v>0</v>
      </c>
      <c r="K143" s="824" t="str">
        <f t="shared" si="11"/>
        <v/>
      </c>
      <c r="L143" s="1079" t="str">
        <f>_IBM16</f>
        <v/>
      </c>
    </row>
    <row r="144" spans="1:12" ht="12" hidden="1" customHeight="1">
      <c r="A144" s="359" t="str">
        <f t="shared" si="7"/>
        <v>*</v>
      </c>
      <c r="B144" s="383"/>
      <c r="C144" s="502" t="str">
        <f t="shared" si="10"/>
        <v/>
      </c>
      <c r="D144" s="502" t="str">
        <f t="shared" si="8"/>
        <v/>
      </c>
      <c r="E144" s="835"/>
      <c r="F144" s="832" t="str">
        <f>IF(E144="","",IF(ComplexGeom=TRUE,'Complex Geometry'!$J35,F143+E144*($G$45-$G$43)/(DeckWidth-OSOHBack-OSOHBackRT)))</f>
        <v/>
      </c>
      <c r="G144" s="833" t="str">
        <f t="shared" si="6"/>
        <v/>
      </c>
      <c r="H144" s="824" t="str">
        <f>IF(C144="","",IF(ComplexGeom=FALSE,BBSPA17/COS(RADIANS(BentSkew)),Cmplx_Bk_PGLBm17))</f>
        <v/>
      </c>
      <c r="I144" s="825">
        <f t="shared" si="9"/>
        <v>0</v>
      </c>
      <c r="J144" s="834">
        <f t="shared" si="12"/>
        <v>0</v>
      </c>
      <c r="K144" s="824" t="str">
        <f t="shared" si="11"/>
        <v/>
      </c>
      <c r="L144" s="1079" t="str">
        <f>_IBM17</f>
        <v/>
      </c>
    </row>
    <row r="145" spans="1:18" ht="12" hidden="1" customHeight="1">
      <c r="A145" s="359" t="str">
        <f t="shared" si="7"/>
        <v>*</v>
      </c>
      <c r="B145" s="383"/>
      <c r="C145" s="502" t="str">
        <f t="shared" si="10"/>
        <v/>
      </c>
      <c r="D145" s="502" t="str">
        <f t="shared" si="8"/>
        <v/>
      </c>
      <c r="E145" s="835"/>
      <c r="F145" s="832" t="str">
        <f>IF(E145="","",IF(ComplexGeom=TRUE,'Complex Geometry'!$J36,F144+E145*($G$45-$G$43)/(DeckWidth-OSOHBack-OSOHBackRT)))</f>
        <v/>
      </c>
      <c r="G145" s="833" t="str">
        <f t="shared" si="6"/>
        <v/>
      </c>
      <c r="H145" s="824" t="str">
        <f>IF(C145="","",IF(ComplexGeom=FALSE,BBSPA18/COS(RADIANS(BentSkew)),Cmplx_Bk_PGLBm18))</f>
        <v/>
      </c>
      <c r="I145" s="825">
        <f t="shared" si="9"/>
        <v>0</v>
      </c>
      <c r="J145" s="834">
        <f t="shared" si="12"/>
        <v>0</v>
      </c>
      <c r="K145" s="824" t="str">
        <f t="shared" si="11"/>
        <v/>
      </c>
      <c r="L145" s="1079" t="str">
        <f>_IBM18</f>
        <v/>
      </c>
      <c r="R145" s="388"/>
    </row>
    <row r="146" spans="1:18" ht="12.75" hidden="1" customHeight="1">
      <c r="A146" s="359" t="str">
        <f t="shared" si="7"/>
        <v>*</v>
      </c>
      <c r="B146" s="383"/>
      <c r="C146" s="502" t="str">
        <f t="shared" si="10"/>
        <v/>
      </c>
      <c r="D146" s="502" t="str">
        <f t="shared" si="8"/>
        <v/>
      </c>
      <c r="E146" s="835"/>
      <c r="F146" s="832" t="str">
        <f>IF(E146="","",IF(ComplexGeom=TRUE,'Complex Geometry'!$J37,F145+E146*($G$45-$G$43)/(DeckWidth-OSOHBack-OSOHBackRT)))</f>
        <v/>
      </c>
      <c r="G146" s="833" t="str">
        <f t="shared" si="6"/>
        <v/>
      </c>
      <c r="H146" s="824" t="str">
        <f>IF(C146="","",IF(ComplexGeom=FALSE,BBSPA19/COS(RADIANS(BentSkew)),Cmplx_Bk_PGLBm19))</f>
        <v/>
      </c>
      <c r="I146" s="825">
        <f t="shared" si="9"/>
        <v>0</v>
      </c>
      <c r="J146" s="834">
        <f t="shared" si="12"/>
        <v>0</v>
      </c>
      <c r="K146" s="824" t="str">
        <f t="shared" si="11"/>
        <v/>
      </c>
      <c r="L146" s="1079" t="str">
        <f>_IBM19</f>
        <v/>
      </c>
      <c r="R146" s="388"/>
    </row>
    <row r="147" spans="1:18" ht="12.75" hidden="1" customHeight="1">
      <c r="A147" s="359" t="str">
        <f t="shared" si="7"/>
        <v>*</v>
      </c>
      <c r="B147" s="383"/>
      <c r="C147" s="502" t="str">
        <f t="shared" si="10"/>
        <v/>
      </c>
      <c r="D147" s="502" t="str">
        <f t="shared" si="8"/>
        <v/>
      </c>
      <c r="E147" s="835"/>
      <c r="F147" s="832" t="str">
        <f>IF(E147="","",IF(ComplexGeom=TRUE,'Complex Geometry'!$J38,F146+E147*($G$45-$G$43)/(DeckWidth-OSOHBack-OSOHBackRT)))</f>
        <v/>
      </c>
      <c r="G147" s="833" t="str">
        <f t="shared" si="6"/>
        <v/>
      </c>
      <c r="H147" s="824" t="str">
        <f>IF(C147="","",IF(ComplexGeom=FALSE,BBSPA20/COS(RADIANS(BentSkew)),Cmplx_Bk_PGLBm20))</f>
        <v/>
      </c>
      <c r="I147" s="825">
        <f t="shared" si="9"/>
        <v>0</v>
      </c>
      <c r="J147" s="834">
        <f t="shared" si="12"/>
        <v>0</v>
      </c>
      <c r="K147" s="824" t="str">
        <f t="shared" si="11"/>
        <v/>
      </c>
      <c r="L147" s="1079" t="str">
        <f>_IBM20</f>
        <v/>
      </c>
      <c r="R147" s="388"/>
    </row>
    <row r="148" spans="1:18" ht="12.75" customHeight="1">
      <c r="A148" s="359" t="s">
        <v>1118</v>
      </c>
      <c r="B148" s="383"/>
      <c r="C148" s="383"/>
      <c r="D148" s="383"/>
      <c r="E148" s="383"/>
      <c r="F148" s="383"/>
      <c r="G148" s="1212" t="str">
        <f>"Distance from Back Span Beam " &amp; MAX(D128:D147) &amp; " to right edge of slab ="</f>
        <v>Distance from Back Span Beam 4 to right edge of slab =</v>
      </c>
      <c r="H148" s="1214">
        <f>ROUND(DeckWidth-VLOOKUP(MAX(D128:D147),C128:K147,9),3)</f>
        <v>3</v>
      </c>
      <c r="I148" s="568" t="str">
        <f>IF(MAX(I128:I147)&gt;caplength,"INCREASE CAP LENGTH","")</f>
        <v/>
      </c>
      <c r="J148" s="662"/>
      <c r="K148" s="662"/>
      <c r="L148" s="383"/>
      <c r="R148" s="388"/>
    </row>
    <row r="149" spans="1:18" ht="12.75" customHeight="1">
      <c r="A149" s="359"/>
      <c r="B149" s="383"/>
      <c r="C149" s="383"/>
      <c r="D149" s="383"/>
      <c r="E149" s="383"/>
      <c r="F149" s="383"/>
      <c r="G149" s="1213" t="str">
        <f>"*Distance from end of beam to "&amp; IF(CapType="Inverted-Tee","face of inverted-tee","center of cap")&amp;" ="</f>
        <v>*Distance from end of beam to center of cap =</v>
      </c>
      <c r="H149" s="1215">
        <f>VLOOKUP(bkspangirder,Reference!B6:G45,6,FALSE)</f>
        <v>3</v>
      </c>
      <c r="I149" s="1167"/>
      <c r="J149" s="383"/>
      <c r="K149" s="383"/>
      <c r="L149" s="383"/>
      <c r="R149" s="388"/>
    </row>
    <row r="150" spans="1:18" ht="12.75" customHeight="1">
      <c r="A150" s="359"/>
      <c r="B150" s="383"/>
      <c r="C150" s="383"/>
      <c r="D150" s="383"/>
      <c r="E150" s="383"/>
      <c r="F150" s="383"/>
      <c r="G150" s="383"/>
      <c r="H150" s="383"/>
      <c r="I150" s="383"/>
      <c r="J150" s="383"/>
      <c r="K150" s="383"/>
      <c r="L150" s="383"/>
      <c r="R150" s="388"/>
    </row>
    <row r="151" spans="1:18" ht="12.75" customHeight="1">
      <c r="A151" s="359"/>
      <c r="B151" s="383"/>
      <c r="C151" s="1204" t="s">
        <v>252</v>
      </c>
      <c r="D151" s="383"/>
      <c r="E151" s="383"/>
      <c r="F151" s="715" t="s">
        <v>249</v>
      </c>
      <c r="G151" s="896">
        <f>G33</f>
        <v>4</v>
      </c>
      <c r="H151" s="383"/>
      <c r="I151" s="383"/>
      <c r="J151" s="383"/>
      <c r="K151" s="383"/>
      <c r="L151" s="383"/>
      <c r="R151" s="388"/>
    </row>
    <row r="152" spans="1:18" ht="12.75" customHeight="1">
      <c r="A152" s="359"/>
      <c r="B152" s="383"/>
      <c r="C152" s="383"/>
      <c r="D152" s="383"/>
      <c r="E152" s="383"/>
      <c r="F152" s="383"/>
      <c r="G152" s="730"/>
      <c r="H152" s="1464" t="s">
        <v>735</v>
      </c>
      <c r="I152" s="1465"/>
      <c r="J152" s="1465"/>
      <c r="K152" s="1466"/>
      <c r="L152" s="1470" t="s">
        <v>1028</v>
      </c>
      <c r="R152" s="388"/>
    </row>
    <row r="153" spans="1:18" ht="12.75" customHeight="1">
      <c r="A153" s="359"/>
      <c r="B153" s="383"/>
      <c r="C153" s="383"/>
      <c r="D153" s="383"/>
      <c r="E153" s="1464" t="s">
        <v>725</v>
      </c>
      <c r="F153" s="1465"/>
      <c r="G153" s="1466"/>
      <c r="H153" s="1467" t="s">
        <v>732</v>
      </c>
      <c r="I153" s="1467" t="s">
        <v>1243</v>
      </c>
      <c r="J153" s="1467" t="s">
        <v>733</v>
      </c>
      <c r="K153" s="1467" t="s">
        <v>737</v>
      </c>
      <c r="L153" s="1471"/>
      <c r="R153" s="388"/>
    </row>
    <row r="154" spans="1:18" ht="12" customHeight="1">
      <c r="A154" s="359"/>
      <c r="B154" s="383"/>
      <c r="C154" s="383"/>
      <c r="D154" s="383"/>
      <c r="E154" s="828" t="str">
        <f>IF(ComplexGeom=TRUE,"Equivalent","Beam")</f>
        <v>Beam</v>
      </c>
      <c r="F154" s="1464" t="s">
        <v>724</v>
      </c>
      <c r="G154" s="1466"/>
      <c r="H154" s="1468"/>
      <c r="I154" s="1468"/>
      <c r="J154" s="1468"/>
      <c r="K154" s="1468"/>
      <c r="L154" s="1471"/>
      <c r="R154" s="388"/>
    </row>
    <row r="155" spans="1:18" ht="12" customHeight="1">
      <c r="A155" s="359"/>
      <c r="B155" s="383"/>
      <c r="C155" s="728" t="s">
        <v>237</v>
      </c>
      <c r="D155" s="728" t="s">
        <v>238</v>
      </c>
      <c r="E155" s="829" t="s">
        <v>239</v>
      </c>
      <c r="F155" s="827" t="s">
        <v>736</v>
      </c>
      <c r="G155" s="826" t="s">
        <v>740</v>
      </c>
      <c r="H155" s="1469"/>
      <c r="I155" s="1469"/>
      <c r="J155" s="1469"/>
      <c r="K155" s="1469"/>
      <c r="L155" s="1472"/>
      <c r="R155" s="388"/>
    </row>
    <row r="156" spans="1:18" ht="12" customHeight="1">
      <c r="B156" s="383"/>
      <c r="C156" s="729" t="s">
        <v>730</v>
      </c>
      <c r="D156" s="502">
        <v>1</v>
      </c>
      <c r="E156" s="835">
        <f>OSOH</f>
        <v>3</v>
      </c>
      <c r="F156" s="832">
        <f>IF(ComplexGeom=TRUE,Cmplx_Fd_CCBm1,$G$44)</f>
        <v>120</v>
      </c>
      <c r="G156" s="837">
        <f t="shared" ref="G156:G175" si="13">IF(F156="","",(F156-2*BmEndDist/12-IF(OR($D$60="Rectangular",$D$60="Tee"),0,(capstemWidth)/12)))</f>
        <v>119.5</v>
      </c>
      <c r="H156" s="1349" t="s">
        <v>1564</v>
      </c>
      <c r="I156" s="824">
        <f>Bm1toCapEnd+BearingDist/12*TAN(RADIANS(BentSkew))</f>
        <v>2</v>
      </c>
      <c r="J156" s="834">
        <f>OSOH/COS(RADIANS(BentSkew))+BearingDist/12*TAN(RADIANS(BentSkew))</f>
        <v>3</v>
      </c>
      <c r="K156" s="824">
        <f>IF(C156="","",OSOH)</f>
        <v>3</v>
      </c>
      <c r="L156" s="1079">
        <f>IIBM1</f>
        <v>6</v>
      </c>
      <c r="R156" s="388"/>
    </row>
    <row r="157" spans="1:18" ht="12" customHeight="1">
      <c r="A157" s="359" t="str">
        <f t="shared" ref="A157:A175" si="14">IF(C157="","*","")</f>
        <v/>
      </c>
      <c r="B157" s="383"/>
      <c r="C157" s="502">
        <v>1</v>
      </c>
      <c r="D157" s="502">
        <f t="shared" ref="D157:D175" si="15">IF(D156="","",IF(D156+1&lt;=$G$151,D156+1,""))</f>
        <v>2</v>
      </c>
      <c r="E157" s="835">
        <f>FdSpa</f>
        <v>14.666666666666666</v>
      </c>
      <c r="F157" s="832">
        <f>IF(E157="","",IF(ComplexGeom=TRUE,'Complex Geometry'!$J42,F156+E157*($G$46-$G$44)/(DeckWidth-OSOH-OSOHRT)))</f>
        <v>120</v>
      </c>
      <c r="G157" s="837">
        <f t="shared" si="13"/>
        <v>119.5</v>
      </c>
      <c r="H157" s="824">
        <f>IF(C157="","",IF(ComplexGeom=FALSE,FBSPA2/COS(RADIANS(BentSkew)),Cmplx_Fd_PGLBm2))</f>
        <v>14.666666666666666</v>
      </c>
      <c r="I157" s="825">
        <f t="shared" ref="I157:I175" si="16">IF(C157="",0,H157+I156)</f>
        <v>16.666666666666664</v>
      </c>
      <c r="J157" s="834">
        <f>IF(C157="",0,(I157-I156)+J156)</f>
        <v>17.666666666666664</v>
      </c>
      <c r="K157" s="824">
        <f>IF(C157="","",K156+E157)</f>
        <v>17.666666666666664</v>
      </c>
      <c r="L157" s="1079">
        <f>IIBM2</f>
        <v>35</v>
      </c>
      <c r="R157" s="388"/>
    </row>
    <row r="158" spans="1:18" ht="12" customHeight="1">
      <c r="A158" s="359" t="str">
        <f t="shared" si="14"/>
        <v/>
      </c>
      <c r="B158" s="383"/>
      <c r="C158" s="502">
        <f>IF(D158="","",D157)</f>
        <v>2</v>
      </c>
      <c r="D158" s="502">
        <f t="shared" si="15"/>
        <v>3</v>
      </c>
      <c r="E158" s="835">
        <f>FdSpa</f>
        <v>14.666666666666666</v>
      </c>
      <c r="F158" s="832">
        <f>IF(E158="","",IF(ComplexGeom=TRUE,'Complex Geometry'!$J43,F157+E158*($G$46-$G$44)/(DeckWidth-OSOH-OSOHRT)))</f>
        <v>120</v>
      </c>
      <c r="G158" s="837">
        <f t="shared" si="13"/>
        <v>119.5</v>
      </c>
      <c r="H158" s="824">
        <f>IF(C158="","",IF(ComplexGeom=FALSE,FBSPA3/COS(RADIANS(BentSkew)),Cmplx_Fd_PGLBm3))</f>
        <v>14.666666666666666</v>
      </c>
      <c r="I158" s="825">
        <f t="shared" si="16"/>
        <v>31.333333333333329</v>
      </c>
      <c r="J158" s="834">
        <f t="shared" ref="J158:J175" si="17">IF(C158="",0,(I158-I157)+J157)</f>
        <v>32.333333333333329</v>
      </c>
      <c r="K158" s="824">
        <f t="shared" ref="K158:K175" si="18">IF(C158="","",K157+E158)</f>
        <v>32.333333333333329</v>
      </c>
      <c r="L158" s="1079">
        <f>IIBM3</f>
        <v>65</v>
      </c>
      <c r="R158" s="388"/>
    </row>
    <row r="159" spans="1:18" ht="12" customHeight="1">
      <c r="A159" s="359" t="str">
        <f t="shared" si="14"/>
        <v/>
      </c>
      <c r="B159" s="383"/>
      <c r="C159" s="502">
        <f t="shared" ref="C159:C175" si="19">IF(D159="","",D158)</f>
        <v>3</v>
      </c>
      <c r="D159" s="502">
        <f t="shared" si="15"/>
        <v>4</v>
      </c>
      <c r="E159" s="835">
        <f>FdSpa</f>
        <v>14.666666666666666</v>
      </c>
      <c r="F159" s="832">
        <f>IF(E159="","",IF(ComplexGeom=TRUE,'Complex Geometry'!$J44,F158+E159*($G$46-$G$44)/(DeckWidth-OSOH-OSOHRT)))</f>
        <v>120</v>
      </c>
      <c r="G159" s="837">
        <f t="shared" si="13"/>
        <v>119.5</v>
      </c>
      <c r="H159" s="824">
        <f>IF(C159="","",IF(ComplexGeom=FALSE,FBSPA4/COS(RADIANS(BentSkew)),Cmplx_Fd_PGLBm4))</f>
        <v>14.666666666666666</v>
      </c>
      <c r="I159" s="825">
        <f t="shared" si="16"/>
        <v>45.999999999999993</v>
      </c>
      <c r="J159" s="834">
        <f t="shared" si="17"/>
        <v>46.999999999999993</v>
      </c>
      <c r="K159" s="824">
        <f t="shared" si="18"/>
        <v>46.999999999999993</v>
      </c>
      <c r="L159" s="1079">
        <f>IIBM4</f>
        <v>94</v>
      </c>
      <c r="R159" s="388"/>
    </row>
    <row r="160" spans="1:18" ht="12" hidden="1" customHeight="1">
      <c r="A160" s="359" t="str">
        <f t="shared" si="14"/>
        <v>*</v>
      </c>
      <c r="B160" s="383"/>
      <c r="C160" s="502" t="str">
        <f t="shared" si="19"/>
        <v/>
      </c>
      <c r="D160" s="502" t="str">
        <f t="shared" si="15"/>
        <v/>
      </c>
      <c r="E160" s="835"/>
      <c r="F160" s="832" t="str">
        <f>IF(E160="","",IF(ComplexGeom=TRUE,'Complex Geometry'!$J45,F159+E160*($G$46-$G$44)/(DeckWidth-OSOH-OSOHRT)))</f>
        <v/>
      </c>
      <c r="G160" s="837" t="str">
        <f t="shared" si="13"/>
        <v/>
      </c>
      <c r="H160" s="824" t="str">
        <f>IF(C160="","",IF(ComplexGeom=FALSE,FBSPA5/COS(RADIANS(BentSkew)),Cmplx_Fd_PGLBm5))</f>
        <v/>
      </c>
      <c r="I160" s="825">
        <f t="shared" si="16"/>
        <v>0</v>
      </c>
      <c r="J160" s="834">
        <f t="shared" si="17"/>
        <v>0</v>
      </c>
      <c r="K160" s="824" t="str">
        <f t="shared" si="18"/>
        <v/>
      </c>
      <c r="L160" s="1079" t="str">
        <f>IIBM5</f>
        <v/>
      </c>
      <c r="R160" s="388"/>
    </row>
    <row r="161" spans="1:18" ht="12" hidden="1" customHeight="1">
      <c r="A161" s="359" t="str">
        <f t="shared" si="14"/>
        <v>*</v>
      </c>
      <c r="B161" s="383"/>
      <c r="C161" s="502" t="str">
        <f t="shared" si="19"/>
        <v/>
      </c>
      <c r="D161" s="502" t="str">
        <f t="shared" si="15"/>
        <v/>
      </c>
      <c r="E161" s="835"/>
      <c r="F161" s="832" t="str">
        <f>IF(E161="","",IF(ComplexGeom=TRUE,'Complex Geometry'!$J46,F160+E161*($G$46-$G$44)/(DeckWidth-OSOH-OSOHRT)))</f>
        <v/>
      </c>
      <c r="G161" s="837" t="str">
        <f t="shared" si="13"/>
        <v/>
      </c>
      <c r="H161" s="824" t="str">
        <f>IF(C161="","",IF(ComplexGeom=FALSE,FBSPA6/COS(RADIANS(BentSkew)),Cmplx_Fd_PGLBm6))</f>
        <v/>
      </c>
      <c r="I161" s="825">
        <f t="shared" si="16"/>
        <v>0</v>
      </c>
      <c r="J161" s="834">
        <f t="shared" si="17"/>
        <v>0</v>
      </c>
      <c r="K161" s="824" t="str">
        <f t="shared" si="18"/>
        <v/>
      </c>
      <c r="L161" s="1079" t="str">
        <f>IIBM6</f>
        <v/>
      </c>
      <c r="R161" s="388"/>
    </row>
    <row r="162" spans="1:18" ht="12" hidden="1" customHeight="1">
      <c r="A162" s="359" t="str">
        <f t="shared" si="14"/>
        <v>*</v>
      </c>
      <c r="B162" s="383"/>
      <c r="C162" s="502" t="str">
        <f t="shared" si="19"/>
        <v/>
      </c>
      <c r="D162" s="502" t="str">
        <f t="shared" si="15"/>
        <v/>
      </c>
      <c r="E162" s="835"/>
      <c r="F162" s="832" t="str">
        <f>IF(E162="","",IF(ComplexGeom=TRUE,'Complex Geometry'!$J47,F161+E162*($G$46-$G$44)/(DeckWidth-OSOH-OSOHRT)))</f>
        <v/>
      </c>
      <c r="G162" s="837" t="str">
        <f t="shared" si="13"/>
        <v/>
      </c>
      <c r="H162" s="824" t="str">
        <f>IF(C162="","",IF(ComplexGeom=FALSE,FBSPA7/COS(RADIANS(BentSkew)),Cmplx_Fd_PGLBm7))</f>
        <v/>
      </c>
      <c r="I162" s="825">
        <f t="shared" si="16"/>
        <v>0</v>
      </c>
      <c r="J162" s="834">
        <f t="shared" si="17"/>
        <v>0</v>
      </c>
      <c r="K162" s="824" t="str">
        <f t="shared" si="18"/>
        <v/>
      </c>
      <c r="L162" s="1079" t="str">
        <f>IIBM7</f>
        <v/>
      </c>
      <c r="R162" s="388"/>
    </row>
    <row r="163" spans="1:18" ht="12" hidden="1" customHeight="1">
      <c r="A163" s="359" t="str">
        <f t="shared" si="14"/>
        <v>*</v>
      </c>
      <c r="B163" s="383"/>
      <c r="C163" s="502" t="str">
        <f t="shared" si="19"/>
        <v/>
      </c>
      <c r="D163" s="502" t="str">
        <f t="shared" si="15"/>
        <v/>
      </c>
      <c r="E163" s="835"/>
      <c r="F163" s="832" t="str">
        <f>IF(E163="","",IF(ComplexGeom=TRUE,'Complex Geometry'!$J48,F162+E163*($G$46-$G$44)/(DeckWidth-OSOH-OSOHRT)))</f>
        <v/>
      </c>
      <c r="G163" s="837" t="str">
        <f t="shared" si="13"/>
        <v/>
      </c>
      <c r="H163" s="824" t="str">
        <f>IF(C163="","",IF(ComplexGeom=FALSE,FBSPA8/COS(RADIANS(BentSkew)),Cmplx_Fd_PGLBm8))</f>
        <v/>
      </c>
      <c r="I163" s="825">
        <f t="shared" si="16"/>
        <v>0</v>
      </c>
      <c r="J163" s="834">
        <f t="shared" si="17"/>
        <v>0</v>
      </c>
      <c r="K163" s="824" t="str">
        <f t="shared" si="18"/>
        <v/>
      </c>
      <c r="L163" s="1079" t="str">
        <f>IIBM8</f>
        <v/>
      </c>
      <c r="R163" s="388"/>
    </row>
    <row r="164" spans="1:18" ht="12" hidden="1" customHeight="1">
      <c r="A164" s="359" t="str">
        <f t="shared" si="14"/>
        <v>*</v>
      </c>
      <c r="B164" s="383"/>
      <c r="C164" s="502" t="str">
        <f t="shared" si="19"/>
        <v/>
      </c>
      <c r="D164" s="502" t="str">
        <f t="shared" si="15"/>
        <v/>
      </c>
      <c r="E164" s="835"/>
      <c r="F164" s="832" t="str">
        <f>IF(E164="","",IF(ComplexGeom=TRUE,'Complex Geometry'!$J49,F163+E164*($G$46-$G$44)/(DeckWidth-OSOH-OSOHRT)))</f>
        <v/>
      </c>
      <c r="G164" s="837" t="str">
        <f t="shared" si="13"/>
        <v/>
      </c>
      <c r="H164" s="824" t="str">
        <f>IF(C164="","",IF(ComplexGeom=FALSE,FBSPA9/COS(RADIANS(BentSkew)),Cmplx_Fd_PGLBm9))</f>
        <v/>
      </c>
      <c r="I164" s="825">
        <f t="shared" si="16"/>
        <v>0</v>
      </c>
      <c r="J164" s="834">
        <f t="shared" si="17"/>
        <v>0</v>
      </c>
      <c r="K164" s="824" t="str">
        <f t="shared" si="18"/>
        <v/>
      </c>
      <c r="L164" s="1079" t="str">
        <f>IIBM9</f>
        <v/>
      </c>
      <c r="R164" s="388"/>
    </row>
    <row r="165" spans="1:18" ht="12" hidden="1" customHeight="1">
      <c r="A165" s="359" t="str">
        <f t="shared" si="14"/>
        <v>*</v>
      </c>
      <c r="B165" s="383"/>
      <c r="C165" s="502" t="str">
        <f t="shared" si="19"/>
        <v/>
      </c>
      <c r="D165" s="502" t="str">
        <f t="shared" si="15"/>
        <v/>
      </c>
      <c r="E165" s="835"/>
      <c r="F165" s="832" t="str">
        <f>IF(E165="","",IF(ComplexGeom=TRUE,'Complex Geometry'!$J50,F164+E165*($G$46-$G$44)/(DeckWidth-OSOH-OSOHRT)))</f>
        <v/>
      </c>
      <c r="G165" s="837" t="str">
        <f t="shared" si="13"/>
        <v/>
      </c>
      <c r="H165" s="824" t="str">
        <f>IF(C165="","",IF(ComplexGeom=FALSE,FBSPA10/COS(RADIANS(BentSkew)),Cmplx_Fd_PGLBm10))</f>
        <v/>
      </c>
      <c r="I165" s="825">
        <f t="shared" si="16"/>
        <v>0</v>
      </c>
      <c r="J165" s="834">
        <f t="shared" si="17"/>
        <v>0</v>
      </c>
      <c r="K165" s="824" t="str">
        <f t="shared" si="18"/>
        <v/>
      </c>
      <c r="L165" s="1079" t="str">
        <f>IIBM10</f>
        <v/>
      </c>
      <c r="R165" s="388"/>
    </row>
    <row r="166" spans="1:18" ht="12" hidden="1" customHeight="1">
      <c r="A166" s="359" t="str">
        <f t="shared" si="14"/>
        <v>*</v>
      </c>
      <c r="B166" s="383"/>
      <c r="C166" s="502" t="str">
        <f t="shared" si="19"/>
        <v/>
      </c>
      <c r="D166" s="502" t="str">
        <f t="shared" si="15"/>
        <v/>
      </c>
      <c r="E166" s="835"/>
      <c r="F166" s="832" t="str">
        <f>IF(E166="","",IF(ComplexGeom=TRUE,'Complex Geometry'!$J51,F165+E166*($G$46-$G$44)/(DeckWidth-OSOH-OSOHRT)))</f>
        <v/>
      </c>
      <c r="G166" s="837" t="str">
        <f t="shared" si="13"/>
        <v/>
      </c>
      <c r="H166" s="824" t="str">
        <f>IF(C166="","",IF(ComplexGeom=FALSE,FBSPA11/COS(RADIANS(BentSkew)),Cmplx_Fd_PGLBm11))</f>
        <v/>
      </c>
      <c r="I166" s="825">
        <f t="shared" si="16"/>
        <v>0</v>
      </c>
      <c r="J166" s="834">
        <f t="shared" si="17"/>
        <v>0</v>
      </c>
      <c r="K166" s="824" t="str">
        <f t="shared" si="18"/>
        <v/>
      </c>
      <c r="L166" s="1079" t="str">
        <f>IIBM11</f>
        <v/>
      </c>
      <c r="R166" s="388"/>
    </row>
    <row r="167" spans="1:18" ht="12" hidden="1" customHeight="1">
      <c r="A167" s="359" t="str">
        <f t="shared" si="14"/>
        <v>*</v>
      </c>
      <c r="B167" s="383"/>
      <c r="C167" s="502" t="str">
        <f t="shared" si="19"/>
        <v/>
      </c>
      <c r="D167" s="502" t="str">
        <f t="shared" si="15"/>
        <v/>
      </c>
      <c r="E167" s="835"/>
      <c r="F167" s="832" t="str">
        <f>IF(E167="","",IF(ComplexGeom=TRUE,'Complex Geometry'!$J52,F166+E167*($G$46-$G$44)/(DeckWidth-OSOH-OSOHRT)))</f>
        <v/>
      </c>
      <c r="G167" s="837" t="str">
        <f t="shared" si="13"/>
        <v/>
      </c>
      <c r="H167" s="824" t="str">
        <f>IF(C167="","",IF(ComplexGeom=FALSE,FBSPA12/COS(RADIANS(BentSkew)),Cmplx_Fd_PGLBm12))</f>
        <v/>
      </c>
      <c r="I167" s="825">
        <f t="shared" si="16"/>
        <v>0</v>
      </c>
      <c r="J167" s="834">
        <f t="shared" si="17"/>
        <v>0</v>
      </c>
      <c r="K167" s="824" t="str">
        <f t="shared" si="18"/>
        <v/>
      </c>
      <c r="L167" s="1079" t="str">
        <f>IIBM12</f>
        <v/>
      </c>
      <c r="R167" s="388"/>
    </row>
    <row r="168" spans="1:18" ht="12" hidden="1" customHeight="1">
      <c r="A168" s="359" t="str">
        <f t="shared" si="14"/>
        <v>*</v>
      </c>
      <c r="B168" s="383"/>
      <c r="C168" s="502" t="str">
        <f t="shared" si="19"/>
        <v/>
      </c>
      <c r="D168" s="502" t="str">
        <f t="shared" si="15"/>
        <v/>
      </c>
      <c r="E168" s="835"/>
      <c r="F168" s="832" t="str">
        <f>IF(E168="","",IF(ComplexGeom=TRUE,'Complex Geometry'!$J53,F167+E168*($G$46-$G$44)/(DeckWidth-OSOH-OSOHRT)))</f>
        <v/>
      </c>
      <c r="G168" s="837" t="str">
        <f t="shared" si="13"/>
        <v/>
      </c>
      <c r="H168" s="824" t="str">
        <f>IF(C168="","",IF(ComplexGeom=FALSE,FBSPA13/COS(RADIANS(BentSkew)),Cmplx_Fd_PGLBm13))</f>
        <v/>
      </c>
      <c r="I168" s="825">
        <f t="shared" si="16"/>
        <v>0</v>
      </c>
      <c r="J168" s="834">
        <f t="shared" si="17"/>
        <v>0</v>
      </c>
      <c r="K168" s="824" t="str">
        <f t="shared" si="18"/>
        <v/>
      </c>
      <c r="L168" s="1079" t="str">
        <f>IIBM13</f>
        <v/>
      </c>
      <c r="R168" s="388"/>
    </row>
    <row r="169" spans="1:18" ht="12" hidden="1" customHeight="1">
      <c r="A169" s="359" t="str">
        <f t="shared" si="14"/>
        <v>*</v>
      </c>
      <c r="B169" s="383"/>
      <c r="C169" s="502" t="str">
        <f t="shared" si="19"/>
        <v/>
      </c>
      <c r="D169" s="502" t="str">
        <f t="shared" si="15"/>
        <v/>
      </c>
      <c r="E169" s="835"/>
      <c r="F169" s="832" t="str">
        <f>IF(E169="","",IF(ComplexGeom=TRUE,'Complex Geometry'!$J54,F168+E169*($G$46-$G$44)/(DeckWidth-OSOH-OSOHRT)))</f>
        <v/>
      </c>
      <c r="G169" s="837" t="str">
        <f t="shared" si="13"/>
        <v/>
      </c>
      <c r="H169" s="824" t="str">
        <f>IF(C169="","",IF(ComplexGeom=FALSE,FBSPA14/COS(RADIANS(BentSkew)),Cmplx_Fd_PGLBm14))</f>
        <v/>
      </c>
      <c r="I169" s="825">
        <f t="shared" si="16"/>
        <v>0</v>
      </c>
      <c r="J169" s="834">
        <f t="shared" si="17"/>
        <v>0</v>
      </c>
      <c r="K169" s="824" t="str">
        <f t="shared" si="18"/>
        <v/>
      </c>
      <c r="L169" s="1079" t="str">
        <f>IIBM14</f>
        <v/>
      </c>
      <c r="R169" s="388"/>
    </row>
    <row r="170" spans="1:18" ht="12" hidden="1" customHeight="1">
      <c r="A170" s="359" t="str">
        <f t="shared" si="14"/>
        <v>*</v>
      </c>
      <c r="B170" s="383"/>
      <c r="C170" s="502" t="str">
        <f>IF(D170="","",D169)</f>
        <v/>
      </c>
      <c r="D170" s="502" t="str">
        <f t="shared" si="15"/>
        <v/>
      </c>
      <c r="E170" s="835"/>
      <c r="F170" s="832" t="str">
        <f>IF(E170="","",IF(ComplexGeom=TRUE,'Complex Geometry'!$J55,F169+E170*($G$46-$G$44)/(DeckWidth-OSOH-OSOHRT)))</f>
        <v/>
      </c>
      <c r="G170" s="837" t="str">
        <f t="shared" si="13"/>
        <v/>
      </c>
      <c r="H170" s="824" t="str">
        <f>IF(C170="","",IF(ComplexGeom=FALSE,FBSPA15/COS(RADIANS(BentSkew)),Cmplx_Fd_PGLBm15))</f>
        <v/>
      </c>
      <c r="I170" s="825">
        <f t="shared" si="16"/>
        <v>0</v>
      </c>
      <c r="J170" s="834">
        <f t="shared" si="17"/>
        <v>0</v>
      </c>
      <c r="K170" s="824" t="str">
        <f t="shared" si="18"/>
        <v/>
      </c>
      <c r="L170" s="1079" t="str">
        <f>IIBM15</f>
        <v/>
      </c>
      <c r="R170" s="388"/>
    </row>
    <row r="171" spans="1:18" ht="12" hidden="1" customHeight="1">
      <c r="A171" s="359" t="str">
        <f t="shared" si="14"/>
        <v>*</v>
      </c>
      <c r="B171" s="383"/>
      <c r="C171" s="502" t="str">
        <f t="shared" si="19"/>
        <v/>
      </c>
      <c r="D171" s="502" t="str">
        <f t="shared" si="15"/>
        <v/>
      </c>
      <c r="E171" s="835"/>
      <c r="F171" s="832" t="str">
        <f>IF(E171="","",IF(ComplexGeom=TRUE,'Complex Geometry'!$J56,F170+E171*($G$46-$G$44)/(DeckWidth-OSOH-OSOHRT)))</f>
        <v/>
      </c>
      <c r="G171" s="837" t="str">
        <f t="shared" si="13"/>
        <v/>
      </c>
      <c r="H171" s="824" t="str">
        <f>IF(C171="","",IF(ComplexGeom=FALSE,FBSPA16/COS(RADIANS(BentSkew)),Cmplx_Fd_PGLBm16))</f>
        <v/>
      </c>
      <c r="I171" s="825">
        <f t="shared" si="16"/>
        <v>0</v>
      </c>
      <c r="J171" s="834">
        <f t="shared" si="17"/>
        <v>0</v>
      </c>
      <c r="K171" s="824" t="str">
        <f t="shared" si="18"/>
        <v/>
      </c>
      <c r="L171" s="1079" t="str">
        <f>IIBM16</f>
        <v/>
      </c>
      <c r="R171" s="388"/>
    </row>
    <row r="172" spans="1:18" ht="12" hidden="1" customHeight="1">
      <c r="A172" s="359" t="str">
        <f t="shared" si="14"/>
        <v>*</v>
      </c>
      <c r="B172" s="383"/>
      <c r="C172" s="502" t="str">
        <f t="shared" si="19"/>
        <v/>
      </c>
      <c r="D172" s="502" t="str">
        <f t="shared" si="15"/>
        <v/>
      </c>
      <c r="E172" s="835"/>
      <c r="F172" s="832" t="str">
        <f>IF(E172="","",IF(ComplexGeom=TRUE,'Complex Geometry'!$J57,F171+E172*($G$46-$G$44)/(DeckWidth-OSOH-OSOHRT)))</f>
        <v/>
      </c>
      <c r="G172" s="837" t="str">
        <f t="shared" si="13"/>
        <v/>
      </c>
      <c r="H172" s="824" t="str">
        <f>IF(C172="","",IF(ComplexGeom=FALSE,FBSPA17/COS(RADIANS(BentSkew)),Cmplx_Fd_PGLBm17))</f>
        <v/>
      </c>
      <c r="I172" s="825">
        <f t="shared" si="16"/>
        <v>0</v>
      </c>
      <c r="J172" s="834">
        <f t="shared" si="17"/>
        <v>0</v>
      </c>
      <c r="K172" s="824" t="str">
        <f t="shared" si="18"/>
        <v/>
      </c>
      <c r="L172" s="1079" t="str">
        <f>IIBM17</f>
        <v/>
      </c>
      <c r="R172" s="388"/>
    </row>
    <row r="173" spans="1:18" ht="12" hidden="1" customHeight="1">
      <c r="A173" s="359" t="str">
        <f t="shared" si="14"/>
        <v>*</v>
      </c>
      <c r="B173" s="383"/>
      <c r="C173" s="502" t="str">
        <f t="shared" si="19"/>
        <v/>
      </c>
      <c r="D173" s="502" t="str">
        <f t="shared" si="15"/>
        <v/>
      </c>
      <c r="E173" s="835"/>
      <c r="F173" s="832" t="str">
        <f>IF(E173="","",IF(ComplexGeom=TRUE,'Complex Geometry'!$J58,F172+E173*($G$46-$G$44)/(DeckWidth-OSOH-OSOHRT)))</f>
        <v/>
      </c>
      <c r="G173" s="837" t="str">
        <f t="shared" si="13"/>
        <v/>
      </c>
      <c r="H173" s="824" t="str">
        <f>IF(C173="","",IF(ComplexGeom=FALSE,FBSPA18/COS(RADIANS(BentSkew)),Cmplx_Fd_PGLBm18))</f>
        <v/>
      </c>
      <c r="I173" s="825">
        <f t="shared" si="16"/>
        <v>0</v>
      </c>
      <c r="J173" s="834">
        <f t="shared" si="17"/>
        <v>0</v>
      </c>
      <c r="K173" s="824" t="str">
        <f t="shared" si="18"/>
        <v/>
      </c>
      <c r="L173" s="1079" t="str">
        <f>IIBM18</f>
        <v/>
      </c>
      <c r="R173" s="388"/>
    </row>
    <row r="174" spans="1:18" ht="12.75" hidden="1" customHeight="1">
      <c r="A174" s="359" t="str">
        <f t="shared" si="14"/>
        <v>*</v>
      </c>
      <c r="B174" s="383"/>
      <c r="C174" s="502" t="str">
        <f t="shared" si="19"/>
        <v/>
      </c>
      <c r="D174" s="502" t="str">
        <f t="shared" si="15"/>
        <v/>
      </c>
      <c r="E174" s="835"/>
      <c r="F174" s="832" t="str">
        <f>IF(E174="","",IF(ComplexGeom=TRUE,'Complex Geometry'!$J59,F173+E174*($G$46-$G$44)/(DeckWidth-OSOH-OSOHRT)))</f>
        <v/>
      </c>
      <c r="G174" s="837" t="str">
        <f t="shared" si="13"/>
        <v/>
      </c>
      <c r="H174" s="824" t="str">
        <f>IF(C174="","",IF(ComplexGeom=FALSE,FBSPA19/COS(RADIANS(BentSkew)),Cmplx_Fd_PGLBm19))</f>
        <v/>
      </c>
      <c r="I174" s="825">
        <f t="shared" si="16"/>
        <v>0</v>
      </c>
      <c r="J174" s="834">
        <f t="shared" si="17"/>
        <v>0</v>
      </c>
      <c r="K174" s="824" t="str">
        <f t="shared" si="18"/>
        <v/>
      </c>
      <c r="L174" s="1079" t="str">
        <f>IIBM19</f>
        <v/>
      </c>
      <c r="R174" s="388"/>
    </row>
    <row r="175" spans="1:18" ht="12.75" hidden="1" customHeight="1">
      <c r="A175" s="359" t="str">
        <f t="shared" si="14"/>
        <v>*</v>
      </c>
      <c r="B175" s="383"/>
      <c r="C175" s="502" t="str">
        <f t="shared" si="19"/>
        <v/>
      </c>
      <c r="D175" s="502" t="str">
        <f t="shared" si="15"/>
        <v/>
      </c>
      <c r="E175" s="835"/>
      <c r="F175" s="832" t="str">
        <f>IF(E175="","",IF(ComplexGeom=TRUE,'Complex Geometry'!$J60,F174+E175*($G$46-$G$44)/(DeckWidth-OSOH-OSOHRT)))</f>
        <v/>
      </c>
      <c r="G175" s="837" t="str">
        <f t="shared" si="13"/>
        <v/>
      </c>
      <c r="H175" s="824" t="str">
        <f>IF(C175="","",IF(ComplexGeom=FALSE,FBSPA20/COS(RADIANS(BentSkew)),Cmplx_Fd_PGLBm20))</f>
        <v/>
      </c>
      <c r="I175" s="825">
        <f t="shared" si="16"/>
        <v>0</v>
      </c>
      <c r="J175" s="834">
        <f t="shared" si="17"/>
        <v>0</v>
      </c>
      <c r="K175" s="824" t="str">
        <f t="shared" si="18"/>
        <v/>
      </c>
      <c r="L175" s="1079" t="str">
        <f>IIBM20</f>
        <v/>
      </c>
      <c r="R175" s="388"/>
    </row>
    <row r="176" spans="1:18" ht="12.75" customHeight="1">
      <c r="A176" s="359" t="s">
        <v>670</v>
      </c>
      <c r="B176" s="383"/>
      <c r="C176" s="383"/>
      <c r="D176" s="383"/>
      <c r="E176" s="383"/>
      <c r="F176" s="383"/>
      <c r="G176" s="719" t="str">
        <f>"Distance from Forward Span Beam " &amp; MAX(D156:D175) &amp; " to right edge of slab ="</f>
        <v>Distance from Forward Span Beam 4 to right edge of slab =</v>
      </c>
      <c r="H176" s="1214">
        <f>ROUND(DeckWidth-VLOOKUP(MAX(D156:D175),D156:K175,8),3)</f>
        <v>3</v>
      </c>
      <c r="I176" s="568" t="str">
        <f>IF(MAX(I156:I175)&gt;caplength,"INCREASE CAP LENGTH","")</f>
        <v/>
      </c>
      <c r="J176" s="836"/>
      <c r="K176" s="836"/>
      <c r="L176" s="836"/>
      <c r="R176" s="388"/>
    </row>
    <row r="177" spans="1:20" ht="12.75" customHeight="1">
      <c r="A177" s="359"/>
      <c r="B177" s="383"/>
      <c r="C177" s="383"/>
      <c r="D177" s="383"/>
      <c r="E177" s="383"/>
      <c r="F177" s="383"/>
      <c r="G177" s="383"/>
      <c r="H177" s="383"/>
      <c r="I177" s="383"/>
      <c r="J177" s="383"/>
      <c r="K177" s="383"/>
      <c r="L177" s="383"/>
      <c r="R177" s="388"/>
    </row>
    <row r="178" spans="1:20" ht="12.75" customHeight="1">
      <c r="A178" s="359"/>
      <c r="B178" s="383"/>
      <c r="C178" s="731"/>
      <c r="D178" s="383"/>
      <c r="E178" s="383"/>
      <c r="F178" s="383"/>
      <c r="G178" s="383"/>
      <c r="H178" s="383"/>
      <c r="I178" s="383"/>
      <c r="J178" s="383"/>
      <c r="K178" s="383"/>
      <c r="L178" s="383"/>
      <c r="Q178" s="388"/>
      <c r="R178" s="496"/>
    </row>
    <row r="179" spans="1:20" ht="12.75" customHeight="1">
      <c r="A179" s="359"/>
      <c r="B179" s="383"/>
      <c r="C179" s="383"/>
      <c r="D179" s="383"/>
      <c r="E179" s="383"/>
      <c r="F179" s="383"/>
      <c r="G179" s="383"/>
      <c r="H179" s="383"/>
      <c r="I179" s="383"/>
      <c r="J179" s="383"/>
      <c r="K179" s="383"/>
      <c r="L179" s="383"/>
      <c r="R179" s="388"/>
      <c r="S179" s="572"/>
      <c r="T179" s="569"/>
    </row>
    <row r="180" spans="1:20" ht="12.75" customHeight="1">
      <c r="A180" s="359"/>
      <c r="B180" s="383"/>
      <c r="C180" s="383"/>
      <c r="D180" s="383"/>
      <c r="E180" s="383"/>
      <c r="F180" s="383"/>
      <c r="G180" s="383"/>
      <c r="H180" s="383"/>
      <c r="I180" s="383"/>
      <c r="J180" s="383"/>
      <c r="K180" s="383"/>
      <c r="L180" s="383"/>
      <c r="R180" s="388"/>
    </row>
    <row r="181" spans="1:20" ht="12.75" customHeight="1">
      <c r="A181" s="359"/>
      <c r="B181" s="383"/>
      <c r="C181" s="383"/>
      <c r="D181" s="383"/>
      <c r="E181" s="383"/>
      <c r="F181" s="383"/>
      <c r="G181" s="383"/>
      <c r="H181" s="383"/>
      <c r="I181" s="383"/>
      <c r="J181" s="383"/>
      <c r="K181" s="383"/>
      <c r="L181" s="383"/>
    </row>
    <row r="182" spans="1:20" ht="12.75" customHeight="1">
      <c r="A182" s="359"/>
      <c r="B182" s="383"/>
      <c r="C182" s="383"/>
      <c r="D182" s="383"/>
      <c r="E182" s="383"/>
      <c r="F182" s="383"/>
      <c r="G182" s="383"/>
      <c r="H182" s="383"/>
      <c r="I182" s="383"/>
      <c r="J182" s="383"/>
      <c r="K182" s="383"/>
      <c r="L182" s="383"/>
    </row>
    <row r="183" spans="1:20" ht="12.75" customHeight="1">
      <c r="A183" s="359"/>
      <c r="B183" s="383"/>
      <c r="C183" s="383"/>
      <c r="D183" s="383"/>
      <c r="E183" s="383"/>
      <c r="F183" s="383"/>
      <c r="G183" s="383"/>
      <c r="H183" s="383"/>
      <c r="I183" s="383"/>
      <c r="J183" s="383"/>
      <c r="K183" s="383"/>
      <c r="L183" s="383"/>
    </row>
    <row r="184" spans="1:20" ht="12.75" customHeight="1">
      <c r="A184" s="359"/>
      <c r="B184" s="383"/>
      <c r="C184" s="383"/>
      <c r="D184" s="383"/>
      <c r="E184" s="383"/>
      <c r="F184" s="383"/>
      <c r="G184" s="383"/>
      <c r="H184" s="383"/>
      <c r="I184" s="383"/>
      <c r="J184" s="383"/>
      <c r="K184" s="383"/>
      <c r="L184" s="383"/>
    </row>
    <row r="185" spans="1:20" ht="12.75" customHeight="1">
      <c r="A185" s="359"/>
      <c r="B185" s="383"/>
      <c r="C185" s="383"/>
      <c r="D185" s="383"/>
      <c r="E185" s="383"/>
      <c r="F185" s="383"/>
      <c r="G185" s="383"/>
      <c r="H185" s="383"/>
      <c r="I185" s="383"/>
      <c r="J185" s="383"/>
      <c r="K185" s="383"/>
      <c r="L185" s="383"/>
    </row>
    <row r="186" spans="1:20" ht="12.75" customHeight="1">
      <c r="A186" s="359"/>
      <c r="B186" s="383"/>
      <c r="C186" s="383"/>
      <c r="D186" s="383"/>
      <c r="E186" s="383"/>
      <c r="F186" s="383"/>
      <c r="G186" s="383"/>
      <c r="H186" s="383"/>
      <c r="I186" s="383"/>
      <c r="J186" s="383"/>
      <c r="K186" s="383"/>
      <c r="L186" s="383"/>
    </row>
    <row r="187" spans="1:20" ht="12.75" customHeight="1">
      <c r="B187" s="383"/>
      <c r="C187" s="383"/>
      <c r="D187" s="383"/>
      <c r="E187" s="383"/>
      <c r="F187" s="383"/>
      <c r="G187" s="383"/>
      <c r="H187" s="383"/>
      <c r="I187" s="383"/>
      <c r="J187" s="383"/>
      <c r="K187" s="383"/>
      <c r="L187" s="383"/>
    </row>
    <row r="188" spans="1:20" ht="12.75" customHeight="1">
      <c r="B188" s="383"/>
      <c r="C188" s="383"/>
      <c r="D188" s="383"/>
      <c r="E188" s="383"/>
      <c r="F188" s="383"/>
      <c r="G188" s="383"/>
      <c r="H188" s="383"/>
      <c r="I188" s="383"/>
      <c r="J188" s="383"/>
      <c r="K188" s="383"/>
      <c r="L188" s="383"/>
    </row>
    <row r="189" spans="1:20" ht="12.75" customHeight="1">
      <c r="B189" s="383"/>
      <c r="C189" s="383"/>
      <c r="D189" s="383"/>
      <c r="E189" s="383"/>
      <c r="F189" s="383"/>
      <c r="G189" s="383"/>
      <c r="H189" s="383"/>
      <c r="I189" s="383"/>
      <c r="J189" s="383"/>
      <c r="K189" s="383"/>
      <c r="L189" s="383"/>
    </row>
    <row r="190" spans="1:20" ht="12.75" customHeight="1">
      <c r="B190" s="383"/>
      <c r="C190" s="383"/>
      <c r="D190" s="383"/>
      <c r="E190" s="383"/>
      <c r="F190" s="383"/>
      <c r="G190" s="383"/>
      <c r="H190" s="383"/>
      <c r="I190" s="383"/>
      <c r="J190" s="383"/>
      <c r="K190" s="383"/>
      <c r="L190" s="383"/>
    </row>
    <row r="191" spans="1:20" ht="12.75" customHeight="1">
      <c r="B191" s="383"/>
      <c r="C191" s="383"/>
      <c r="D191" s="383"/>
      <c r="E191" s="383"/>
      <c r="F191" s="383"/>
      <c r="G191" s="383"/>
      <c r="H191" s="383"/>
      <c r="I191" s="383"/>
      <c r="J191" s="383"/>
      <c r="K191" s="383"/>
      <c r="L191" s="383"/>
    </row>
    <row r="192" spans="1:20" ht="12.75" customHeight="1">
      <c r="B192" s="383"/>
      <c r="C192" s="383"/>
      <c r="D192" s="383"/>
      <c r="E192" s="383"/>
      <c r="F192" s="383"/>
      <c r="G192" s="383"/>
      <c r="H192" s="383"/>
      <c r="I192" s="383"/>
      <c r="J192" s="383"/>
      <c r="K192" s="383"/>
      <c r="L192" s="383"/>
    </row>
    <row r="193" spans="2:12" ht="12.75" customHeight="1">
      <c r="B193" s="383"/>
      <c r="C193" s="383"/>
      <c r="D193" s="383"/>
      <c r="E193" s="383"/>
      <c r="F193" s="383"/>
      <c r="G193" s="383"/>
      <c r="H193" s="383"/>
      <c r="I193" s="383"/>
      <c r="J193" s="383"/>
      <c r="K193" s="383"/>
      <c r="L193" s="383"/>
    </row>
    <row r="194" spans="2:12" ht="12.75" customHeight="1">
      <c r="B194" s="383"/>
      <c r="C194" s="383"/>
      <c r="D194" s="383"/>
      <c r="E194" s="383"/>
      <c r="F194" s="383"/>
      <c r="G194" s="383"/>
      <c r="H194" s="383"/>
      <c r="I194" s="383"/>
      <c r="J194" s="383"/>
      <c r="K194" s="383"/>
      <c r="L194" s="383"/>
    </row>
    <row r="195" spans="2:12" ht="12.75" customHeight="1">
      <c r="B195" s="383"/>
      <c r="C195" s="383"/>
      <c r="D195" s="383"/>
      <c r="E195" s="383"/>
      <c r="F195" s="383"/>
      <c r="G195" s="383"/>
      <c r="H195" s="383"/>
      <c r="I195" s="383"/>
      <c r="J195" s="383"/>
      <c r="K195" s="383"/>
      <c r="L195" s="383"/>
    </row>
    <row r="196" spans="2:12" ht="12.75" customHeight="1">
      <c r="B196" s="383"/>
      <c r="C196" s="383"/>
      <c r="D196" s="383"/>
      <c r="E196" s="383"/>
      <c r="F196" s="383"/>
      <c r="G196" s="383"/>
      <c r="H196" s="383"/>
      <c r="I196" s="383"/>
      <c r="J196" s="383"/>
      <c r="K196" s="383"/>
      <c r="L196" s="383"/>
    </row>
    <row r="197" spans="2:12" ht="12.75" customHeight="1">
      <c r="B197" s="383"/>
      <c r="C197" s="383"/>
      <c r="D197" s="383"/>
      <c r="E197" s="383"/>
      <c r="F197" s="383"/>
      <c r="G197" s="383"/>
      <c r="H197" s="383"/>
      <c r="I197" s="383"/>
      <c r="J197" s="383"/>
      <c r="K197" s="383"/>
      <c r="L197" s="383"/>
    </row>
    <row r="198" spans="2:12" ht="12.75" customHeight="1">
      <c r="B198" s="383"/>
      <c r="C198" s="383"/>
      <c r="D198" s="383"/>
      <c r="E198" s="383"/>
      <c r="F198" s="383"/>
      <c r="G198" s="383"/>
      <c r="H198" s="383"/>
      <c r="I198" s="383"/>
      <c r="J198" s="383"/>
      <c r="K198" s="383"/>
      <c r="L198" s="383"/>
    </row>
    <row r="199" spans="2:12" ht="12.75" customHeight="1">
      <c r="B199" s="383"/>
      <c r="C199" s="383"/>
      <c r="D199" s="383"/>
      <c r="E199" s="383"/>
      <c r="F199" s="383"/>
      <c r="G199" s="383"/>
      <c r="H199" s="383"/>
      <c r="I199" s="383"/>
      <c r="J199" s="383"/>
      <c r="K199" s="383"/>
      <c r="L199" s="383"/>
    </row>
    <row r="200" spans="2:12" ht="12.75" customHeight="1">
      <c r="B200" s="383"/>
      <c r="C200" s="383"/>
      <c r="D200" s="383"/>
      <c r="E200" s="383"/>
      <c r="F200" s="383"/>
      <c r="G200" s="383"/>
      <c r="H200" s="383"/>
      <c r="I200" s="383"/>
      <c r="J200" s="383"/>
      <c r="K200" s="383"/>
      <c r="L200" s="383"/>
    </row>
    <row r="201" spans="2:12" ht="12.75" customHeight="1">
      <c r="B201" s="383"/>
      <c r="C201" s="383"/>
      <c r="D201" s="383"/>
      <c r="E201" s="383"/>
      <c r="F201" s="383"/>
      <c r="G201" s="383"/>
      <c r="H201" s="383"/>
      <c r="I201" s="383"/>
      <c r="J201" s="383"/>
      <c r="K201" s="383"/>
      <c r="L201" s="383"/>
    </row>
    <row r="203" spans="2:12" ht="12.75" customHeight="1" thickBot="1"/>
    <row r="204" spans="2:12" ht="12.75" customHeight="1">
      <c r="B204" s="1024" t="s">
        <v>1229</v>
      </c>
      <c r="C204" s="1025"/>
      <c r="D204" s="1025"/>
      <c r="E204" s="1025"/>
      <c r="F204" s="1025"/>
      <c r="G204" s="1025"/>
      <c r="H204" s="1025"/>
      <c r="I204" s="1025"/>
      <c r="J204" s="1025"/>
      <c r="K204" s="1025"/>
      <c r="L204" s="1026"/>
    </row>
    <row r="205" spans="2:12" ht="12.75" customHeight="1">
      <c r="B205" s="1027" t="str">
        <f>G47</f>
        <v/>
      </c>
      <c r="C205" s="1028"/>
      <c r="D205" s="1028"/>
      <c r="E205" s="1028"/>
      <c r="F205" s="1028"/>
      <c r="G205" s="1028"/>
      <c r="H205" s="1028"/>
      <c r="I205" s="1028"/>
      <c r="J205" s="1028"/>
      <c r="K205" s="1028"/>
      <c r="L205" s="1029"/>
    </row>
    <row r="206" spans="2:12" ht="12.75" customHeight="1">
      <c r="B206" s="1027" t="str">
        <f>A65</f>
        <v/>
      </c>
      <c r="C206" s="1028"/>
      <c r="D206" s="1028"/>
      <c r="E206" s="1028"/>
      <c r="F206" s="1028" t="str">
        <f>A66</f>
        <v/>
      </c>
      <c r="G206" s="1028"/>
      <c r="H206" s="1028"/>
      <c r="I206" s="388"/>
      <c r="J206" s="1028" t="str">
        <f>A67</f>
        <v/>
      </c>
      <c r="K206" s="1028"/>
      <c r="L206" s="1029"/>
    </row>
    <row r="207" spans="2:12" ht="12.75" customHeight="1">
      <c r="B207" s="1027" t="str">
        <f>I117</f>
        <v/>
      </c>
      <c r="C207" s="1028"/>
      <c r="D207" s="1028"/>
      <c r="E207" s="1028"/>
      <c r="F207" s="1028"/>
      <c r="G207" s="1028"/>
      <c r="H207" s="1028"/>
      <c r="I207" s="1028"/>
      <c r="J207" s="1028"/>
      <c r="K207" s="1028"/>
      <c r="L207" s="1029"/>
    </row>
    <row r="208" spans="2:12" ht="12.75" customHeight="1">
      <c r="B208" s="1030" t="str">
        <f>I118</f>
        <v/>
      </c>
      <c r="C208" s="1028"/>
      <c r="D208" s="1028"/>
      <c r="E208" s="1028"/>
      <c r="F208" s="1028"/>
      <c r="G208" s="1028"/>
      <c r="H208" s="1028"/>
      <c r="I208" s="1028"/>
      <c r="J208" s="1028"/>
      <c r="K208" s="1028"/>
      <c r="L208" s="1029"/>
    </row>
    <row r="209" spans="2:12" ht="12.75" customHeight="1">
      <c r="B209" s="1030" t="str">
        <f>I148</f>
        <v/>
      </c>
      <c r="C209" s="1028"/>
      <c r="D209" s="1028"/>
      <c r="E209" s="1028"/>
      <c r="F209" s="1028"/>
      <c r="G209" s="1028"/>
      <c r="H209" s="1028"/>
      <c r="I209" s="1028"/>
      <c r="J209" s="1028"/>
      <c r="K209" s="1028"/>
      <c r="L209" s="1029"/>
    </row>
    <row r="210" spans="2:12" ht="12.75" customHeight="1">
      <c r="B210" s="1030" t="str">
        <f>I176</f>
        <v/>
      </c>
      <c r="C210" s="1028"/>
      <c r="D210" s="1028"/>
      <c r="E210" s="1028"/>
      <c r="F210" s="1028"/>
      <c r="G210" s="1028"/>
      <c r="H210" s="1028"/>
      <c r="I210" s="1028"/>
      <c r="J210" s="1028"/>
      <c r="K210" s="1028"/>
      <c r="L210" s="1029"/>
    </row>
    <row r="211" spans="2:12" ht="12.75" customHeight="1">
      <c r="B211" s="1027"/>
      <c r="C211" s="388"/>
      <c r="D211" s="388"/>
      <c r="E211" s="388"/>
      <c r="F211" s="388"/>
      <c r="G211" s="388"/>
      <c r="H211" s="388"/>
      <c r="I211" s="388"/>
      <c r="J211" s="388"/>
      <c r="K211" s="388"/>
      <c r="L211" s="506"/>
    </row>
    <row r="212" spans="2:12" ht="12.75" customHeight="1">
      <c r="B212" s="1047"/>
      <c r="C212" s="1028"/>
      <c r="D212" s="1028"/>
      <c r="E212" s="1028"/>
      <c r="F212" s="1028"/>
      <c r="G212" s="1028"/>
      <c r="H212" s="1028"/>
      <c r="I212" s="1028"/>
      <c r="J212" s="1028"/>
      <c r="K212" s="1028"/>
      <c r="L212" s="1029"/>
    </row>
    <row r="213" spans="2:12" ht="12.75" customHeight="1">
      <c r="B213" s="1027" t="str">
        <f>IF(AND(NoSupports=1,OR(CapitalWidth/12&gt;caplength,coltranswidth/12&gt;caplength)),"Column or capital extends beyond the bent cap.","")</f>
        <v/>
      </c>
      <c r="C213" s="388"/>
      <c r="D213" s="388"/>
      <c r="E213" s="388"/>
      <c r="F213" s="388"/>
      <c r="G213" s="388"/>
      <c r="H213" s="388"/>
      <c r="I213" s="388"/>
      <c r="J213" s="388"/>
      <c r="K213" s="388"/>
      <c r="L213" s="506"/>
    </row>
    <row r="214" spans="2:12" ht="12.75" customHeight="1">
      <c r="B214" s="1027" t="str">
        <f>IF(collongwidth&gt;MAX(InvTeeBotWidth,capstemWidth),"Column or capital extends beyond the bent cap.","")</f>
        <v/>
      </c>
      <c r="C214" s="388"/>
      <c r="D214" s="388"/>
      <c r="E214" s="388"/>
      <c r="F214" s="388"/>
      <c r="G214" s="388"/>
      <c r="H214" s="388"/>
      <c r="I214" s="388"/>
      <c r="J214" s="388"/>
      <c r="K214" s="388"/>
      <c r="L214" s="506"/>
    </row>
    <row r="215" spans="2:12" ht="12.75" customHeight="1" thickBot="1">
      <c r="B215" s="1048" t="str">
        <f>IF(INT(caplength*2)&lt;&gt;caplength*2,"Cap lengths should be rounded to 6'' increments","")</f>
        <v/>
      </c>
      <c r="C215" s="1049"/>
      <c r="D215" s="1049"/>
      <c r="E215" s="1049"/>
      <c r="F215" s="1049"/>
      <c r="G215" s="1049"/>
      <c r="H215" s="1049"/>
      <c r="I215" s="1049"/>
      <c r="J215" s="1049"/>
      <c r="K215" s="1049"/>
      <c r="L215" s="1050"/>
    </row>
  </sheetData>
  <sheetProtection algorithmName="SHA-512" hashValue="dJajqKsTwbMaCHIK7LtDh2Bct1oH7n/JlVI76D9WCJ+8eurAOi5BDCaM9bmCH8pV7VHRhd3JX9KtOgX60TlHtg==" saltValue="A34xieGuTDjTXZfir42iVQ==" spinCount="100000" sheet="1" objects="1" scenarios="1"/>
  <mergeCells count="48">
    <mergeCell ref="N40:R43"/>
    <mergeCell ref="K110:L110"/>
    <mergeCell ref="K111:L111"/>
    <mergeCell ref="D95:E95"/>
    <mergeCell ref="N80:Q80"/>
    <mergeCell ref="I105:J105"/>
    <mergeCell ref="A19:A20"/>
    <mergeCell ref="J104:L104"/>
    <mergeCell ref="D60:E60"/>
    <mergeCell ref="K109:L109"/>
    <mergeCell ref="H47:L47"/>
    <mergeCell ref="S11:T11"/>
    <mergeCell ref="G11:J11"/>
    <mergeCell ref="U2:V2"/>
    <mergeCell ref="B8:L8"/>
    <mergeCell ref="S9:T10"/>
    <mergeCell ref="K113:L113"/>
    <mergeCell ref="K115:L115"/>
    <mergeCell ref="K116:L116"/>
    <mergeCell ref="N60:R60"/>
    <mergeCell ref="K108:L108"/>
    <mergeCell ref="K112:L112"/>
    <mergeCell ref="K114:L114"/>
    <mergeCell ref="K105:L105"/>
    <mergeCell ref="K106:L106"/>
    <mergeCell ref="K107:L107"/>
    <mergeCell ref="N61:R62"/>
    <mergeCell ref="I103:L103"/>
    <mergeCell ref="N63:Q63"/>
    <mergeCell ref="N67:R67"/>
    <mergeCell ref="Q68:R68"/>
    <mergeCell ref="O68:P68"/>
    <mergeCell ref="L124:L127"/>
    <mergeCell ref="L152:L155"/>
    <mergeCell ref="H124:K124"/>
    <mergeCell ref="H125:H127"/>
    <mergeCell ref="I125:I127"/>
    <mergeCell ref="J125:J127"/>
    <mergeCell ref="K125:K127"/>
    <mergeCell ref="I153:I155"/>
    <mergeCell ref="J153:J155"/>
    <mergeCell ref="K153:K155"/>
    <mergeCell ref="E125:G125"/>
    <mergeCell ref="F126:G126"/>
    <mergeCell ref="E153:G153"/>
    <mergeCell ref="H153:H155"/>
    <mergeCell ref="F154:G154"/>
    <mergeCell ref="H152:K152"/>
  </mergeCells>
  <phoneticPr fontId="0" type="noConversion"/>
  <conditionalFormatting sqref="G117">
    <cfRule type="cellIs" dxfId="85" priority="1" stopIfTrue="1" operator="lessThan">
      <formula>(1/12)*IF($D$95="Rectangular",$G$103,$G$103)</formula>
    </cfRule>
  </conditionalFormatting>
  <conditionalFormatting sqref="Q81:R82">
    <cfRule type="cellIs" dxfId="84" priority="2" stopIfTrue="1" operator="equal">
      <formula>"OK"</formula>
    </cfRule>
  </conditionalFormatting>
  <conditionalFormatting sqref="G50">
    <cfRule type="expression" dxfId="83" priority="3" stopIfTrue="1">
      <formula>AND(#REF!=2,$G$50="")</formula>
    </cfRule>
    <cfRule type="expression" dxfId="82" priority="4" stopIfTrue="1">
      <formula>AND(#REF!=2,$G$50&lt;&gt;"")</formula>
    </cfRule>
  </conditionalFormatting>
  <conditionalFormatting sqref="G47">
    <cfRule type="cellIs" dxfId="81" priority="5" stopIfTrue="1" operator="equal">
      <formula>""</formula>
    </cfRule>
  </conditionalFormatting>
  <conditionalFormatting sqref="I176 I118 I148">
    <cfRule type="cellIs" dxfId="80" priority="6" stopIfTrue="1" operator="equal">
      <formula>"INCREASE CAP LENGTH"</formula>
    </cfRule>
  </conditionalFormatting>
  <conditionalFormatting sqref="G151">
    <cfRule type="cellIs" dxfId="79" priority="7" stopIfTrue="1" operator="lessThan">
      <formula>MAX($D$156:$D$175)</formula>
    </cfRule>
  </conditionalFormatting>
  <conditionalFormatting sqref="G123">
    <cfRule type="cellIs" dxfId="78" priority="8" stopIfTrue="1" operator="lessThan">
      <formula>MAX($D$128:$D$147)</formula>
    </cfRule>
  </conditionalFormatting>
  <conditionalFormatting sqref="J78:J79 F77:F79">
    <cfRule type="cellIs" dxfId="77" priority="9" stopIfTrue="1" operator="equal">
      <formula>"Delete Value --&gt;"</formula>
    </cfRule>
  </conditionalFormatting>
  <conditionalFormatting sqref="H89">
    <cfRule type="expression" dxfId="76" priority="10" stopIfTrue="1">
      <formula>ISERROR($H$89)</formula>
    </cfRule>
  </conditionalFormatting>
  <conditionalFormatting sqref="G99">
    <cfRule type="expression" dxfId="75" priority="11" stopIfTrue="1">
      <formula>$D$95="Circular"</formula>
    </cfRule>
  </conditionalFormatting>
  <conditionalFormatting sqref="G95">
    <cfRule type="cellIs" dxfId="74" priority="12" stopIfTrue="1" operator="lessThan">
      <formula>MAX($E$107:$E$116)</formula>
    </cfRule>
  </conditionalFormatting>
  <conditionalFormatting sqref="K78 G77:G78">
    <cfRule type="expression" dxfId="73" priority="15" stopIfTrue="1">
      <formula>AND($D$60="Inverted-Tee",G77&lt;&gt;"")</formula>
    </cfRule>
    <cfRule type="expression" dxfId="72" priority="16" stopIfTrue="1">
      <formula>OR(AND($D$60&lt;&gt;"Inverted-Tee",G77&lt;&gt;""),AND($D$60="Inverted-Tee",G77=""))</formula>
    </cfRule>
  </conditionalFormatting>
  <conditionalFormatting sqref="J176:L176">
    <cfRule type="cellIs" dxfId="71" priority="17" stopIfTrue="1" operator="equal">
      <formula>"WARNING - Check Beam Spacings"</formula>
    </cfRule>
  </conditionalFormatting>
  <conditionalFormatting sqref="I117">
    <cfRule type="cellIs" dxfId="70" priority="18" stopIfTrue="1" operator="equal">
      <formula>"ERROR - Increase Cap Length or Decrease Spacing"</formula>
    </cfRule>
    <cfRule type="cellIs" dxfId="69" priority="19" stopIfTrue="1" operator="equal">
      <formula>"Spacing OK"</formula>
    </cfRule>
  </conditionalFormatting>
  <conditionalFormatting sqref="O69:O78 Q69:Q78">
    <cfRule type="cellIs" dxfId="68" priority="20" stopIfTrue="1" operator="equal">
      <formula>"O"</formula>
    </cfRule>
  </conditionalFormatting>
  <conditionalFormatting sqref="O66:P66">
    <cfRule type="cellIs" dxfId="67" priority="21" stopIfTrue="1" operator="equal">
      <formula>"N/A"</formula>
    </cfRule>
    <cfRule type="cellIs" dxfId="66" priority="22" stopIfTrue="1" operator="notBetween">
      <formula>0.01</formula>
      <formula>-0.01</formula>
    </cfRule>
  </conditionalFormatting>
  <conditionalFormatting sqref="H176">
    <cfRule type="cellIs" dxfId="65" priority="23" stopIfTrue="1" operator="notBetween">
      <formula>3.25</formula>
      <formula>1.25</formula>
    </cfRule>
    <cfRule type="cellIs" dxfId="64" priority="24" stopIfTrue="1" operator="notEqual">
      <formula>OSOH</formula>
    </cfRule>
  </conditionalFormatting>
  <conditionalFormatting sqref="G82 K82">
    <cfRule type="expression" dxfId="63" priority="25" stopIfTrue="1">
      <formula>CapDataSht=FALSE</formula>
    </cfRule>
  </conditionalFormatting>
  <conditionalFormatting sqref="G83:G86 K83:K86 G89:G90 K89">
    <cfRule type="expression" dxfId="62" priority="26" stopIfTrue="1">
      <formula>CapDataSht=FALSE</formula>
    </cfRule>
  </conditionalFormatting>
  <conditionalFormatting sqref="K90">
    <cfRule type="expression" dxfId="61" priority="27" stopIfTrue="1">
      <formula>CapDataSht=FALSE</formula>
    </cfRule>
  </conditionalFormatting>
  <conditionalFormatting sqref="G92:G93">
    <cfRule type="cellIs" dxfId="60" priority="28" stopIfTrue="1" operator="notEqual">
      <formula>""</formula>
    </cfRule>
  </conditionalFormatting>
  <conditionalFormatting sqref="H148">
    <cfRule type="cellIs" dxfId="59" priority="29" stopIfTrue="1" operator="notEqual">
      <formula>OSOHBack</formula>
    </cfRule>
  </conditionalFormatting>
  <conditionalFormatting sqref="J64:K64">
    <cfRule type="expression" dxfId="58" priority="30" stopIfTrue="1">
      <formula>ComplexGeom=TRUE</formula>
    </cfRule>
  </conditionalFormatting>
  <conditionalFormatting sqref="J65">
    <cfRule type="expression" dxfId="57" priority="31" stopIfTrue="1">
      <formula>AND(ComplexGeom=TRUE,BackBentSkew="")</formula>
    </cfRule>
    <cfRule type="expression" dxfId="56" priority="32" stopIfTrue="1">
      <formula>OR(AND(ComplexGeom=TRUE,BackBentSkew&lt;&gt;""),AND(ComplexGeom=FALSE,BackBentSkew=""))</formula>
    </cfRule>
  </conditionalFormatting>
  <conditionalFormatting sqref="K65">
    <cfRule type="expression" dxfId="55" priority="33" stopIfTrue="1">
      <formula>AND(ComplexGeom=TRUE,FwdBentSkew="")</formula>
    </cfRule>
    <cfRule type="expression" dxfId="54" priority="34" stopIfTrue="1">
      <formula>OR(AND(ComplexGeom=TRUE,FwdBentSkew&lt;&gt;""),AND(ComplexGeom=FALSE,FwdBentSkew=""))</formula>
    </cfRule>
  </conditionalFormatting>
  <conditionalFormatting sqref="K50:L51">
    <cfRule type="expression" dxfId="53" priority="35" stopIfTrue="1">
      <formula>rail3rd="None"</formula>
    </cfRule>
  </conditionalFormatting>
  <conditionalFormatting sqref="K56:L57">
    <cfRule type="expression" dxfId="52" priority="36" stopIfTrue="1">
      <formula>sdwkwidth=0</formula>
    </cfRule>
  </conditionalFormatting>
  <conditionalFormatting sqref="K67">
    <cfRule type="expression" dxfId="51" priority="37" stopIfTrue="1">
      <formula>AND(OR($D$60="Inverted-Tee",$D$60="Tee"),K67&lt;&gt;"")</formula>
    </cfRule>
    <cfRule type="expression" dxfId="50" priority="38" stopIfTrue="1">
      <formula>OR(AND($D$60="Rectangular",K67&lt;&gt;""),AND(OR($D$60="Inverted-Tee",$D$60="Tee"),K67=""))</formula>
    </cfRule>
  </conditionalFormatting>
  <conditionalFormatting sqref="K68">
    <cfRule type="expression" dxfId="49" priority="39" stopIfTrue="1">
      <formula>AND($D$60&lt;&gt;"Rectangular",K68&lt;&gt;"")</formula>
    </cfRule>
    <cfRule type="expression" dxfId="48" priority="40" stopIfTrue="1">
      <formula>OR(AND($D$60="Rectangular",K68&lt;&gt;""),AND($D$60&lt;&gt;"Rectangular",K68=""))</formula>
    </cfRule>
  </conditionalFormatting>
  <conditionalFormatting sqref="K119">
    <cfRule type="expression" dxfId="47" priority="41" stopIfTrue="1">
      <formula>AND($G$95&lt;&gt;2,$K$119&lt;&gt;"")</formula>
    </cfRule>
    <cfRule type="expression" dxfId="46" priority="42" stopIfTrue="1">
      <formula>$G$95=2</formula>
    </cfRule>
  </conditionalFormatting>
  <conditionalFormatting sqref="G118">
    <cfRule type="expression" dxfId="45" priority="43" stopIfTrue="1">
      <formula>$G$95&lt;&gt;1</formula>
    </cfRule>
  </conditionalFormatting>
  <conditionalFormatting sqref="G72:G73">
    <cfRule type="cellIs" dxfId="44" priority="44" stopIfTrue="1" operator="greaterThan">
      <formula>$G$69</formula>
    </cfRule>
    <cfRule type="cellIs" dxfId="43" priority="45" stopIfTrue="1" operator="greaterThan">
      <formula>$G$70</formula>
    </cfRule>
  </conditionalFormatting>
  <dataValidations xWindow="513" yWindow="605" count="26">
    <dataValidation type="whole" allowBlank="1" showErrorMessage="1" errorTitle="Column Error" error="The First Column Entered Must be Column 1" sqref="D156 C157 E107 D128 C129" xr:uid="{00000000-0002-0000-0300-000000000000}">
      <formula1>1</formula1>
      <formula2>1</formula2>
    </dataValidation>
    <dataValidation allowBlank="1" showErrorMessage="1" errorTitle="Column Number" error="The column number specified must be greater than 1 and less than 100." sqref="C158:C175 D109:D116 C130:C147" xr:uid="{00000000-0002-0000-0300-000001000000}"/>
    <dataValidation type="whole" allowBlank="1" showErrorMessage="1" errorTitle="Column Number" error="The column number specified must be greater than 1 and less than 100." sqref="D157:D175 E108:E116 D129:D147" xr:uid="{00000000-0002-0000-0300-000002000000}">
      <formula1>2</formula1>
      <formula2>100</formula2>
    </dataValidation>
    <dataValidation type="list" allowBlank="1" showInputMessage="1" showErrorMessage="1" sqref="K19 G19" xr:uid="{00000000-0002-0000-0300-000003000000}">
      <formula1>BeamType</formula1>
    </dataValidation>
    <dataValidation type="list" allowBlank="1" showDropDown="1" showInputMessage="1" showErrorMessage="1" sqref="K18 G18" xr:uid="{00000000-0002-0000-0300-000004000000}">
      <formula1>"Concrete"</formula1>
    </dataValidation>
    <dataValidation type="list" allowBlank="1" showInputMessage="1" showErrorMessage="1" prompt="For Calculation of Centrifugal Forces._x000a_A cross-slope for drainage does not consitute a super-elevation._x000a_" sqref="L31" xr:uid="{00000000-0002-0000-0300-000005000000}">
      <formula1>"Yes,No"</formula1>
    </dataValidation>
    <dataValidation allowBlank="1" showInputMessage="1" showErrorMessage="1" prompt="The # of beams should be modified through Project Initilization" sqref="G31 G33 G123 G151" xr:uid="{00000000-0002-0000-0300-000006000000}"/>
    <dataValidation allowBlank="1" showErrorMessage="1" sqref="D108 K79 G67:G71 I70:I71 J70" xr:uid="{00000000-0002-0000-0300-000007000000}"/>
    <dataValidation type="list" allowBlank="1" showInputMessage="1" showErrorMessage="1" sqref="G89" xr:uid="{00000000-0002-0000-0300-000008000000}">
      <formula1>"Single,Double,Triple"</formula1>
    </dataValidation>
    <dataValidation type="list" allowBlank="1" showInputMessage="1" showErrorMessage="1" sqref="G90" xr:uid="{00000000-0002-0000-0300-000009000000}">
      <formula1>"#4, #5, #6"</formula1>
    </dataValidation>
    <dataValidation type="list" allowBlank="1" showInputMessage="1" showErrorMessage="1" sqref="G82 K82" xr:uid="{00000000-0002-0000-0300-00000A000000}">
      <formula1>"#9,#10,#11"</formula1>
    </dataValidation>
    <dataValidation allowBlank="1" showInputMessage="1" showErrorMessage="1" prompt="Dimension here is for calculation of distance to effective face." sqref="G100" xr:uid="{00000000-0002-0000-0300-00000B000000}"/>
    <dataValidation allowBlank="1" showInputMessage="1" showErrorMessage="1" prompt="The # of columns should be modified through Project Initilization" sqref="G95" xr:uid="{00000000-0002-0000-0300-00000C000000}"/>
    <dataValidation type="list" allowBlank="1" showInputMessage="1" showErrorMessage="1" sqref="G63" xr:uid="{00000000-0002-0000-0300-00000D000000}">
      <formula1>"40,60,75,100"</formula1>
    </dataValidation>
    <dataValidation type="list" allowBlank="1" showInputMessage="1" showErrorMessage="1" sqref="G62" xr:uid="{00000000-0002-0000-0300-00000E000000}">
      <formula1>"3.6,4.0,5.0,6.0"</formula1>
    </dataValidation>
    <dataValidation type="list" allowBlank="1" showInputMessage="1" showErrorMessage="1" sqref="G64" xr:uid="{00000000-0002-0000-0300-00000F000000}">
      <formula1>"Class 1, Class 2"</formula1>
    </dataValidation>
    <dataValidation allowBlank="1" showInputMessage="1" showErrorMessage="1" prompt="Weight in addition to column cross section." sqref="G101" xr:uid="{00000000-0002-0000-0300-000010000000}"/>
    <dataValidation allowBlank="1" showErrorMessage="1" prompt="The # of columns should be modified through Project Initilization" sqref="G96" xr:uid="{00000000-0002-0000-0300-000011000000}"/>
    <dataValidation allowBlank="1" showInputMessage="1" showErrorMessage="1" prompt="Area in addition to main cap cross-sectional area." sqref="K78" xr:uid="{00000000-0002-0000-0300-000012000000}"/>
    <dataValidation type="list" allowBlank="1" showInputMessage="1" showErrorMessage="1" sqref="K89" xr:uid="{00000000-0002-0000-0300-000013000000}">
      <formula1>"#4, #5, #6, #7, #8, #9, #10, #11"</formula1>
    </dataValidation>
    <dataValidation type="list" allowBlank="1" showInputMessage="1" showErrorMessage="1" sqref="D96 D95:E95" xr:uid="{00000000-0002-0000-0300-000014000000}">
      <formula1>"Rectangular,Circular"</formula1>
    </dataValidation>
    <dataValidation type="decimal" operator="greaterThan" allowBlank="1" showInputMessage="1" showErrorMessage="1" errorTitle="Invalid Entry" error="A positive value must be specfied for the cross slope." prompt="A positive value must be specfied for the cross slope." sqref="G13" xr:uid="{00000000-0002-0000-0300-000015000000}">
      <formula1>0</formula1>
    </dataValidation>
    <dataValidation allowBlank="1" showInputMessage="1" showErrorMessage="1" promptTitle="Normal to Rdwy" prompt=" " sqref="G28" xr:uid="{00000000-0002-0000-0300-000016000000}"/>
    <dataValidation allowBlank="1" showInputMessage="1" showErrorMessage="1" promptTitle="Normal To Roadway" prompt=" " sqref="G12" xr:uid="{00000000-0002-0000-0300-000017000000}"/>
    <dataValidation allowBlank="1" showInputMessage="1" showErrorMessage="1" prompt="This value only affects design when complex geometry is not used." sqref="J65:K65" xr:uid="{00000000-0002-0000-0300-000018000000}"/>
    <dataValidation allowBlank="1" showInputMessage="1" showErrorMessage="1" prompt="Roadway Curve Direction needs to be modified using Project Initialization" sqref="L30" xr:uid="{00000000-0002-0000-0300-000019000000}"/>
  </dataValidations>
  <pageMargins left="0.75" right="0.375" top="0.25" bottom="0.25" header="0.75" footer="0.25"/>
  <pageSetup scale="96" orientation="portrait" blackAndWhite="1" r:id="rId1"/>
  <headerFooter alignWithMargins="0">
    <oddHeader>&amp;L&amp;6
&amp;Z&amp;F&amp;R&amp;P                                &amp;N</oddHeader>
    <oddFooter>&amp;L&amp;D   &amp;T&amp;CRev 8.0</oddFooter>
  </headerFooter>
  <rowBreaks count="2" manualBreakCount="2">
    <brk id="58" max="16383" man="1"/>
    <brk id="119"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95193" r:id="rId4" name="Button 13273">
              <controlPr defaultSize="0" print="0" autoFill="0" autoPict="0" macro="[0]!StartUp">
                <anchor moveWithCells="1" sizeWithCells="1">
                  <from>
                    <xdr:col>0</xdr:col>
                    <xdr:colOff>209550</xdr:colOff>
                    <xdr:row>6</xdr:row>
                    <xdr:rowOff>0</xdr:rowOff>
                  </from>
                  <to>
                    <xdr:col>0</xdr:col>
                    <xdr:colOff>1476375</xdr:colOff>
                    <xdr:row>8</xdr:row>
                    <xdr:rowOff>95250</xdr:rowOff>
                  </to>
                </anchor>
              </controlPr>
            </control>
          </mc:Choice>
        </mc:AlternateContent>
        <mc:AlternateContent xmlns:mc="http://schemas.openxmlformats.org/markup-compatibility/2006">
          <mc:Choice Requires="x14">
            <control shapeId="95194" r:id="rId5" name="Check Box 101">
              <controlPr defaultSize="0" print="0" autoFill="0" autoLine="0" autoPict="0" macro="[0]!Capdesign" altText="Generate Cap Design Data Sheets">
                <anchor moveWithCells="1">
                  <from>
                    <xdr:col>13</xdr:col>
                    <xdr:colOff>266700</xdr:colOff>
                    <xdr:row>51</xdr:row>
                    <xdr:rowOff>66675</xdr:rowOff>
                  </from>
                  <to>
                    <xdr:col>16</xdr:col>
                    <xdr:colOff>419100</xdr:colOff>
                    <xdr:row>52</xdr:row>
                    <xdr:rowOff>133350</xdr:rowOff>
                  </to>
                </anchor>
              </controlPr>
            </control>
          </mc:Choice>
        </mc:AlternateContent>
        <mc:AlternateContent xmlns:mc="http://schemas.openxmlformats.org/markup-compatibility/2006">
          <mc:Choice Requires="x14">
            <control shapeId="95195" r:id="rId6" name="Check Box 102">
              <controlPr defaultSize="0" print="0" autoFill="0" autoLine="0" autoPict="0" macro="[0]!ColDesign" altText="Generate Column Design Data Sheets">
                <anchor moveWithCells="1">
                  <from>
                    <xdr:col>13</xdr:col>
                    <xdr:colOff>276225</xdr:colOff>
                    <xdr:row>54</xdr:row>
                    <xdr:rowOff>57150</xdr:rowOff>
                  </from>
                  <to>
                    <xdr:col>16</xdr:col>
                    <xdr:colOff>428625</xdr:colOff>
                    <xdr:row>55</xdr:row>
                    <xdr:rowOff>133350</xdr:rowOff>
                  </to>
                </anchor>
              </controlPr>
            </control>
          </mc:Choice>
        </mc:AlternateContent>
        <mc:AlternateContent xmlns:mc="http://schemas.openxmlformats.org/markup-compatibility/2006">
          <mc:Choice Requires="x14">
            <control shapeId="105263" r:id="rId7" name="Check Box 23343">
              <controlPr defaultSize="0" autoFill="0" autoLine="0" autoPict="0" macro="[0]!Aesthetic_Col" altText="Generate Column Design Data Sheets">
                <anchor moveWithCells="1">
                  <from>
                    <xdr:col>7</xdr:col>
                    <xdr:colOff>266700</xdr:colOff>
                    <xdr:row>93</xdr:row>
                    <xdr:rowOff>95250</xdr:rowOff>
                  </from>
                  <to>
                    <xdr:col>11</xdr:col>
                    <xdr:colOff>66675</xdr:colOff>
                    <xdr:row>95</xdr:row>
                    <xdr:rowOff>9525</xdr:rowOff>
                  </to>
                </anchor>
              </controlPr>
            </control>
          </mc:Choice>
        </mc:AlternateContent>
        <mc:AlternateContent xmlns:mc="http://schemas.openxmlformats.org/markup-compatibility/2006">
          <mc:Choice Requires="x14">
            <control shapeId="117994" r:id="rId8" name="Drilled Shaft Loads">
              <controlPr defaultSize="0" print="0" autoFill="0" autoLine="0" autoPict="0" macro="[0]!DrilledShaft" altText="Generate Cap Design Data Sheets">
                <anchor moveWithCells="1">
                  <from>
                    <xdr:col>13</xdr:col>
                    <xdr:colOff>276225</xdr:colOff>
                    <xdr:row>57</xdr:row>
                    <xdr:rowOff>28575</xdr:rowOff>
                  </from>
                  <to>
                    <xdr:col>16</xdr:col>
                    <xdr:colOff>428625</xdr:colOff>
                    <xdr:row>58</xdr:row>
                    <xdr:rowOff>66675</xdr:rowOff>
                  </to>
                </anchor>
              </controlPr>
            </control>
          </mc:Choice>
        </mc:AlternateContent>
        <mc:AlternateContent xmlns:mc="http://schemas.openxmlformats.org/markup-compatibility/2006">
          <mc:Choice Requires="x14">
            <control shapeId="121960" r:id="rId9" name="DistributeRail">
              <controlPr defaultSize="0" autoFill="0" autoLine="0" autoPict="0" macro="[0]!DistributeRail_Click">
                <anchor moveWithCells="1">
                  <from>
                    <xdr:col>13</xdr:col>
                    <xdr:colOff>266700</xdr:colOff>
                    <xdr:row>47</xdr:row>
                    <xdr:rowOff>19050</xdr:rowOff>
                  </from>
                  <to>
                    <xdr:col>16</xdr:col>
                    <xdr:colOff>428625</xdr:colOff>
                    <xdr:row>48</xdr:row>
                    <xdr:rowOff>76200</xdr:rowOff>
                  </to>
                </anchor>
              </controlPr>
            </control>
          </mc:Choice>
        </mc:AlternateContent>
        <mc:AlternateContent xmlns:mc="http://schemas.openxmlformats.org/markup-compatibility/2006">
          <mc:Choice Requires="x14">
            <control shapeId="146614" r:id="rId10" name="Button 52406">
              <controlPr defaultSize="0" print="0" autoFill="0" autoPict="0" macro="[0]!drawing">
                <anchor moveWithCells="1" sizeWithCells="1">
                  <from>
                    <xdr:col>12</xdr:col>
                    <xdr:colOff>123825</xdr:colOff>
                    <xdr:row>189</xdr:row>
                    <xdr:rowOff>19050</xdr:rowOff>
                  </from>
                  <to>
                    <xdr:col>13</xdr:col>
                    <xdr:colOff>561975</xdr:colOff>
                    <xdr:row>190</xdr:row>
                    <xdr:rowOff>152400</xdr:rowOff>
                  </to>
                </anchor>
              </controlPr>
            </control>
          </mc:Choice>
        </mc:AlternateContent>
        <mc:AlternateContent xmlns:mc="http://schemas.openxmlformats.org/markup-compatibility/2006">
          <mc:Choice Requires="x14">
            <control shapeId="2" r:id="rId11" name="Check Box 52407">
              <controlPr defaultSize="0" print="0" autoFill="0" autoLine="0" autoPict="0" macro="[0]!ColDesign" altText="Generate Column Design Data Sheets">
                <anchor moveWithCells="1">
                  <from>
                    <xdr:col>13</xdr:col>
                    <xdr:colOff>276225</xdr:colOff>
                    <xdr:row>86</xdr:row>
                    <xdr:rowOff>114300</xdr:rowOff>
                  </from>
                  <to>
                    <xdr:col>16</xdr:col>
                    <xdr:colOff>428625</xdr:colOff>
                    <xdr:row>88</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13" yWindow="605" count="3">
        <x14:dataValidation type="list" allowBlank="1" showInputMessage="1" showErrorMessage="1" xr:uid="{00000000-0002-0000-0300-00001A000000}">
          <x14:formula1>
            <xm:f>Reference!H6:H60</xm:f>
          </x14:formula1>
          <xm:sqref>G50</xm:sqref>
        </x14:dataValidation>
        <x14:dataValidation type="list" allowBlank="1" showInputMessage="1" showErrorMessage="1" xr:uid="{00000000-0002-0000-0300-00001B000000}">
          <x14:formula1>
            <xm:f>Reference!H6:H60</xm:f>
          </x14:formula1>
          <xm:sqref>E50</xm:sqref>
        </x14:dataValidation>
        <x14:dataValidation type="list" allowBlank="1" showInputMessage="1" showErrorMessage="1" xr:uid="{00000000-0002-0000-0300-00001C000000}">
          <x14:formula1>
            <xm:f>Reference!H6:H60</xm:f>
          </x14:formula1>
          <xm:sqref>F50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2">
    <tabColor indexed="47"/>
  </sheetPr>
  <dimension ref="A1:X117"/>
  <sheetViews>
    <sheetView showGridLines="0" view="pageBreakPreview" topLeftCell="A56" zoomScaleNormal="100" zoomScaleSheetLayoutView="100" workbookViewId="0"/>
  </sheetViews>
  <sheetFormatPr defaultColWidth="9.140625" defaultRowHeight="12.75"/>
  <cols>
    <col min="1" max="1" width="24.7109375" style="358" customWidth="1"/>
    <col min="2" max="2" width="5.7109375" style="337" customWidth="1"/>
    <col min="3" max="3" width="9" style="337" customWidth="1"/>
    <col min="4" max="4" width="9.140625" style="337"/>
    <col min="5" max="12" width="9" style="337" customWidth="1"/>
    <col min="13" max="16" width="9.140625" style="337"/>
    <col min="17" max="17" width="9.5703125" style="337" bestFit="1" customWidth="1"/>
    <col min="18" max="16384" width="9.140625" style="337"/>
  </cols>
  <sheetData>
    <row r="1" spans="2:24">
      <c r="B1" s="290"/>
      <c r="C1" s="290"/>
      <c r="D1" s="290"/>
      <c r="E1" s="290"/>
      <c r="F1" s="290"/>
      <c r="G1" s="290"/>
      <c r="H1" s="290"/>
      <c r="I1" s="290"/>
      <c r="J1" s="290"/>
      <c r="K1" s="290"/>
      <c r="L1" s="290"/>
    </row>
    <row r="2" spans="2:24">
      <c r="B2" s="290"/>
      <c r="C2" s="290"/>
      <c r="D2" s="290"/>
      <c r="E2" s="290"/>
      <c r="F2" s="290"/>
      <c r="G2" s="290"/>
      <c r="H2" s="290"/>
      <c r="I2" s="290"/>
      <c r="J2" s="290"/>
      <c r="K2" s="290"/>
      <c r="L2" s="290"/>
      <c r="O2" s="1522"/>
      <c r="P2" s="1522"/>
      <c r="Q2" s="1522"/>
      <c r="R2" s="1522"/>
      <c r="S2" s="1522"/>
      <c r="T2" s="1522"/>
      <c r="U2" s="1522"/>
      <c r="V2" s="1522"/>
    </row>
    <row r="3" spans="2:24">
      <c r="B3" s="290"/>
      <c r="C3" s="290"/>
      <c r="D3" s="290"/>
      <c r="E3" s="290"/>
      <c r="F3" s="290"/>
      <c r="G3" s="290"/>
      <c r="H3" s="290"/>
      <c r="I3" s="290"/>
      <c r="J3" s="290"/>
      <c r="K3" s="290"/>
      <c r="L3" s="290"/>
      <c r="O3" s="339"/>
      <c r="P3" s="339"/>
      <c r="Q3" s="339"/>
      <c r="R3" s="339"/>
      <c r="S3" s="339"/>
      <c r="T3" s="339"/>
      <c r="U3" s="339"/>
      <c r="V3" s="339"/>
    </row>
    <row r="4" spans="2:24">
      <c r="B4" s="290"/>
      <c r="C4" s="290"/>
      <c r="D4" s="290"/>
      <c r="E4" s="290"/>
      <c r="F4" s="290"/>
      <c r="G4" s="290"/>
      <c r="H4" s="290"/>
      <c r="I4" s="290"/>
      <c r="J4" s="290"/>
      <c r="K4" s="290"/>
      <c r="L4" s="290"/>
      <c r="O4" s="339"/>
      <c r="P4" s="339"/>
    </row>
    <row r="5" spans="2:24">
      <c r="B5" s="290"/>
      <c r="C5" s="290"/>
      <c r="D5" s="290"/>
      <c r="E5" s="290"/>
      <c r="F5" s="290"/>
      <c r="G5" s="290"/>
      <c r="H5" s="290"/>
      <c r="I5" s="290"/>
      <c r="J5" s="290"/>
      <c r="K5" s="290"/>
      <c r="L5" s="290"/>
      <c r="O5" s="340"/>
      <c r="P5" s="340"/>
      <c r="Q5" s="338"/>
      <c r="R5" s="338"/>
      <c r="S5" s="338"/>
      <c r="T5" s="338"/>
      <c r="U5" s="338"/>
      <c r="V5" s="338"/>
      <c r="W5" s="338"/>
      <c r="X5" s="338"/>
    </row>
    <row r="6" spans="2:24">
      <c r="B6" s="290"/>
      <c r="C6" s="290"/>
      <c r="D6" s="290"/>
      <c r="E6" s="290"/>
      <c r="F6" s="290"/>
      <c r="G6" s="290"/>
      <c r="H6" s="290"/>
      <c r="I6" s="290"/>
      <c r="J6" s="290"/>
      <c r="K6" s="290"/>
      <c r="L6" s="290"/>
      <c r="O6" s="338"/>
      <c r="P6" s="338"/>
      <c r="Q6" s="390"/>
      <c r="R6" s="338"/>
      <c r="S6" s="338"/>
      <c r="T6" s="338"/>
      <c r="U6" s="338"/>
      <c r="V6" s="338"/>
      <c r="W6" s="338"/>
      <c r="X6" s="338"/>
    </row>
    <row r="7" spans="2:24">
      <c r="B7" s="290"/>
      <c r="C7" s="290"/>
      <c r="D7" s="290"/>
      <c r="E7" s="290"/>
      <c r="F7" s="290"/>
      <c r="G7" s="290"/>
      <c r="H7" s="290"/>
      <c r="I7" s="290"/>
      <c r="J7" s="290"/>
      <c r="K7" s="290"/>
      <c r="L7" s="290"/>
      <c r="O7" s="338"/>
      <c r="P7" s="338"/>
      <c r="Q7" s="390"/>
      <c r="R7" s="338"/>
      <c r="S7" s="338"/>
      <c r="T7" s="338"/>
      <c r="U7" s="338"/>
      <c r="V7" s="338"/>
      <c r="W7" s="338"/>
      <c r="X7" s="338"/>
    </row>
    <row r="8" spans="2:24" ht="19.5" customHeight="1" thickBot="1">
      <c r="B8" s="1500" t="s">
        <v>254</v>
      </c>
      <c r="C8" s="1500"/>
      <c r="D8" s="1500"/>
      <c r="E8" s="1500"/>
      <c r="F8" s="1500"/>
      <c r="G8" s="1500"/>
      <c r="H8" s="1500"/>
      <c r="I8" s="1500"/>
      <c r="J8" s="1500"/>
      <c r="K8" s="1500"/>
      <c r="L8" s="1500"/>
      <c r="O8" s="338"/>
      <c r="P8" s="338"/>
      <c r="Q8" s="338"/>
      <c r="R8" s="338"/>
      <c r="S8" s="338"/>
      <c r="T8" s="338"/>
      <c r="U8" s="338"/>
      <c r="V8" s="338"/>
      <c r="W8" s="338"/>
      <c r="X8" s="338"/>
    </row>
    <row r="9" spans="2:24" ht="21" customHeight="1" thickTop="1" thickBot="1">
      <c r="B9" s="1393"/>
      <c r="C9" s="1393"/>
      <c r="D9" s="1393"/>
      <c r="E9" s="1393"/>
      <c r="F9" s="1393"/>
      <c r="G9" s="1390" t="s">
        <v>255</v>
      </c>
      <c r="H9" s="1393"/>
      <c r="I9" s="1393"/>
      <c r="J9" s="1393"/>
      <c r="K9" s="1393"/>
      <c r="L9" s="1393"/>
      <c r="O9" s="338"/>
      <c r="P9" s="338"/>
      <c r="Q9" s="399"/>
      <c r="R9" s="338"/>
      <c r="S9" s="338"/>
      <c r="T9" s="338"/>
      <c r="U9" s="338"/>
      <c r="V9" s="338"/>
      <c r="W9" s="338"/>
      <c r="X9" s="338"/>
    </row>
    <row r="10" spans="2:24" ht="12" customHeight="1">
      <c r="B10" s="383"/>
      <c r="C10" s="132" t="s">
        <v>256</v>
      </c>
      <c r="D10" s="686"/>
      <c r="E10" s="687"/>
      <c r="F10" s="687"/>
      <c r="G10" s="687"/>
      <c r="H10" s="687"/>
      <c r="I10" s="687"/>
      <c r="J10" s="687"/>
      <c r="K10" s="687"/>
      <c r="L10" s="687"/>
      <c r="O10" s="338"/>
      <c r="P10" s="338"/>
      <c r="Q10" s="338"/>
      <c r="R10" s="338"/>
      <c r="S10" s="338"/>
      <c r="T10" s="338"/>
      <c r="U10" s="338"/>
      <c r="V10" s="338"/>
      <c r="W10" s="338"/>
      <c r="X10" s="338"/>
    </row>
    <row r="11" spans="2:24" ht="12.75" customHeight="1">
      <c r="B11" s="688" t="s">
        <v>257</v>
      </c>
      <c r="C11" s="290"/>
      <c r="D11" s="689"/>
      <c r="E11" s="689"/>
      <c r="F11" s="290"/>
      <c r="G11" s="290"/>
      <c r="H11" s="290"/>
      <c r="I11" s="290"/>
      <c r="J11" s="290"/>
      <c r="K11" s="290"/>
      <c r="L11" s="290"/>
      <c r="O11" s="338"/>
      <c r="P11" s="338"/>
      <c r="Q11" s="390"/>
      <c r="R11" s="400"/>
      <c r="S11" s="338"/>
      <c r="T11" s="338"/>
      <c r="U11" s="338"/>
      <c r="V11" s="338"/>
      <c r="W11" s="338"/>
      <c r="X11" s="338"/>
    </row>
    <row r="12" spans="2:24" ht="12.75" customHeight="1">
      <c r="B12" s="290"/>
      <c r="C12" s="661" t="s">
        <v>870</v>
      </c>
      <c r="D12" s="690">
        <f>VLOOKUP(Geometry!G19,Reference!B6:D45,3,FALSE)/1000</f>
        <v>0.88</v>
      </c>
      <c r="E12" s="211" t="s">
        <v>258</v>
      </c>
      <c r="F12" s="679" t="str">
        <f>IF(LEFT(bkspangirder,1)="U","(weight includes diaphragms and endblocks)","")</f>
        <v/>
      </c>
      <c r="G12" s="290"/>
      <c r="H12" s="290"/>
      <c r="I12" s="290"/>
      <c r="J12" s="290"/>
      <c r="K12" s="290"/>
      <c r="L12" s="290"/>
      <c r="M12" s="1165"/>
      <c r="O12" s="338"/>
      <c r="P12" s="338"/>
      <c r="Q12" s="390"/>
      <c r="R12" s="400"/>
      <c r="S12" s="338"/>
      <c r="T12" s="338"/>
      <c r="U12" s="338"/>
      <c r="V12" s="338"/>
      <c r="W12" s="338"/>
      <c r="X12" s="338"/>
    </row>
    <row r="13" spans="2:24">
      <c r="B13" s="290"/>
      <c r="C13" s="661" t="s">
        <v>1071</v>
      </c>
      <c r="D13" s="690">
        <f>1.05*0.15*(slabthickness/12)*(BBSPA2/2+OSOHBack+2/3*(Geometry!G38-OSOHBack))</f>
        <v>1.1528125</v>
      </c>
      <c r="E13" s="211" t="s">
        <v>258</v>
      </c>
      <c r="F13" s="679" t="str">
        <f>"{1.05 x 0.150 kcf x ("&amp; FIXED(slabthickness,2) &amp; "in / 12 in/ft) x ("&amp; FIXED(BBSPA2,3) &amp; " ft / 2 + " &amp; FIXED(OSOHBack,3) &amp;" ft + 2/3 x (" &amp; FIXED(Geometry!G38,3)&amp;"ft - "&amp;FIXED(OSOHBack,3)&amp;"ft))}"</f>
        <v>{1.05 x 0.150 kcf x (8.50in / 12 in/ft) x (14.667 ft / 2 + 3.000 ft + 2/3 x (3.000ft - 3.000ft))}</v>
      </c>
      <c r="G13" s="290"/>
      <c r="H13" s="290"/>
      <c r="I13" s="290"/>
      <c r="J13" s="290"/>
      <c r="K13" s="290"/>
      <c r="L13" s="290"/>
      <c r="M13" s="1165"/>
      <c r="O13" s="338"/>
      <c r="P13" s="338"/>
      <c r="Q13" s="390"/>
      <c r="R13" s="400"/>
      <c r="S13" s="338"/>
      <c r="T13" s="338"/>
      <c r="U13" s="338"/>
      <c r="V13" s="338"/>
      <c r="W13" s="338"/>
      <c r="X13" s="338"/>
    </row>
    <row r="14" spans="2:24">
      <c r="B14" s="290"/>
      <c r="C14" s="661" t="s">
        <v>1072</v>
      </c>
      <c r="D14" s="105">
        <f>1.05*0.15*(slabthickness/12)*(VLOOKUP(MAX(C32:C49,1)+1,Geometry!D128:E147,2,FALSE)/2+OSOHBackRT+2/3*(Geometry!G41-OSOHBackRT))</f>
        <v>1.1528125</v>
      </c>
      <c r="E14" s="211" t="s">
        <v>258</v>
      </c>
      <c r="F14" s="679" t="str">
        <f>"{1.05 x 0.150 kcf x ("&amp; FIXED(slabthickness,2) &amp; "in / 12 in/ft) x ("&amp; FIXED(VLOOKUP(MAX(C32:C49,1)+1,Geometry!D128:E147,2,FALSE),3)&amp; " ft / 2 + " &amp; FIXED(OSOHBackRT,3)&amp;" ft + 2/3 x (" &amp; FIXED(Geometry!G41,3)&amp;"ft - "&amp;FIXED(OSOHBackRT,3)&amp;"ft))}"</f>
        <v>{1.05 x 0.150 kcf x (8.50in / 12 in/ft) x (14.667 ft / 2 + 3.000 ft + 2/3 x (3.000ft - 3.000ft))}</v>
      </c>
      <c r="G14" s="290"/>
      <c r="H14" s="290"/>
      <c r="I14" s="290"/>
      <c r="J14" s="290"/>
      <c r="K14" s="290"/>
      <c r="L14" s="290"/>
      <c r="M14" s="1165"/>
      <c r="O14" s="338"/>
      <c r="P14" s="338"/>
      <c r="Q14" s="390"/>
      <c r="R14" s="400"/>
      <c r="S14" s="338"/>
      <c r="T14" s="338"/>
      <c r="U14" s="338"/>
      <c r="V14" s="338"/>
      <c r="W14" s="338"/>
      <c r="X14" s="338"/>
    </row>
    <row r="15" spans="2:24" ht="13.5">
      <c r="B15" s="290"/>
      <c r="C15" s="1074" t="s">
        <v>80</v>
      </c>
      <c r="D15" s="105">
        <f>(FWSthickness/12)*(FWSwt)*(BBSPA2/2+OSOHBack+2/3*(Geometry!G38-OSOHBack)-RailWidth)</f>
        <v>0</v>
      </c>
      <c r="E15" s="211" t="s">
        <v>258</v>
      </c>
      <c r="F15" s="679" t="str">
        <f>"{("&amp;FWSthickness&amp;"in / 12 in/ft) x ("&amp;FWSwt&amp;" kcf) x ("&amp; FIXED(BBSPA2,3)&amp;" ft / 2 + "&amp;FIXED(OSOHBack,3) &amp;" ft + 2/3 x ("&amp;FIXED(Geometry!G38,3)&amp;"ft - "&amp;FIXED(OSOHBack,3)&amp;"ft) - "&amp;RailWidth&amp;" ft)}"</f>
        <v>{(0in / 12 in/ft) x (0.14 kcf) x (14.667 ft / 2 + 3.000 ft + 2/3 x (3.000ft - 3.000ft) - 1 ft)}</v>
      </c>
      <c r="G15" s="290"/>
      <c r="H15" s="290"/>
      <c r="I15" s="290"/>
      <c r="J15" s="290"/>
      <c r="K15" s="290"/>
      <c r="L15" s="290"/>
      <c r="O15" s="338"/>
      <c r="P15" s="338"/>
      <c r="Q15" s="390"/>
      <c r="R15" s="400"/>
      <c r="S15" s="338"/>
      <c r="T15" s="338"/>
      <c r="U15" s="338"/>
      <c r="V15" s="338"/>
      <c r="W15" s="338"/>
      <c r="X15" s="338"/>
    </row>
    <row r="16" spans="2:24" ht="13.5">
      <c r="B16" s="290"/>
      <c r="C16" s="1074" t="s">
        <v>79</v>
      </c>
      <c r="D16" s="105">
        <f>(FWSthickness/12)*(FWSwt)*(VLOOKUP(MAX(C32:C49,1)+1,Geometry!D128:E147,2,FALSE)/2+OSOHBackRT+2/3*(Geometry!G41-OSOHBackRT)-Geometry!F52)</f>
        <v>0</v>
      </c>
      <c r="E16" s="211" t="s">
        <v>258</v>
      </c>
      <c r="F16" s="679" t="str">
        <f>"{("&amp;FWSthickness&amp;"in / 12 in/ft) x ("&amp;FWSwt&amp;" kcf) x ("&amp; FIXED(VLOOKUP(MAX(C32:C49,1)+1,Geometry!D128:E147,2,FALSE),3)&amp; " ft / 2 + " &amp; FIXED(OSOHBackRT,3)&amp;" ft + 2/3 x (" &amp; FIXED(Geometry!G41,3)&amp;"ft - "&amp;FIXED(OSOHBackRT,3)&amp;"ft) - "&amp;Geometry!F52&amp;" ft)}"</f>
        <v>{(0in / 12 in/ft) x (0.14 kcf) x (14.667 ft / 2 + 3.000 ft + 2/3 x (3.000ft - 3.000ft) - 1 ft)}</v>
      </c>
      <c r="G16" s="290"/>
      <c r="H16" s="290"/>
      <c r="I16" s="290"/>
      <c r="J16" s="290"/>
      <c r="K16" s="290"/>
      <c r="L16" s="290"/>
      <c r="M16" s="1165" t="s">
        <v>1566</v>
      </c>
      <c r="O16" s="338"/>
      <c r="P16" s="338"/>
      <c r="Q16" s="390"/>
      <c r="R16" s="400"/>
      <c r="S16" s="338"/>
      <c r="T16" s="338"/>
      <c r="U16" s="338"/>
      <c r="V16" s="338"/>
      <c r="W16" s="338"/>
      <c r="X16" s="338"/>
    </row>
    <row r="17" spans="1:24">
      <c r="B17" s="290"/>
      <c r="C17" s="661" t="str">
        <f>"Rail (left bm) ="</f>
        <v>Rail (left bm) =</v>
      </c>
      <c r="D17" s="105">
        <f>IF(OR(BkBms&lt;IF(LEFT(bkspangirder,1)="U",4,6),RailDistribution),(RailWtLeft+RailRightWt)/BkBms,IF(LEFT(bkspangirder,1)="U",2,1)*RailWtLeft/3)/1000+IF(AND(1&gt;=RailDistributeBackStart,1&lt;=RailDistributeBackEnd),$F$29,0)</f>
        <v>0.188</v>
      </c>
      <c r="E17" s="211" t="s">
        <v>258</v>
      </c>
      <c r="F17" s="679" t="str">
        <f>"{" &amp; IF(OR(BkBms&lt;IF(LEFT(bkspangirder,1)="U",4,6),RailDistribution),"("&amp;RailWtLeft&amp;" plf + "&amp;RailRightWt&amp;" plf) / "&amp;BkBms&amp;" bms / 1000 lbs/k","(" &amp; IF(LEFT(bkspangirder,1)="U","2 x ","")&amp;RailWtLeft&amp;" plf / 3 bms) / 1000 lbs/k")&amp;IF(AND(1&gt;=RailDistributeBackStart,1&lt;=RailDistributeBackEnd)," + " &amp; FIXED($F$29,3) &amp; " klf","") &amp; "}"</f>
        <v>{(376 plf + 376 plf) / 4 bms / 1000 lbs/k}</v>
      </c>
      <c r="G17" s="290"/>
      <c r="H17" s="290"/>
      <c r="I17" s="290"/>
      <c r="J17" s="290"/>
      <c r="K17" s="290"/>
      <c r="L17" s="290"/>
      <c r="M17" s="337">
        <f>(IF(LEFT(bkspangirder,1)="U",2,1)*RailWtLeft/IF(OR(RailDistribution,BkBms&lt;IF(LEFT(bkspangirder,1)="U",3,6)),BkBms,3)+
IF(OR(RailDistribution,BkBms&lt;IF(LEFT(bkspangirder,1)="U",3,6)),RailRightWt/BkBms,0)+
IF(AND(1&gt;=RailDistributeBackStart,1&lt;=RailDistributeBackEnd),Rail3rdWt/(RailDistributeBackEnd-RailDistributeBackStart+1),0))/1000</f>
        <v>0.188</v>
      </c>
      <c r="N17" s="337" t="str">
        <f>"(" &amp; IF(LEFT(bkspangirder,1)="U","2 x ","") &amp; RailWtLeft &amp; " plf / " &amp; IF(OR(RailDistribution,BkBms&lt;IF(LEFT(bkspangirder,1)="U",3,6)),BkBms &amp; " bms",3 &amp; " bms") &amp; " + " &amp;
IF(OR(RailDistribution,BkBms&lt;IF(LEFT(bkspangirder,1)="U",3,6)),RailRightWt &amp; " plf / " &amp; BkBms &amp; " bms",0 &amp; " plf") &amp; " + " &amp;
IF(AND(1&gt;=RailDistributeBackStart,1&lt;=RailDistributeBackEnd),Rail3rdWt &amp; " plf / " &amp; (RailDistributeBackEnd-RailDistributeBackStart+1) &amp; " bms",0 &amp; " plf") &amp; ") / 1000 lbs/k"</f>
        <v>(376 plf / 4 bms + 376 plf / 4 bms + 0 plf) / 1000 lbs/k</v>
      </c>
      <c r="O17" s="338"/>
      <c r="P17" s="338"/>
      <c r="Q17" s="390"/>
      <c r="R17" s="400"/>
      <c r="S17" s="338"/>
      <c r="T17" s="338"/>
      <c r="U17" s="338"/>
      <c r="V17" s="338"/>
      <c r="W17" s="338"/>
      <c r="X17" s="338"/>
    </row>
    <row r="18" spans="1:24">
      <c r="B18" s="290"/>
      <c r="C18" s="661" t="str">
        <f>"Rail (rt bm) ="</f>
        <v>Rail (rt bm) =</v>
      </c>
      <c r="D18" s="105">
        <f>IF(OR(BkBms&lt;IF(LEFT(bkspangirder,1)="U",4,6),RailDistribution),(RailWtLeft+RailRightWt)/BkBms,IF(LEFT(bkspangirder,1)="U",2,1)*RailRightWt/3)/1000+IF(AND(BkBms&gt;=RailDistributeBackStart,BkBms&lt;=RailDistributeBackEnd),$F$29,0)</f>
        <v>0.42699999999999999</v>
      </c>
      <c r="E18" s="211" t="s">
        <v>258</v>
      </c>
      <c r="F18" s="679" t="str">
        <f>"{" &amp; IF(OR(BkBms&lt;IF(LEFT(bkspangirder,1)="U",4,6),RailDistribution),"("&amp;RailWtLeft&amp;" plf + "&amp;RailRightWt&amp;" plf) / "&amp;BkBms&amp;" bms / 1000 lbs/k","(" &amp; IF(LEFT(bkspangirder,1)="U","2 x ","")&amp;RailRightWt&amp;" plf / 3 bms) / 1000 lbs/k")&amp;IF(AND(BkBms&gt;=RailDistributeBackStart,BkBms&lt;=RailDistributeBackEnd)," + " &amp; FIXED($F$29,3) &amp; " klf","") &amp; "}"</f>
        <v>{(376 plf + 376 plf) / 4 bms / 1000 lbs/k + 0.239 klf}</v>
      </c>
      <c r="G18" s="290"/>
      <c r="H18" s="290"/>
      <c r="I18" s="290"/>
      <c r="J18" s="290"/>
      <c r="K18" s="290"/>
      <c r="L18" s="290"/>
      <c r="M18" s="337">
        <f>(IF(LEFT(bkspangirder,1)="U",2,1)*RailRightWt/IF(OR(RailDistribution,BkBms&lt;IF(LEFT(bkspangirder,1)="U",3,6)),BkBms,3)+
IF(OR(RailDistribution,BkBms&lt;IF(LEFT(bkspangirder,1)="U",3,6)),RailWtLeft/BkBms,0)+
IF(AND(BkBms&gt;=RailDistributeBackStart,BkBms&lt;=RailDistributeBackEnd),Rail3rdWt/(RailDistributeBackEnd-RailDistributeBackStart+1),0))/1000</f>
        <v>0.42699999999999999</v>
      </c>
      <c r="N18" s="337" t="str">
        <f>"(" &amp; IF(LEFT(bkspangirder,1)="U","2 x ","") &amp; RailRightWt &amp; " plf / " &amp; IF(OR(RailDistribution,BkBms&lt;IF(LEFT(bkspangirder,1)="U",3,6)),BkBms &amp; " bms",3 &amp; " bms") &amp; " + " &amp;
IF(OR(RailDistribution,BkBms&lt;IF(LEFT(bkspangirder,1)="U",3,6)),RailWtLeft &amp; " plf / " &amp; BkBms &amp; " bms",0 &amp; " plf") &amp; " + " &amp;
IF(AND(BkBms&gt;=RailDistributeBackStart,BkBms&lt;=RailDistributeBackEnd),Rail3rdWt &amp; " plf / " &amp; (RailDistributeBackEnd-RailDistributeBackStart+1) &amp; " bms",0 &amp; " plf") &amp; ") / 1000 lbs/k"</f>
        <v>(376 plf / 4 bms + 376 plf / 4 bms + 717 plf / 3 bms) / 1000 lbs/k</v>
      </c>
      <c r="O18" s="338"/>
      <c r="P18" s="338"/>
      <c r="Q18" s="390"/>
      <c r="R18" s="400"/>
      <c r="S18" s="338"/>
      <c r="T18" s="338"/>
      <c r="U18" s="338"/>
      <c r="V18" s="338"/>
      <c r="W18" s="338"/>
      <c r="X18" s="338"/>
    </row>
    <row r="19" spans="1:24">
      <c r="B19" s="290"/>
      <c r="C19" s="661" t="s">
        <v>77</v>
      </c>
      <c r="D19" s="105">
        <f>IF(SWalkDistributeBackStart=1,sidewalk/(SWalkDistributeBackEnd-SWalkDistributeBackStart+1),0)</f>
        <v>0</v>
      </c>
      <c r="E19" s="211" t="s">
        <v>258</v>
      </c>
      <c r="F19" s="679" t="str">
        <f>"{"&amp;IF(SWalkDistributeBackStart=1,sidewalk &amp;" k/ft / "&amp;SWalkDistributeBackEnd-SWalkDistributeBackStart+1&amp;" bms","Not carried by this beam")&amp;"}"</f>
        <v>{Not carried by this beam}</v>
      </c>
      <c r="G19" s="290"/>
      <c r="H19" s="290"/>
      <c r="I19" s="290"/>
      <c r="J19" s="290"/>
      <c r="K19" s="290"/>
      <c r="L19" s="290"/>
      <c r="O19" s="338"/>
      <c r="P19" s="338"/>
      <c r="Q19" s="390"/>
      <c r="R19" s="400"/>
      <c r="S19" s="338"/>
      <c r="T19" s="338"/>
      <c r="U19" s="338"/>
      <c r="V19" s="338"/>
      <c r="W19" s="338"/>
      <c r="X19" s="338"/>
    </row>
    <row r="20" spans="1:24">
      <c r="B20" s="290"/>
      <c r="C20" s="661" t="s">
        <v>78</v>
      </c>
      <c r="D20" s="105">
        <f>IF(SWalkDistributeBackEnd=BkBms,sidewalk/(SWalkDistributeBackEnd-SWalkDistributeBackStart+1),0)</f>
        <v>0</v>
      </c>
      <c r="E20" s="211" t="s">
        <v>258</v>
      </c>
      <c r="F20" s="679" t="str">
        <f>"{"&amp;IF(SWalkDistributeBackEnd=BkBms,sidewalk &amp;" k/ft / "&amp;SWalkDistributeBackEnd-SWalkDistributeBackStart+1&amp;" bms","Not carried by this beam")&amp;"}"</f>
        <v>{Not carried by this beam}</v>
      </c>
      <c r="G20" s="290"/>
      <c r="H20" s="290"/>
      <c r="I20" s="290"/>
      <c r="J20" s="290"/>
      <c r="K20" s="683"/>
      <c r="L20" s="290"/>
      <c r="O20" s="338"/>
      <c r="P20" s="338"/>
      <c r="Q20" s="390"/>
      <c r="R20" s="400"/>
      <c r="S20" s="338"/>
      <c r="T20" s="338"/>
      <c r="U20" s="338"/>
      <c r="V20" s="338"/>
      <c r="W20" s="338"/>
      <c r="X20" s="338"/>
    </row>
    <row r="21" spans="1:24">
      <c r="B21" s="290"/>
      <c r="C21" s="691" t="s">
        <v>357</v>
      </c>
      <c r="D21" s="692">
        <f>Geometry!G17/BkBms</f>
        <v>3.7499999999999999E-2</v>
      </c>
      <c r="E21" s="693" t="s">
        <v>258</v>
      </c>
      <c r="F21" s="679" t="str">
        <f>"{"&amp;FIXED(Geometry!G17,3)&amp;" k/ft / "&amp;BkBms&amp;" bms}"</f>
        <v>{0.150 k/ft / 4 bms}</v>
      </c>
      <c r="G21" s="290"/>
      <c r="H21" s="290"/>
      <c r="I21" s="290"/>
      <c r="J21" s="290"/>
      <c r="K21" s="683"/>
      <c r="L21" s="290"/>
      <c r="O21" s="338"/>
      <c r="P21" s="338"/>
      <c r="Q21" s="390"/>
      <c r="R21" s="400"/>
      <c r="S21" s="338"/>
      <c r="T21" s="338"/>
      <c r="U21" s="338"/>
      <c r="V21" s="338"/>
      <c r="W21" s="338"/>
      <c r="X21" s="338"/>
    </row>
    <row r="22" spans="1:24">
      <c r="B22" s="290"/>
      <c r="C22" s="694" t="s">
        <v>1112</v>
      </c>
      <c r="D22" s="690">
        <f>D13+D17+D19</f>
        <v>1.3408125</v>
      </c>
      <c r="E22" s="41" t="s">
        <v>258</v>
      </c>
      <c r="F22" s="679"/>
      <c r="G22" s="290"/>
      <c r="H22" s="290"/>
      <c r="I22" s="290"/>
      <c r="J22" s="290"/>
      <c r="K22" s="683"/>
      <c r="L22" s="290"/>
      <c r="O22" s="338"/>
      <c r="P22" s="338"/>
      <c r="Q22" s="390"/>
      <c r="R22" s="400"/>
      <c r="S22" s="338"/>
      <c r="T22" s="338"/>
      <c r="U22" s="338"/>
      <c r="V22" s="338"/>
      <c r="W22" s="338"/>
      <c r="X22" s="338"/>
    </row>
    <row r="23" spans="1:24">
      <c r="B23" s="290"/>
      <c r="C23" s="694" t="s">
        <v>1113</v>
      </c>
      <c r="D23" s="690">
        <f>D14+D18+D20</f>
        <v>1.5798125000000001</v>
      </c>
      <c r="E23" s="41" t="s">
        <v>258</v>
      </c>
      <c r="F23" s="679"/>
      <c r="G23" s="290"/>
      <c r="H23" s="290"/>
      <c r="I23" s="290"/>
      <c r="J23" s="290"/>
      <c r="K23" s="290"/>
      <c r="L23" s="211"/>
      <c r="O23" s="338"/>
      <c r="P23" s="338"/>
      <c r="Q23" s="390"/>
      <c r="R23" s="400"/>
      <c r="S23" s="338"/>
      <c r="T23" s="338"/>
      <c r="U23" s="338"/>
      <c r="V23" s="338"/>
      <c r="W23" s="338"/>
      <c r="X23" s="338"/>
    </row>
    <row r="24" spans="1:24">
      <c r="B24" s="290"/>
      <c r="C24" s="661" t="s">
        <v>878</v>
      </c>
      <c r="D24" s="681">
        <f>(D22*Geometry!F128+D12*Geometry!G128)/2</f>
        <v>110.82062499999999</v>
      </c>
      <c r="E24" s="41" t="s">
        <v>341</v>
      </c>
      <c r="F24" s="679" t="str">
        <f>"{("&amp;FIXED(D22,3)&amp;" k/ft x "&amp;FIXED(Geometry!F128,3)&amp;" ft + "&amp;FIXED(D12,3)&amp;" k/ft x "&amp;FIXED(Geometry!G128,3)&amp;" ft) / 2}"</f>
        <v>{(1.341 k/ft x 100.000 ft + 0.880 k/ft x 99.500 ft) / 2}</v>
      </c>
      <c r="G24" s="290"/>
      <c r="H24" s="290"/>
      <c r="I24" s="290"/>
      <c r="J24" s="290"/>
      <c r="K24" s="290"/>
      <c r="L24" s="211"/>
      <c r="O24" s="338"/>
      <c r="P24" s="338"/>
      <c r="Q24" s="390"/>
      <c r="R24" s="400"/>
      <c r="S24" s="338"/>
      <c r="T24" s="338"/>
      <c r="U24" s="338"/>
      <c r="V24" s="338"/>
      <c r="W24" s="338"/>
      <c r="X24" s="338"/>
    </row>
    <row r="25" spans="1:24">
      <c r="B25" s="290"/>
      <c r="C25" s="661" t="s">
        <v>879</v>
      </c>
      <c r="D25" s="681">
        <f>(D23*VLOOKUP(MAX(C32:C49)+1,Geometry!D128:G147,3,FALSE)+D12*VLOOKUP(MAX(C32:C49)+1,Geometry!D128:G147,4,FALSE))/2</f>
        <v>122.77062500000001</v>
      </c>
      <c r="E25" s="41" t="s">
        <v>341</v>
      </c>
      <c r="F25" s="679" t="str">
        <f>"{("&amp;FIXED(D23,3)&amp;" k/ft x "&amp;FIXED(VLOOKUP(MAX(C32:C49)+1,Geometry!D128:G147,3,FALSE),3)&amp;" ft + "&amp;FIXED(D12,3)&amp;" k/ft x "&amp;FIXED(VLOOKUP(MAX(C32:C49)+1,Geometry!D128:G147,4,FALSE),3)&amp;" ft) / 2}"</f>
        <v>{(1.580 k/ft x 100.000 ft + 0.880 k/ft x 99.500 ft) / 2}</v>
      </c>
      <c r="G25" s="290"/>
      <c r="H25" s="290"/>
      <c r="I25" s="290"/>
      <c r="J25" s="290"/>
      <c r="K25" s="290"/>
      <c r="L25" s="211"/>
      <c r="O25" s="338"/>
      <c r="P25" s="338"/>
      <c r="Q25" s="390"/>
      <c r="R25" s="400"/>
      <c r="S25" s="338"/>
      <c r="T25" s="338"/>
      <c r="U25" s="338"/>
      <c r="V25" s="338"/>
      <c r="W25" s="338"/>
      <c r="X25" s="338"/>
    </row>
    <row r="26" spans="1:24">
      <c r="B26" s="290"/>
      <c r="C26" s="661" t="s">
        <v>880</v>
      </c>
      <c r="D26" s="681">
        <f>((D15+D21)*Geometry!F128)/2</f>
        <v>1.875</v>
      </c>
      <c r="E26" s="41" t="s">
        <v>341</v>
      </c>
      <c r="F26" s="679" t="str">
        <f>"{(("&amp;FIXED(D15,3)&amp;" k/ft + "&amp;FIXED(D21,3)&amp;" k/ft) x "&amp;FIXED(Geometry!F128,3)&amp;" ft) / 2}"</f>
        <v>{((0.000 k/ft + 0.038 k/ft) x 100.000 ft) / 2}</v>
      </c>
      <c r="G26" s="290"/>
      <c r="H26" s="290"/>
      <c r="I26" s="290"/>
      <c r="J26" s="290"/>
      <c r="K26" s="290"/>
      <c r="L26" s="211"/>
      <c r="O26" s="338"/>
      <c r="P26" s="338"/>
      <c r="Q26" s="390"/>
      <c r="R26" s="400"/>
      <c r="S26" s="338"/>
      <c r="T26" s="338"/>
      <c r="U26" s="338"/>
      <c r="V26" s="338"/>
      <c r="W26" s="338"/>
      <c r="X26" s="338"/>
    </row>
    <row r="27" spans="1:24" ht="14.25" customHeight="1">
      <c r="B27" s="290"/>
      <c r="C27" s="661" t="s">
        <v>881</v>
      </c>
      <c r="D27" s="681">
        <f>((D16+D21)*VLOOKUP(MAX(C32:C49)+1,Geometry!D128:G147,3,FALSE))/2</f>
        <v>1.875</v>
      </c>
      <c r="E27" s="41" t="s">
        <v>341</v>
      </c>
      <c r="F27" s="679" t="str">
        <f>"{(("&amp;FIXED(D16,3)&amp;" k/ft + "&amp;FIXED(D21,3)&amp;" k/ft) x "&amp;FIXED(VLOOKUP(MAX(C32:C49)+1,Geometry!D128:G147,3,FALSE),3)&amp;" ft) / 2}"</f>
        <v>{((0.000 k/ft + 0.038 k/ft) x 100.000 ft) / 2}</v>
      </c>
      <c r="G27" s="290"/>
      <c r="H27" s="290"/>
      <c r="I27" s="290"/>
      <c r="J27" s="290"/>
      <c r="K27" s="290"/>
      <c r="L27" s="290"/>
      <c r="O27" s="338"/>
      <c r="P27" s="338"/>
      <c r="Q27" s="390"/>
      <c r="R27" s="400"/>
      <c r="S27" s="338"/>
      <c r="T27" s="338"/>
      <c r="U27" s="338"/>
      <c r="V27" s="338"/>
      <c r="W27" s="338"/>
      <c r="X27" s="338"/>
    </row>
    <row r="28" spans="1:24">
      <c r="B28" s="688" t="s">
        <v>260</v>
      </c>
      <c r="C28" s="290"/>
      <c r="D28" s="689"/>
      <c r="E28" s="290"/>
      <c r="F28" s="290"/>
      <c r="G28" s="290"/>
      <c r="H28" s="290"/>
      <c r="I28" s="290"/>
      <c r="J28" s="290"/>
      <c r="K28" s="290"/>
      <c r="L28" s="290"/>
      <c r="O28" s="338"/>
      <c r="P28" s="338"/>
      <c r="Q28" s="390"/>
      <c r="R28" s="400"/>
      <c r="S28" s="338"/>
      <c r="T28" s="338"/>
      <c r="U28" s="338"/>
      <c r="V28" s="338"/>
      <c r="W28" s="338"/>
      <c r="X28" s="338"/>
    </row>
    <row r="29" spans="1:24">
      <c r="B29" s="290"/>
      <c r="C29" s="290"/>
      <c r="D29" s="290"/>
      <c r="E29" s="661" t="s">
        <v>83</v>
      </c>
      <c r="F29" s="105">
        <f>Rail3rdWt/(RailDistributeBackEnd-RailDistributeBackStart+1)/1000</f>
        <v>0.23899999999999999</v>
      </c>
      <c r="G29" s="211" t="s">
        <v>258</v>
      </c>
      <c r="H29" s="679"/>
      <c r="I29" s="290"/>
      <c r="J29" s="64"/>
      <c r="K29" s="290"/>
      <c r="L29" s="290"/>
      <c r="N29" s="1522" t="s">
        <v>266</v>
      </c>
      <c r="O29" s="1522"/>
      <c r="P29" s="338"/>
      <c r="Q29" s="340" t="s">
        <v>358</v>
      </c>
      <c r="R29" s="338" t="s">
        <v>359</v>
      </c>
      <c r="T29" s="338"/>
      <c r="U29" s="338"/>
      <c r="V29" s="338"/>
      <c r="W29" s="338"/>
      <c r="X29" s="338"/>
    </row>
    <row r="30" spans="1:24">
      <c r="B30" s="290"/>
      <c r="C30" s="290"/>
      <c r="D30" s="290"/>
      <c r="E30" s="661" t="s">
        <v>81</v>
      </c>
      <c r="F30" s="105">
        <f>(FWSthickness/12)*FWSwt</f>
        <v>0</v>
      </c>
      <c r="G30" s="211" t="s">
        <v>1175</v>
      </c>
      <c r="H30" s="679" t="str">
        <f>"{("&amp;FWSthickness&amp;"in / 12 in/ft) x ("&amp;FWSwt&amp;" kcf)}"</f>
        <v>{(0in / 12 in/ft) x (0.14 kcf)}</v>
      </c>
      <c r="I30" s="290"/>
      <c r="J30" s="64"/>
      <c r="K30" s="290"/>
      <c r="L30" s="290"/>
      <c r="N30" s="339"/>
      <c r="O30" s="339"/>
      <c r="P30" s="338"/>
      <c r="Q30" s="390"/>
      <c r="R30" s="400"/>
      <c r="S30" s="338"/>
      <c r="T30" s="338"/>
      <c r="U30" s="338"/>
      <c r="V30" s="338"/>
      <c r="W30" s="338"/>
      <c r="X30" s="338"/>
    </row>
    <row r="31" spans="1:24" ht="39.75" customHeight="1">
      <c r="B31" s="290"/>
      <c r="C31" s="279" t="s">
        <v>263</v>
      </c>
      <c r="D31" s="695" t="s">
        <v>1119</v>
      </c>
      <c r="E31" s="695" t="s">
        <v>1120</v>
      </c>
      <c r="F31" s="696" t="s">
        <v>875</v>
      </c>
      <c r="G31" s="697" t="s">
        <v>873</v>
      </c>
      <c r="H31" s="698" t="s">
        <v>874</v>
      </c>
      <c r="I31" s="697" t="s">
        <v>198</v>
      </c>
      <c r="J31" s="697" t="s">
        <v>82</v>
      </c>
      <c r="K31" s="279" t="s">
        <v>358</v>
      </c>
      <c r="L31" s="698" t="s">
        <v>359</v>
      </c>
      <c r="M31" s="1165"/>
      <c r="N31" s="337" t="s">
        <v>264</v>
      </c>
      <c r="O31" s="338" t="s">
        <v>265</v>
      </c>
      <c r="P31" s="400">
        <v>1</v>
      </c>
      <c r="Q31" s="401">
        <f>D24</f>
        <v>110.82062499999999</v>
      </c>
      <c r="R31" s="401">
        <f>D26</f>
        <v>1.875</v>
      </c>
      <c r="S31" s="338"/>
      <c r="T31" s="338"/>
      <c r="U31" s="338"/>
      <c r="V31" s="338"/>
      <c r="W31" s="338"/>
      <c r="X31" s="338"/>
    </row>
    <row r="32" spans="1:24">
      <c r="A32" s="358" t="str">
        <f t="shared" ref="A32:A49" si="0">IF(C32="","*","")</f>
        <v/>
      </c>
      <c r="B32" s="290"/>
      <c r="C32" s="699">
        <f>IF(2&lt;Geometry!$G$123,2,"")</f>
        <v>2</v>
      </c>
      <c r="D32" s="842">
        <f>IF(C32="","",Geometry!F129)</f>
        <v>100</v>
      </c>
      <c r="E32" s="842">
        <f>IF(C32="","",Geometry!G129)</f>
        <v>99.5</v>
      </c>
      <c r="F32" s="700">
        <f>IF(C32="","",$D$12*E32/2)</f>
        <v>43.78</v>
      </c>
      <c r="G32" s="701">
        <f>IF(C32="","",AVERAGE(N32:O32))</f>
        <v>14.666666666666666</v>
      </c>
      <c r="H32" s="700">
        <f t="shared" ref="H32:H49" si="1">IF(C32="","",(1.05*0.15*(slabthickness/12)*G32*D32)/2)</f>
        <v>81.8125</v>
      </c>
      <c r="I32" s="700">
        <f t="shared" ref="I32:I49" si="2">IF(C32="","",(IF(OR(BkBms&lt;IF(LEFT(bkspangirder,1)="U",4,6),RailDistribution),(RailWtLeft+RailRightWt)/BkBms,IF(C32&lt;IF(LEFT(bkspangirder,1)="U",3,4),RailWtLeft/3,IF(C32&gt;BkBms-IF(LEFT(bkspangirder,1)="U",2,3),RailRightWt/3)))/1000+IF(AND(C32&gt;=RailDistributeBackStart,C32&lt;=RailDistributeBackEnd),$F$29))*D32/2)</f>
        <v>21.349999999999998</v>
      </c>
      <c r="J32" s="700">
        <f t="shared" ref="J32:J49" si="3">IF(D32="","",IF(AND(C32&gt;=SWalkDistributeBackStart,C32&lt;=SWalkDistributeBackEnd),(sidewalk/(SWalkDistributeBackEnd-SWalkDistributeBackStart+1))*(D32/2),0))</f>
        <v>0</v>
      </c>
      <c r="K32" s="700">
        <f>IF(C32="","",F32+H32+I32+J32)</f>
        <v>146.9425</v>
      </c>
      <c r="L32" s="700">
        <f t="shared" ref="L32:L49" si="4">IF(C32="","",($F$30*G32+$D$21)*D32/2)</f>
        <v>1.875</v>
      </c>
      <c r="M32" s="343"/>
      <c r="N32" s="402">
        <f>IF(C32="","",VLOOKUP(C32,Geometry!$D$129:$E$147,2,FALSE))</f>
        <v>14.666666666666666</v>
      </c>
      <c r="O32" s="402">
        <f>IF(C32="","",VLOOKUP(C32+1,Geometry!$D$129:$E$147,2,FALSE))</f>
        <v>14.666666666666666</v>
      </c>
      <c r="P32" s="400">
        <v>2</v>
      </c>
      <c r="Q32" s="401">
        <f t="shared" ref="Q32:Q49" si="5">IF(K32&lt;&gt;"",K32,IF(P31+1=BkBms,$D$25,""))</f>
        <v>146.9425</v>
      </c>
      <c r="R32" s="401">
        <f t="shared" ref="R32:R49" si="6">IF(L32&lt;&gt;"",L32,IF(P31+1=BkBms,$D$27,""))</f>
        <v>1.875</v>
      </c>
      <c r="T32" s="338"/>
      <c r="U32" s="338"/>
      <c r="V32" s="338"/>
      <c r="W32" s="338"/>
      <c r="X32" s="338"/>
    </row>
    <row r="33" spans="1:24">
      <c r="A33" s="358" t="str">
        <f t="shared" si="0"/>
        <v/>
      </c>
      <c r="B33" s="290"/>
      <c r="C33" s="699">
        <f>IF(3&lt;Geometry!$G$123,3,"")</f>
        <v>3</v>
      </c>
      <c r="D33" s="842">
        <f>IF(C33="","",Geometry!F130)</f>
        <v>100</v>
      </c>
      <c r="E33" s="842">
        <f>IF(C33="","",Geometry!G130)</f>
        <v>99.5</v>
      </c>
      <c r="F33" s="700">
        <f t="shared" ref="F33:F49" si="7">IF(C33="","",$D$12*E33/2)</f>
        <v>43.78</v>
      </c>
      <c r="G33" s="701">
        <f t="shared" ref="G33:G49" si="8">IF(C33="","",AVERAGE(N33:O33))</f>
        <v>14.666666666666666</v>
      </c>
      <c r="H33" s="700">
        <f t="shared" si="1"/>
        <v>81.8125</v>
      </c>
      <c r="I33" s="700">
        <f t="shared" si="2"/>
        <v>21.349999999999998</v>
      </c>
      <c r="J33" s="700">
        <f t="shared" si="3"/>
        <v>0</v>
      </c>
      <c r="K33" s="700">
        <f>IF(C33="","",F33+H33+I33+J33)</f>
        <v>146.9425</v>
      </c>
      <c r="L33" s="700">
        <f t="shared" si="4"/>
        <v>1.875</v>
      </c>
      <c r="M33" s="343"/>
      <c r="N33" s="402">
        <f>IF(C33="","",VLOOKUP(C33,Geometry!$D$129:$E$147,2,FALSE))</f>
        <v>14.666666666666666</v>
      </c>
      <c r="O33" s="402">
        <f>IF(C33="","",VLOOKUP(C33+1,Geometry!$D$129:$E$147,2,FALSE))</f>
        <v>14.666666666666666</v>
      </c>
      <c r="P33" s="400">
        <v>3</v>
      </c>
      <c r="Q33" s="401">
        <f t="shared" si="5"/>
        <v>146.9425</v>
      </c>
      <c r="R33" s="401">
        <f t="shared" si="6"/>
        <v>1.875</v>
      </c>
      <c r="T33" s="338"/>
      <c r="U33" s="338"/>
      <c r="V33" s="338"/>
      <c r="W33" s="338"/>
      <c r="X33" s="338"/>
    </row>
    <row r="34" spans="1:24" hidden="1">
      <c r="A34" s="358" t="str">
        <f t="shared" si="0"/>
        <v>*</v>
      </c>
      <c r="B34" s="290"/>
      <c r="C34" s="699" t="str">
        <f>IF(4&lt;Geometry!$G$123,4,"")</f>
        <v/>
      </c>
      <c r="D34" s="842" t="str">
        <f>IF(C34="","",Geometry!F131)</f>
        <v/>
      </c>
      <c r="E34" s="842" t="str">
        <f>IF(C34="","",Geometry!G131)</f>
        <v/>
      </c>
      <c r="F34" s="700" t="str">
        <f t="shared" si="7"/>
        <v/>
      </c>
      <c r="G34" s="701" t="str">
        <f t="shared" si="8"/>
        <v/>
      </c>
      <c r="H34" s="700" t="str">
        <f t="shared" si="1"/>
        <v/>
      </c>
      <c r="I34" s="700" t="str">
        <f t="shared" si="2"/>
        <v/>
      </c>
      <c r="J34" s="700" t="str">
        <f t="shared" si="3"/>
        <v/>
      </c>
      <c r="K34" s="700" t="str">
        <f>IF(C34="","",F34+H34+I34+J34)</f>
        <v/>
      </c>
      <c r="L34" s="700" t="str">
        <f t="shared" si="4"/>
        <v/>
      </c>
      <c r="M34" s="343"/>
      <c r="N34" s="402" t="str">
        <f>IF(C34="","",VLOOKUP(C34,Geometry!$D$129:$E$147,2,FALSE))</f>
        <v/>
      </c>
      <c r="O34" s="402" t="str">
        <f>IF(C34="","",VLOOKUP(C34+1,Geometry!$D$129:$E$147,2,FALSE))</f>
        <v/>
      </c>
      <c r="P34" s="400">
        <v>4</v>
      </c>
      <c r="Q34" s="401">
        <f t="shared" si="5"/>
        <v>122.77062500000001</v>
      </c>
      <c r="R34" s="401">
        <f t="shared" si="6"/>
        <v>1.875</v>
      </c>
      <c r="T34" s="338"/>
      <c r="U34" s="338"/>
      <c r="V34" s="338"/>
      <c r="W34" s="338"/>
      <c r="X34" s="338"/>
    </row>
    <row r="35" spans="1:24" hidden="1">
      <c r="A35" s="358" t="str">
        <f t="shared" si="0"/>
        <v>*</v>
      </c>
      <c r="B35" s="290"/>
      <c r="C35" s="699" t="str">
        <f>IF(5&lt;Geometry!$G$123,5,"")</f>
        <v/>
      </c>
      <c r="D35" s="842" t="str">
        <f>IF(C35="","",Geometry!F132)</f>
        <v/>
      </c>
      <c r="E35" s="842" t="str">
        <f>IF(C35="","",Geometry!G132)</f>
        <v/>
      </c>
      <c r="F35" s="700" t="str">
        <f t="shared" si="7"/>
        <v/>
      </c>
      <c r="G35" s="701" t="str">
        <f t="shared" si="8"/>
        <v/>
      </c>
      <c r="H35" s="700" t="str">
        <f t="shared" si="1"/>
        <v/>
      </c>
      <c r="I35" s="700" t="str">
        <f t="shared" si="2"/>
        <v/>
      </c>
      <c r="J35" s="700" t="str">
        <f t="shared" si="3"/>
        <v/>
      </c>
      <c r="K35" s="700" t="str">
        <f>IF(C35="","",F35+H35+I35+J35)</f>
        <v/>
      </c>
      <c r="L35" s="700" t="str">
        <f t="shared" si="4"/>
        <v/>
      </c>
      <c r="M35" s="343"/>
      <c r="N35" s="402" t="str">
        <f>IF(C35="","",VLOOKUP(C35,Geometry!$D$129:$E$147,2,FALSE))</f>
        <v/>
      </c>
      <c r="O35" s="402" t="str">
        <f>IF(C35="","",VLOOKUP(C35+1,Geometry!$D$129:$E$147,2,FALSE))</f>
        <v/>
      </c>
      <c r="P35" s="400">
        <v>5</v>
      </c>
      <c r="Q35" s="401" t="str">
        <f t="shared" si="5"/>
        <v/>
      </c>
      <c r="R35" s="401" t="str">
        <f t="shared" si="6"/>
        <v/>
      </c>
      <c r="T35" s="338"/>
      <c r="U35" s="338"/>
      <c r="V35" s="338"/>
      <c r="W35" s="338"/>
      <c r="X35" s="338"/>
    </row>
    <row r="36" spans="1:24" hidden="1">
      <c r="A36" s="358" t="str">
        <f t="shared" si="0"/>
        <v>*</v>
      </c>
      <c r="B36" s="290"/>
      <c r="C36" s="699" t="str">
        <f>IF(6&lt;Geometry!$G$123,6,"")</f>
        <v/>
      </c>
      <c r="D36" s="842" t="str">
        <f>IF(C36="","",Geometry!F133)</f>
        <v/>
      </c>
      <c r="E36" s="842" t="str">
        <f>IF(C36="","",Geometry!G133)</f>
        <v/>
      </c>
      <c r="F36" s="700" t="str">
        <f t="shared" si="7"/>
        <v/>
      </c>
      <c r="G36" s="701" t="str">
        <f t="shared" si="8"/>
        <v/>
      </c>
      <c r="H36" s="700" t="str">
        <f t="shared" si="1"/>
        <v/>
      </c>
      <c r="I36" s="700" t="str">
        <f t="shared" si="2"/>
        <v/>
      </c>
      <c r="J36" s="700" t="str">
        <f t="shared" si="3"/>
        <v/>
      </c>
      <c r="K36" s="700" t="str">
        <f t="shared" ref="K36:K49" si="9">IF(C36="","",F36+H36+I36+J36)</f>
        <v/>
      </c>
      <c r="L36" s="700" t="str">
        <f t="shared" si="4"/>
        <v/>
      </c>
      <c r="M36" s="343"/>
      <c r="N36" s="402" t="str">
        <f>IF(C36="","",VLOOKUP(C36,Geometry!$D$129:$E$147,2,FALSE))</f>
        <v/>
      </c>
      <c r="O36" s="402" t="str">
        <f>IF(C36="","",VLOOKUP(C36+1,Geometry!$D$129:$E$147,2,FALSE))</f>
        <v/>
      </c>
      <c r="P36" s="400">
        <v>6</v>
      </c>
      <c r="Q36" s="401" t="str">
        <f t="shared" si="5"/>
        <v/>
      </c>
      <c r="R36" s="401" t="str">
        <f t="shared" si="6"/>
        <v/>
      </c>
      <c r="S36" s="338"/>
      <c r="T36" s="338"/>
      <c r="U36" s="338"/>
      <c r="V36" s="338"/>
      <c r="W36" s="338"/>
      <c r="X36" s="338"/>
    </row>
    <row r="37" spans="1:24" hidden="1">
      <c r="A37" s="358" t="str">
        <f t="shared" si="0"/>
        <v>*</v>
      </c>
      <c r="B37" s="290"/>
      <c r="C37" s="699" t="str">
        <f>IF(7&lt;Geometry!$G$123,7,"")</f>
        <v/>
      </c>
      <c r="D37" s="842" t="str">
        <f>IF(C37="","",Geometry!F134)</f>
        <v/>
      </c>
      <c r="E37" s="842" t="str">
        <f>IF(C37="","",Geometry!G134)</f>
        <v/>
      </c>
      <c r="F37" s="700" t="str">
        <f t="shared" si="7"/>
        <v/>
      </c>
      <c r="G37" s="701" t="str">
        <f t="shared" si="8"/>
        <v/>
      </c>
      <c r="H37" s="700" t="str">
        <f t="shared" si="1"/>
        <v/>
      </c>
      <c r="I37" s="700" t="str">
        <f t="shared" si="2"/>
        <v/>
      </c>
      <c r="J37" s="700" t="str">
        <f t="shared" si="3"/>
        <v/>
      </c>
      <c r="K37" s="700" t="str">
        <f t="shared" si="9"/>
        <v/>
      </c>
      <c r="L37" s="700" t="str">
        <f t="shared" si="4"/>
        <v/>
      </c>
      <c r="M37" s="343"/>
      <c r="N37" s="402" t="str">
        <f>IF(C37="","",VLOOKUP(C37,Geometry!$D$129:$E$147,2,FALSE))</f>
        <v/>
      </c>
      <c r="O37" s="402" t="str">
        <f>IF(C37="","",VLOOKUP(C37+1,Geometry!$D$129:$E$147,2,FALSE))</f>
        <v/>
      </c>
      <c r="P37" s="400">
        <v>7</v>
      </c>
      <c r="Q37" s="401" t="str">
        <f t="shared" si="5"/>
        <v/>
      </c>
      <c r="R37" s="401" t="str">
        <f t="shared" si="6"/>
        <v/>
      </c>
      <c r="S37" s="338"/>
      <c r="T37" s="338"/>
      <c r="U37" s="338"/>
      <c r="V37" s="338"/>
      <c r="W37" s="338"/>
      <c r="X37" s="338"/>
    </row>
    <row r="38" spans="1:24" hidden="1">
      <c r="A38" s="358" t="str">
        <f t="shared" si="0"/>
        <v>*</v>
      </c>
      <c r="B38" s="290"/>
      <c r="C38" s="699" t="str">
        <f>IF(8&lt;Geometry!$G$123,8,"")</f>
        <v/>
      </c>
      <c r="D38" s="842" t="str">
        <f>IF(C38="","",Geometry!F135)</f>
        <v/>
      </c>
      <c r="E38" s="842" t="str">
        <f>IF(C38="","",Geometry!G135)</f>
        <v/>
      </c>
      <c r="F38" s="700" t="str">
        <f t="shared" si="7"/>
        <v/>
      </c>
      <c r="G38" s="701" t="str">
        <f t="shared" si="8"/>
        <v/>
      </c>
      <c r="H38" s="700" t="str">
        <f t="shared" si="1"/>
        <v/>
      </c>
      <c r="I38" s="700" t="str">
        <f t="shared" si="2"/>
        <v/>
      </c>
      <c r="J38" s="700" t="str">
        <f t="shared" si="3"/>
        <v/>
      </c>
      <c r="K38" s="700" t="str">
        <f t="shared" si="9"/>
        <v/>
      </c>
      <c r="L38" s="700" t="str">
        <f t="shared" si="4"/>
        <v/>
      </c>
      <c r="M38" s="343"/>
      <c r="N38" s="402" t="str">
        <f>IF(C38="","",VLOOKUP(C38,Geometry!$D$129:$E$147,2,FALSE))</f>
        <v/>
      </c>
      <c r="O38" s="402" t="str">
        <f>IF(C38="","",VLOOKUP(C38+1,Geometry!$D$129:$E$147,2,FALSE))</f>
        <v/>
      </c>
      <c r="P38" s="400">
        <v>8</v>
      </c>
      <c r="Q38" s="401" t="str">
        <f t="shared" si="5"/>
        <v/>
      </c>
      <c r="R38" s="401" t="str">
        <f t="shared" si="6"/>
        <v/>
      </c>
      <c r="S38" s="338"/>
      <c r="T38" s="338"/>
      <c r="U38" s="338"/>
      <c r="V38" s="338"/>
      <c r="W38" s="338"/>
      <c r="X38" s="338"/>
    </row>
    <row r="39" spans="1:24" hidden="1">
      <c r="A39" s="358" t="str">
        <f t="shared" si="0"/>
        <v>*</v>
      </c>
      <c r="B39" s="290"/>
      <c r="C39" s="699" t="str">
        <f>IF(9&lt;Geometry!$G$123,9,"")</f>
        <v/>
      </c>
      <c r="D39" s="842" t="str">
        <f>IF(C39="","",Geometry!F136)</f>
        <v/>
      </c>
      <c r="E39" s="842" t="str">
        <f>IF(C39="","",Geometry!G136)</f>
        <v/>
      </c>
      <c r="F39" s="700" t="str">
        <f t="shared" si="7"/>
        <v/>
      </c>
      <c r="G39" s="701" t="str">
        <f t="shared" si="8"/>
        <v/>
      </c>
      <c r="H39" s="700" t="str">
        <f t="shared" si="1"/>
        <v/>
      </c>
      <c r="I39" s="700" t="str">
        <f t="shared" si="2"/>
        <v/>
      </c>
      <c r="J39" s="700" t="str">
        <f t="shared" si="3"/>
        <v/>
      </c>
      <c r="K39" s="700" t="str">
        <f t="shared" si="9"/>
        <v/>
      </c>
      <c r="L39" s="700" t="str">
        <f t="shared" si="4"/>
        <v/>
      </c>
      <c r="M39" s="343"/>
      <c r="N39" s="402" t="str">
        <f>IF(C39="","",VLOOKUP(C39,Geometry!$D$129:$E$147,2,FALSE))</f>
        <v/>
      </c>
      <c r="O39" s="402" t="str">
        <f>IF(C39="","",VLOOKUP(C39+1,Geometry!$D$129:$E$147,2,FALSE))</f>
        <v/>
      </c>
      <c r="P39" s="400">
        <v>9</v>
      </c>
      <c r="Q39" s="401" t="str">
        <f t="shared" si="5"/>
        <v/>
      </c>
      <c r="R39" s="401" t="str">
        <f t="shared" si="6"/>
        <v/>
      </c>
      <c r="S39" s="338"/>
      <c r="T39" s="338"/>
      <c r="U39" s="338"/>
      <c r="V39" s="338"/>
      <c r="W39" s="338"/>
      <c r="X39" s="338"/>
    </row>
    <row r="40" spans="1:24" hidden="1">
      <c r="A40" s="358" t="str">
        <f t="shared" si="0"/>
        <v>*</v>
      </c>
      <c r="B40" s="290"/>
      <c r="C40" s="699" t="str">
        <f>IF(10&lt;Geometry!$G$123,10,"")</f>
        <v/>
      </c>
      <c r="D40" s="842" t="str">
        <f>IF(C40="","",Geometry!F137)</f>
        <v/>
      </c>
      <c r="E40" s="842" t="str">
        <f>IF(C40="","",Geometry!G137)</f>
        <v/>
      </c>
      <c r="F40" s="700" t="str">
        <f t="shared" si="7"/>
        <v/>
      </c>
      <c r="G40" s="701" t="str">
        <f t="shared" si="8"/>
        <v/>
      </c>
      <c r="H40" s="700" t="str">
        <f t="shared" si="1"/>
        <v/>
      </c>
      <c r="I40" s="700" t="str">
        <f t="shared" si="2"/>
        <v/>
      </c>
      <c r="J40" s="700" t="str">
        <f t="shared" si="3"/>
        <v/>
      </c>
      <c r="K40" s="700" t="str">
        <f t="shared" si="9"/>
        <v/>
      </c>
      <c r="L40" s="700" t="str">
        <f t="shared" si="4"/>
        <v/>
      </c>
      <c r="M40" s="343"/>
      <c r="N40" s="402" t="str">
        <f>IF(C40="","",VLOOKUP(C40,Geometry!$D$129:$E$147,2,FALSE))</f>
        <v/>
      </c>
      <c r="O40" s="402" t="str">
        <f>IF(C40="","",VLOOKUP(C40+1,Geometry!$D$129:$E$147,2,FALSE))</f>
        <v/>
      </c>
      <c r="P40" s="400">
        <v>10</v>
      </c>
      <c r="Q40" s="401" t="str">
        <f t="shared" si="5"/>
        <v/>
      </c>
      <c r="R40" s="401" t="str">
        <f t="shared" si="6"/>
        <v/>
      </c>
      <c r="S40" s="338"/>
      <c r="T40" s="338"/>
      <c r="U40" s="338"/>
      <c r="V40" s="338"/>
      <c r="W40" s="338"/>
      <c r="X40" s="338"/>
    </row>
    <row r="41" spans="1:24" hidden="1">
      <c r="A41" s="358" t="str">
        <f t="shared" si="0"/>
        <v>*</v>
      </c>
      <c r="B41" s="290"/>
      <c r="C41" s="699" t="str">
        <f>IF(11&lt;Geometry!$G$123,11,"")</f>
        <v/>
      </c>
      <c r="D41" s="842" t="str">
        <f>IF(C41="","",Geometry!F138)</f>
        <v/>
      </c>
      <c r="E41" s="842" t="str">
        <f>IF(C41="","",Geometry!G138)</f>
        <v/>
      </c>
      <c r="F41" s="700" t="str">
        <f t="shared" si="7"/>
        <v/>
      </c>
      <c r="G41" s="701" t="str">
        <f t="shared" si="8"/>
        <v/>
      </c>
      <c r="H41" s="700" t="str">
        <f t="shared" si="1"/>
        <v/>
      </c>
      <c r="I41" s="700" t="str">
        <f t="shared" si="2"/>
        <v/>
      </c>
      <c r="J41" s="700" t="str">
        <f t="shared" si="3"/>
        <v/>
      </c>
      <c r="K41" s="700" t="str">
        <f t="shared" si="9"/>
        <v/>
      </c>
      <c r="L41" s="700" t="str">
        <f t="shared" si="4"/>
        <v/>
      </c>
      <c r="M41" s="343"/>
      <c r="N41" s="402" t="str">
        <f>IF(C41="","",VLOOKUP(C41,Geometry!$D$129:$E$147,2,FALSE))</f>
        <v/>
      </c>
      <c r="O41" s="402" t="str">
        <f>IF(C41="","",VLOOKUP(C41+1,Geometry!$D$129:$E$147,2,FALSE))</f>
        <v/>
      </c>
      <c r="P41" s="400">
        <v>11</v>
      </c>
      <c r="Q41" s="401" t="str">
        <f t="shared" si="5"/>
        <v/>
      </c>
      <c r="R41" s="401" t="str">
        <f t="shared" si="6"/>
        <v/>
      </c>
      <c r="S41" s="338"/>
      <c r="T41" s="338"/>
      <c r="U41" s="338"/>
      <c r="V41" s="338"/>
      <c r="W41" s="338"/>
      <c r="X41" s="338"/>
    </row>
    <row r="42" spans="1:24" hidden="1">
      <c r="A42" s="358" t="str">
        <f t="shared" si="0"/>
        <v>*</v>
      </c>
      <c r="B42" s="290"/>
      <c r="C42" s="699" t="str">
        <f>IF(12&lt;Geometry!$G$123,12,"")</f>
        <v/>
      </c>
      <c r="D42" s="842" t="str">
        <f>IF(C42="","",Geometry!F139)</f>
        <v/>
      </c>
      <c r="E42" s="842" t="str">
        <f>IF(C42="","",Geometry!G139)</f>
        <v/>
      </c>
      <c r="F42" s="700" t="str">
        <f t="shared" si="7"/>
        <v/>
      </c>
      <c r="G42" s="701" t="str">
        <f t="shared" si="8"/>
        <v/>
      </c>
      <c r="H42" s="700" t="str">
        <f t="shared" si="1"/>
        <v/>
      </c>
      <c r="I42" s="700" t="str">
        <f t="shared" si="2"/>
        <v/>
      </c>
      <c r="J42" s="700" t="str">
        <f t="shared" si="3"/>
        <v/>
      </c>
      <c r="K42" s="700" t="str">
        <f t="shared" si="9"/>
        <v/>
      </c>
      <c r="L42" s="700" t="str">
        <f t="shared" si="4"/>
        <v/>
      </c>
      <c r="M42" s="343"/>
      <c r="N42" s="402" t="str">
        <f>IF(C42="","",VLOOKUP(C42,Geometry!$D$129:$E$147,2,FALSE))</f>
        <v/>
      </c>
      <c r="O42" s="402" t="str">
        <f>IF(C42="","",VLOOKUP(C42+1,Geometry!$D$129:$E$147,2,FALSE))</f>
        <v/>
      </c>
      <c r="P42" s="400">
        <v>12</v>
      </c>
      <c r="Q42" s="401" t="str">
        <f t="shared" si="5"/>
        <v/>
      </c>
      <c r="R42" s="401" t="str">
        <f t="shared" si="6"/>
        <v/>
      </c>
      <c r="S42" s="338"/>
      <c r="T42" s="338"/>
      <c r="U42" s="338"/>
      <c r="V42" s="338"/>
      <c r="W42" s="338"/>
      <c r="X42" s="338"/>
    </row>
    <row r="43" spans="1:24" hidden="1">
      <c r="A43" s="358" t="str">
        <f t="shared" si="0"/>
        <v>*</v>
      </c>
      <c r="B43" s="290"/>
      <c r="C43" s="699" t="str">
        <f>IF(13&lt;Geometry!$G$123,13,"")</f>
        <v/>
      </c>
      <c r="D43" s="842" t="str">
        <f>IF(C43="","",Geometry!F140)</f>
        <v/>
      </c>
      <c r="E43" s="842" t="str">
        <f>IF(C43="","",Geometry!G140)</f>
        <v/>
      </c>
      <c r="F43" s="700" t="str">
        <f t="shared" si="7"/>
        <v/>
      </c>
      <c r="G43" s="701" t="str">
        <f t="shared" si="8"/>
        <v/>
      </c>
      <c r="H43" s="700" t="str">
        <f t="shared" si="1"/>
        <v/>
      </c>
      <c r="I43" s="700" t="str">
        <f t="shared" si="2"/>
        <v/>
      </c>
      <c r="J43" s="700" t="str">
        <f t="shared" si="3"/>
        <v/>
      </c>
      <c r="K43" s="700" t="str">
        <f t="shared" si="9"/>
        <v/>
      </c>
      <c r="L43" s="700" t="str">
        <f t="shared" si="4"/>
        <v/>
      </c>
      <c r="M43" s="343"/>
      <c r="N43" s="402" t="str">
        <f>IF(C43="","",VLOOKUP(C43,Geometry!$D$129:$E$147,2,FALSE))</f>
        <v/>
      </c>
      <c r="O43" s="402" t="str">
        <f>IF(C43="","",VLOOKUP(C43+1,Geometry!$D$129:$E$147,2,FALSE))</f>
        <v/>
      </c>
      <c r="P43" s="400">
        <v>13</v>
      </c>
      <c r="Q43" s="401" t="str">
        <f t="shared" si="5"/>
        <v/>
      </c>
      <c r="R43" s="401" t="str">
        <f t="shared" si="6"/>
        <v/>
      </c>
      <c r="S43" s="338"/>
      <c r="T43" s="338"/>
      <c r="U43" s="338"/>
      <c r="V43" s="338"/>
      <c r="W43" s="338"/>
      <c r="X43" s="338"/>
    </row>
    <row r="44" spans="1:24" hidden="1">
      <c r="A44" s="358" t="str">
        <f t="shared" si="0"/>
        <v>*</v>
      </c>
      <c r="B44" s="290"/>
      <c r="C44" s="699" t="str">
        <f>IF(14&lt;Geometry!$G$123,14,"")</f>
        <v/>
      </c>
      <c r="D44" s="842" t="str">
        <f>IF(C44="","",Geometry!F141)</f>
        <v/>
      </c>
      <c r="E44" s="842" t="str">
        <f>IF(C44="","",Geometry!G141)</f>
        <v/>
      </c>
      <c r="F44" s="700" t="str">
        <f t="shared" si="7"/>
        <v/>
      </c>
      <c r="G44" s="701" t="str">
        <f t="shared" si="8"/>
        <v/>
      </c>
      <c r="H44" s="700" t="str">
        <f t="shared" si="1"/>
        <v/>
      </c>
      <c r="I44" s="700" t="str">
        <f t="shared" si="2"/>
        <v/>
      </c>
      <c r="J44" s="700" t="str">
        <f t="shared" si="3"/>
        <v/>
      </c>
      <c r="K44" s="700" t="str">
        <f t="shared" si="9"/>
        <v/>
      </c>
      <c r="L44" s="700" t="str">
        <f t="shared" si="4"/>
        <v/>
      </c>
      <c r="M44" s="343"/>
      <c r="N44" s="402" t="str">
        <f>IF(C44="","",VLOOKUP(C44,Geometry!$D$129:$E$147,2,FALSE))</f>
        <v/>
      </c>
      <c r="O44" s="402" t="str">
        <f>IF(C44="","",VLOOKUP(C44+1,Geometry!$D$129:$E$147,2,FALSE))</f>
        <v/>
      </c>
      <c r="P44" s="400">
        <v>14</v>
      </c>
      <c r="Q44" s="401" t="str">
        <f t="shared" si="5"/>
        <v/>
      </c>
      <c r="R44" s="401" t="str">
        <f t="shared" si="6"/>
        <v/>
      </c>
      <c r="S44" s="338"/>
      <c r="T44" s="338"/>
      <c r="U44" s="338"/>
      <c r="V44" s="338"/>
      <c r="W44" s="338"/>
      <c r="X44" s="338"/>
    </row>
    <row r="45" spans="1:24" hidden="1">
      <c r="A45" s="358" t="str">
        <f t="shared" si="0"/>
        <v>*</v>
      </c>
      <c r="B45" s="290"/>
      <c r="C45" s="699" t="str">
        <f>IF(15&lt;Geometry!$G$123,15,"")</f>
        <v/>
      </c>
      <c r="D45" s="842" t="str">
        <f>IF(C45="","",Geometry!F142)</f>
        <v/>
      </c>
      <c r="E45" s="842" t="str">
        <f>IF(C45="","",Geometry!G142)</f>
        <v/>
      </c>
      <c r="F45" s="700" t="str">
        <f t="shared" si="7"/>
        <v/>
      </c>
      <c r="G45" s="701" t="str">
        <f t="shared" si="8"/>
        <v/>
      </c>
      <c r="H45" s="700" t="str">
        <f t="shared" si="1"/>
        <v/>
      </c>
      <c r="I45" s="700" t="str">
        <f t="shared" si="2"/>
        <v/>
      </c>
      <c r="J45" s="700" t="str">
        <f t="shared" si="3"/>
        <v/>
      </c>
      <c r="K45" s="700" t="str">
        <f t="shared" si="9"/>
        <v/>
      </c>
      <c r="L45" s="700" t="str">
        <f t="shared" si="4"/>
        <v/>
      </c>
      <c r="M45" s="343"/>
      <c r="N45" s="402" t="str">
        <f>IF(C45="","",VLOOKUP(C45,Geometry!$D$129:$E$147,2,FALSE))</f>
        <v/>
      </c>
      <c r="O45" s="402" t="str">
        <f>IF(C45="","",VLOOKUP(C45+1,Geometry!$D$129:$E$147,2,FALSE))</f>
        <v/>
      </c>
      <c r="P45" s="400">
        <v>15</v>
      </c>
      <c r="Q45" s="401" t="str">
        <f t="shared" si="5"/>
        <v/>
      </c>
      <c r="R45" s="401" t="str">
        <f t="shared" si="6"/>
        <v/>
      </c>
      <c r="S45" s="338"/>
      <c r="T45" s="338"/>
      <c r="U45" s="338"/>
      <c r="V45" s="338"/>
      <c r="W45" s="338"/>
      <c r="X45" s="338"/>
    </row>
    <row r="46" spans="1:24" hidden="1">
      <c r="A46" s="358" t="str">
        <f t="shared" si="0"/>
        <v>*</v>
      </c>
      <c r="B46" s="290"/>
      <c r="C46" s="699" t="str">
        <f>IF(16&lt;Geometry!$G$123,16,"")</f>
        <v/>
      </c>
      <c r="D46" s="842" t="str">
        <f>IF(C46="","",Geometry!F143)</f>
        <v/>
      </c>
      <c r="E46" s="842" t="str">
        <f>IF(C46="","",Geometry!G143)</f>
        <v/>
      </c>
      <c r="F46" s="700" t="str">
        <f t="shared" si="7"/>
        <v/>
      </c>
      <c r="G46" s="701" t="str">
        <f t="shared" si="8"/>
        <v/>
      </c>
      <c r="H46" s="700" t="str">
        <f t="shared" si="1"/>
        <v/>
      </c>
      <c r="I46" s="700" t="str">
        <f t="shared" si="2"/>
        <v/>
      </c>
      <c r="J46" s="700" t="str">
        <f t="shared" si="3"/>
        <v/>
      </c>
      <c r="K46" s="700" t="str">
        <f t="shared" si="9"/>
        <v/>
      </c>
      <c r="L46" s="700" t="str">
        <f t="shared" si="4"/>
        <v/>
      </c>
      <c r="M46" s="343"/>
      <c r="N46" s="402" t="str">
        <f>IF(C46="","",VLOOKUP(C46,Geometry!$D$129:$E$147,2,FALSE))</f>
        <v/>
      </c>
      <c r="O46" s="402" t="str">
        <f>IF(C46="","",VLOOKUP(C46+1,Geometry!$D$129:$E$147,2,FALSE))</f>
        <v/>
      </c>
      <c r="P46" s="400">
        <v>16</v>
      </c>
      <c r="Q46" s="401" t="str">
        <f t="shared" si="5"/>
        <v/>
      </c>
      <c r="R46" s="401" t="str">
        <f t="shared" si="6"/>
        <v/>
      </c>
      <c r="S46" s="338"/>
      <c r="T46" s="338"/>
      <c r="U46" s="338"/>
      <c r="V46" s="338"/>
      <c r="W46" s="338"/>
      <c r="X46" s="338"/>
    </row>
    <row r="47" spans="1:24" hidden="1">
      <c r="A47" s="358" t="str">
        <f t="shared" si="0"/>
        <v>*</v>
      </c>
      <c r="B47" s="290"/>
      <c r="C47" s="699" t="str">
        <f>IF(17&lt;Geometry!$G$123,17,"")</f>
        <v/>
      </c>
      <c r="D47" s="842" t="str">
        <f>IF(C47="","",Geometry!F144)</f>
        <v/>
      </c>
      <c r="E47" s="842" t="str">
        <f>IF(C47="","",Geometry!G144)</f>
        <v/>
      </c>
      <c r="F47" s="700" t="str">
        <f t="shared" si="7"/>
        <v/>
      </c>
      <c r="G47" s="701" t="str">
        <f t="shared" si="8"/>
        <v/>
      </c>
      <c r="H47" s="700" t="str">
        <f t="shared" si="1"/>
        <v/>
      </c>
      <c r="I47" s="700" t="str">
        <f t="shared" si="2"/>
        <v/>
      </c>
      <c r="J47" s="700" t="str">
        <f t="shared" si="3"/>
        <v/>
      </c>
      <c r="K47" s="700" t="str">
        <f t="shared" si="9"/>
        <v/>
      </c>
      <c r="L47" s="700" t="str">
        <f t="shared" si="4"/>
        <v/>
      </c>
      <c r="M47" s="343"/>
      <c r="N47" s="402" t="str">
        <f>IF(C47="","",VLOOKUP(C47,Geometry!$D$129:$E$147,2,FALSE))</f>
        <v/>
      </c>
      <c r="O47" s="402" t="str">
        <f>IF(C47="","",VLOOKUP(C47+1,Geometry!$D$129:$E$147,2,FALSE))</f>
        <v/>
      </c>
      <c r="P47" s="400">
        <v>17</v>
      </c>
      <c r="Q47" s="401" t="str">
        <f t="shared" si="5"/>
        <v/>
      </c>
      <c r="R47" s="401" t="str">
        <f t="shared" si="6"/>
        <v/>
      </c>
      <c r="S47" s="338"/>
      <c r="T47" s="338"/>
      <c r="U47" s="338"/>
      <c r="V47" s="338"/>
      <c r="W47" s="338"/>
      <c r="X47" s="338"/>
    </row>
    <row r="48" spans="1:24" hidden="1">
      <c r="A48" s="358" t="str">
        <f t="shared" si="0"/>
        <v>*</v>
      </c>
      <c r="B48" s="290"/>
      <c r="C48" s="699" t="str">
        <f>IF(18&lt;Geometry!$G$123,18,"")</f>
        <v/>
      </c>
      <c r="D48" s="842" t="str">
        <f>IF(C48="","",Geometry!F145)</f>
        <v/>
      </c>
      <c r="E48" s="842" t="str">
        <f>IF(C48="","",Geometry!G145)</f>
        <v/>
      </c>
      <c r="F48" s="700" t="str">
        <f t="shared" si="7"/>
        <v/>
      </c>
      <c r="G48" s="701" t="str">
        <f t="shared" si="8"/>
        <v/>
      </c>
      <c r="H48" s="700" t="str">
        <f t="shared" si="1"/>
        <v/>
      </c>
      <c r="I48" s="700" t="str">
        <f t="shared" si="2"/>
        <v/>
      </c>
      <c r="J48" s="700" t="str">
        <f t="shared" si="3"/>
        <v/>
      </c>
      <c r="K48" s="700" t="str">
        <f t="shared" si="9"/>
        <v/>
      </c>
      <c r="L48" s="700" t="str">
        <f t="shared" si="4"/>
        <v/>
      </c>
      <c r="M48" s="343"/>
      <c r="N48" s="402" t="str">
        <f>IF(C48="","",VLOOKUP(C48,Geometry!$D$129:$E$147,2,FALSE))</f>
        <v/>
      </c>
      <c r="O48" s="402" t="str">
        <f>IF(C48="","",VLOOKUP(C48+1,Geometry!$D$129:$E$147,2,FALSE))</f>
        <v/>
      </c>
      <c r="P48" s="400">
        <v>18</v>
      </c>
      <c r="Q48" s="401" t="str">
        <f t="shared" si="5"/>
        <v/>
      </c>
      <c r="R48" s="401" t="str">
        <f t="shared" si="6"/>
        <v/>
      </c>
      <c r="S48" s="338"/>
      <c r="T48" s="338"/>
      <c r="U48" s="338"/>
      <c r="V48" s="338"/>
      <c r="W48" s="338"/>
      <c r="X48" s="338"/>
    </row>
    <row r="49" spans="1:24" hidden="1">
      <c r="A49" s="358" t="str">
        <f t="shared" si="0"/>
        <v>*</v>
      </c>
      <c r="B49" s="290"/>
      <c r="C49" s="699" t="str">
        <f>IF(19&lt;Geometry!$G$123,19,"")</f>
        <v/>
      </c>
      <c r="D49" s="842" t="str">
        <f>IF(C49="","",Geometry!F146)</f>
        <v/>
      </c>
      <c r="E49" s="842" t="str">
        <f>IF(C49="","",Geometry!G146)</f>
        <v/>
      </c>
      <c r="F49" s="700" t="str">
        <f t="shared" si="7"/>
        <v/>
      </c>
      <c r="G49" s="701" t="str">
        <f t="shared" si="8"/>
        <v/>
      </c>
      <c r="H49" s="700" t="str">
        <f t="shared" si="1"/>
        <v/>
      </c>
      <c r="I49" s="700" t="str">
        <f t="shared" si="2"/>
        <v/>
      </c>
      <c r="J49" s="700" t="str">
        <f t="shared" si="3"/>
        <v/>
      </c>
      <c r="K49" s="700" t="str">
        <f t="shared" si="9"/>
        <v/>
      </c>
      <c r="L49" s="700" t="str">
        <f t="shared" si="4"/>
        <v/>
      </c>
      <c r="M49" s="343"/>
      <c r="N49" s="402" t="str">
        <f>IF(C49="","",VLOOKUP(C49,Geometry!$D$129:$E$147,2,FALSE))</f>
        <v/>
      </c>
      <c r="O49" s="402" t="str">
        <f>IF(C49="","",VLOOKUP(C49+1,Geometry!$D$129:$E$147,2,FALSE))</f>
        <v/>
      </c>
      <c r="P49" s="400">
        <v>19</v>
      </c>
      <c r="Q49" s="401" t="str">
        <f t="shared" si="5"/>
        <v/>
      </c>
      <c r="R49" s="401" t="str">
        <f t="shared" si="6"/>
        <v/>
      </c>
      <c r="S49" s="338"/>
      <c r="T49" s="338"/>
      <c r="U49" s="338"/>
      <c r="V49" s="338"/>
      <c r="W49" s="338"/>
      <c r="X49" s="338"/>
    </row>
    <row r="50" spans="1:24" ht="6.75" customHeight="1">
      <c r="A50" s="358" t="s">
        <v>1118</v>
      </c>
      <c r="B50" s="290"/>
      <c r="C50" s="290"/>
      <c r="D50" s="290"/>
      <c r="E50" s="290"/>
      <c r="F50" s="290"/>
      <c r="G50" s="290"/>
      <c r="H50" s="290"/>
      <c r="I50" s="700"/>
      <c r="J50" s="290"/>
      <c r="K50" s="105"/>
      <c r="L50" s="290"/>
      <c r="N50" s="402"/>
      <c r="O50" s="402"/>
      <c r="P50" s="400" t="str">
        <f>IF(BkBms=20,20,"")</f>
        <v/>
      </c>
      <c r="Q50" s="403" t="str">
        <f>IF(BkBms=P50,D25,"")</f>
        <v/>
      </c>
      <c r="R50" s="401" t="str">
        <f>IF(BkBms=P50,D27,"")</f>
        <v/>
      </c>
      <c r="S50" s="338"/>
      <c r="T50" s="338"/>
      <c r="U50" s="338"/>
      <c r="V50" s="338"/>
      <c r="W50" s="338"/>
      <c r="X50" s="338"/>
    </row>
    <row r="51" spans="1:24">
      <c r="B51" s="290"/>
      <c r="C51" s="290"/>
      <c r="D51" s="290"/>
      <c r="E51" s="290"/>
      <c r="F51" s="100" t="s">
        <v>1074</v>
      </c>
      <c r="G51" s="702">
        <f>SUM(R31:R50)</f>
        <v>7.5</v>
      </c>
      <c r="H51" s="290" t="s">
        <v>341</v>
      </c>
      <c r="I51" s="290"/>
      <c r="J51" s="290"/>
      <c r="K51" s="105"/>
      <c r="L51" s="290"/>
      <c r="O51" s="338"/>
      <c r="P51" s="338"/>
      <c r="Q51" s="404"/>
      <c r="R51" s="404"/>
      <c r="S51" s="338"/>
      <c r="T51" s="338"/>
      <c r="U51" s="338"/>
      <c r="V51" s="338"/>
      <c r="W51" s="338"/>
      <c r="X51" s="338"/>
    </row>
    <row r="52" spans="1:24">
      <c r="B52" s="290"/>
      <c r="C52" s="290"/>
      <c r="D52" s="290"/>
      <c r="E52" s="290"/>
      <c r="F52" s="100" t="s">
        <v>1073</v>
      </c>
      <c r="G52" s="702">
        <f>SUM(Q31:Q50)</f>
        <v>527.47625000000005</v>
      </c>
      <c r="H52" s="290" t="s">
        <v>341</v>
      </c>
      <c r="I52" s="290"/>
      <c r="J52" s="290"/>
      <c r="K52" s="105"/>
      <c r="L52" s="290"/>
      <c r="O52" s="338"/>
      <c r="P52" s="338"/>
      <c r="Q52" s="390"/>
      <c r="R52" s="400"/>
      <c r="S52" s="338"/>
      <c r="T52" s="338"/>
      <c r="U52" s="338"/>
      <c r="V52" s="338"/>
      <c r="W52" s="338"/>
      <c r="X52" s="338"/>
    </row>
    <row r="53" spans="1:24">
      <c r="B53" s="1081" t="s">
        <v>1018</v>
      </c>
      <c r="C53" s="1082"/>
      <c r="D53" s="1082" t="s">
        <v>1019</v>
      </c>
      <c r="E53" s="290"/>
      <c r="F53" s="100"/>
      <c r="G53" s="702"/>
      <c r="H53" s="290"/>
      <c r="I53" s="290"/>
      <c r="J53" s="290"/>
      <c r="K53" s="105"/>
      <c r="L53" s="290"/>
      <c r="O53" s="338"/>
      <c r="P53" s="338"/>
      <c r="Q53" s="390"/>
      <c r="R53" s="400"/>
      <c r="S53" s="338"/>
      <c r="T53" s="338"/>
      <c r="U53" s="338"/>
      <c r="V53" s="338"/>
      <c r="W53" s="338"/>
      <c r="X53" s="338"/>
    </row>
    <row r="54" spans="1:24">
      <c r="B54" s="1082"/>
      <c r="C54" s="1082"/>
      <c r="D54" s="1082" t="s">
        <v>1020</v>
      </c>
      <c r="E54" s="290"/>
      <c r="F54" s="100"/>
      <c r="G54" s="702"/>
      <c r="H54" s="290"/>
      <c r="I54" s="290"/>
      <c r="J54" s="290"/>
      <c r="K54" s="105"/>
      <c r="L54" s="290"/>
      <c r="O54" s="338"/>
      <c r="P54" s="338"/>
      <c r="Q54" s="390"/>
      <c r="R54" s="400"/>
      <c r="S54" s="338"/>
      <c r="T54" s="338"/>
      <c r="U54" s="338"/>
      <c r="V54" s="338"/>
      <c r="W54" s="338"/>
      <c r="X54" s="338"/>
    </row>
    <row r="55" spans="1:24">
      <c r="B55" s="1082"/>
      <c r="C55" s="1082"/>
      <c r="D55" s="1082" t="s">
        <v>1021</v>
      </c>
      <c r="E55" s="290"/>
      <c r="F55" s="100"/>
      <c r="G55" s="702"/>
      <c r="H55" s="290"/>
      <c r="I55" s="290"/>
      <c r="J55" s="290"/>
      <c r="K55" s="105"/>
      <c r="L55" s="290"/>
      <c r="O55" s="338"/>
      <c r="P55" s="338"/>
      <c r="Q55" s="390"/>
      <c r="R55" s="400"/>
      <c r="S55" s="338"/>
      <c r="T55" s="338"/>
      <c r="U55" s="338"/>
      <c r="V55" s="338"/>
      <c r="W55" s="338"/>
      <c r="X55" s="338"/>
    </row>
    <row r="56" spans="1:24">
      <c r="B56" s="1082"/>
      <c r="C56" s="1082"/>
      <c r="D56" s="1082" t="s">
        <v>1022</v>
      </c>
      <c r="E56" s="290"/>
      <c r="F56" s="100"/>
      <c r="G56" s="702"/>
      <c r="H56" s="290"/>
      <c r="I56" s="290"/>
      <c r="J56" s="290"/>
      <c r="K56" s="105"/>
      <c r="L56" s="290"/>
      <c r="O56" s="338"/>
      <c r="P56" s="338"/>
      <c r="Q56" s="390"/>
      <c r="R56" s="400"/>
      <c r="S56" s="338"/>
      <c r="T56" s="338"/>
      <c r="U56" s="338"/>
      <c r="V56" s="338"/>
      <c r="W56" s="338"/>
      <c r="X56" s="338"/>
    </row>
    <row r="57" spans="1:24">
      <c r="B57" s="1082"/>
      <c r="C57" s="1082"/>
      <c r="D57" s="1082" t="s">
        <v>1023</v>
      </c>
      <c r="E57" s="290"/>
      <c r="F57" s="100"/>
      <c r="G57" s="702"/>
      <c r="H57" s="290"/>
      <c r="I57" s="290"/>
      <c r="J57" s="290"/>
      <c r="K57" s="105"/>
      <c r="L57" s="290"/>
      <c r="O57" s="338"/>
      <c r="P57" s="338"/>
      <c r="Q57" s="390"/>
      <c r="R57" s="400"/>
      <c r="S57" s="338"/>
      <c r="T57" s="338"/>
      <c r="U57" s="338"/>
      <c r="V57" s="338"/>
      <c r="W57" s="338"/>
      <c r="X57" s="338"/>
    </row>
    <row r="58" spans="1:24">
      <c r="B58" s="1082"/>
      <c r="C58" s="1082"/>
      <c r="D58" s="1082" t="s">
        <v>1024</v>
      </c>
      <c r="E58" s="290"/>
      <c r="F58" s="100"/>
      <c r="G58" s="702"/>
      <c r="H58" s="290"/>
      <c r="I58" s="290"/>
      <c r="J58" s="290"/>
      <c r="K58" s="105"/>
      <c r="L58" s="290"/>
      <c r="O58" s="338"/>
      <c r="P58" s="338"/>
      <c r="Q58" s="390"/>
      <c r="R58" s="400"/>
      <c r="S58" s="338"/>
      <c r="T58" s="338"/>
      <c r="U58" s="338"/>
      <c r="V58" s="338"/>
      <c r="W58" s="338"/>
      <c r="X58" s="338"/>
    </row>
    <row r="59" spans="1:24" ht="21" customHeight="1" thickBot="1">
      <c r="B59" s="1394"/>
      <c r="C59" s="1394"/>
      <c r="D59" s="1394"/>
      <c r="E59" s="1394"/>
      <c r="F59" s="1394"/>
      <c r="G59" s="1389" t="s">
        <v>267</v>
      </c>
      <c r="H59" s="1394"/>
      <c r="I59" s="1394"/>
      <c r="J59" s="1394"/>
      <c r="K59" s="1394"/>
      <c r="L59" s="1394"/>
      <c r="O59" s="338"/>
      <c r="P59" s="338"/>
      <c r="Q59" s="390"/>
      <c r="R59" s="400"/>
      <c r="S59" s="338"/>
      <c r="T59" s="338"/>
      <c r="U59" s="338"/>
      <c r="V59" s="338"/>
      <c r="W59" s="338"/>
      <c r="X59" s="338"/>
    </row>
    <row r="60" spans="1:24" ht="12" customHeight="1">
      <c r="B60" s="290"/>
      <c r="C60" s="132" t="s">
        <v>256</v>
      </c>
      <c r="D60" s="290"/>
      <c r="E60" s="290"/>
      <c r="F60" s="290"/>
      <c r="G60" s="290"/>
      <c r="H60" s="290"/>
      <c r="I60" s="290"/>
      <c r="J60" s="290"/>
      <c r="K60" s="290"/>
      <c r="L60" s="290"/>
      <c r="O60" s="338"/>
      <c r="P60" s="338"/>
      <c r="Q60" s="390"/>
      <c r="R60" s="400"/>
      <c r="S60" s="338"/>
      <c r="T60" s="338"/>
      <c r="U60" s="338"/>
      <c r="V60" s="338"/>
      <c r="W60" s="338"/>
      <c r="X60" s="338"/>
    </row>
    <row r="61" spans="1:24" ht="12.75" customHeight="1">
      <c r="B61" s="688" t="s">
        <v>257</v>
      </c>
      <c r="C61" s="290"/>
      <c r="D61" s="41"/>
      <c r="E61" s="41"/>
      <c r="F61" s="290"/>
      <c r="G61" s="290"/>
      <c r="H61" s="290"/>
      <c r="I61" s="290"/>
      <c r="J61" s="290"/>
      <c r="K61" s="290"/>
      <c r="L61" s="290"/>
      <c r="O61" s="338"/>
      <c r="P61" s="338"/>
      <c r="Q61" s="390"/>
      <c r="R61" s="400"/>
      <c r="S61" s="338"/>
      <c r="T61" s="338"/>
      <c r="U61" s="338"/>
      <c r="V61" s="338"/>
      <c r="W61" s="338"/>
      <c r="X61" s="338"/>
    </row>
    <row r="62" spans="1:24" ht="12.75" customHeight="1">
      <c r="B62" s="290"/>
      <c r="C62" s="661" t="s">
        <v>870</v>
      </c>
      <c r="D62" s="41">
        <f>VLOOKUP(Geometry!K19,Reference!B6:D45,3,FALSE)/1000</f>
        <v>0.88</v>
      </c>
      <c r="E62" s="211" t="s">
        <v>258</v>
      </c>
      <c r="F62" s="679" t="str">
        <f>IF(LEFT(fdspangirder,1)="U","(weight includes diaphragms and endblocks)","")</f>
        <v/>
      </c>
      <c r="G62" s="290"/>
      <c r="H62" s="290"/>
      <c r="I62" s="290"/>
      <c r="J62" s="290"/>
      <c r="K62" s="290"/>
      <c r="L62" s="290"/>
      <c r="O62" s="338"/>
      <c r="P62" s="338"/>
      <c r="Q62" s="390"/>
      <c r="R62" s="400"/>
      <c r="S62" s="338"/>
      <c r="T62" s="338"/>
      <c r="U62" s="338"/>
      <c r="V62" s="338"/>
      <c r="W62" s="338"/>
      <c r="X62" s="338"/>
    </row>
    <row r="63" spans="1:24">
      <c r="B63" s="290"/>
      <c r="C63" s="661" t="s">
        <v>1071</v>
      </c>
      <c r="D63" s="105">
        <f>1.05*0.15*(slabthickness/12)*(FBSPA2/2+OSOH+2/3*(Geometry!G39-OSOH))</f>
        <v>1.1528125</v>
      </c>
      <c r="E63" s="211" t="s">
        <v>258</v>
      </c>
      <c r="F63" s="679" t="str">
        <f>"{1.05 x 0.150 kcf x ("&amp; FIXED(slabthickness,2) &amp; "in / 12 in/ft) x ("&amp; FIXED(Geometry!E157,3) &amp; " ft / 2 + " &amp; FIXED(OSOH,3) &amp;" ft + 2/3 x (" &amp; FIXED(Geometry!G39,3)&amp;"ft - "&amp;FIXED(OSOH,3)&amp;"ft))}"</f>
        <v>{1.05 x 0.150 kcf x (8.50in / 12 in/ft) x (14.667 ft / 2 + 3.000 ft + 2/3 x (3.000ft - 3.000ft))}</v>
      </c>
      <c r="G63" s="290"/>
      <c r="H63" s="290"/>
      <c r="I63" s="290"/>
      <c r="J63" s="290"/>
      <c r="K63" s="290"/>
      <c r="L63" s="290"/>
      <c r="O63" s="338"/>
      <c r="P63" s="338"/>
      <c r="Q63" s="390"/>
      <c r="R63" s="400"/>
      <c r="S63" s="338"/>
      <c r="T63" s="338"/>
      <c r="U63" s="338"/>
      <c r="V63" s="338"/>
      <c r="W63" s="338"/>
      <c r="X63" s="338"/>
    </row>
    <row r="64" spans="1:24">
      <c r="B64" s="290"/>
      <c r="C64" s="661" t="s">
        <v>1072</v>
      </c>
      <c r="D64" s="105">
        <f>1.05*0.15*(slabthickness/12)*(VLOOKUP(MAX(C83:C100,1)+1,Geometry!D156:E175,2,FALSE)/2+OSOHRT+2/3*(Geometry!G42-OSOHRT))</f>
        <v>1.1528125</v>
      </c>
      <c r="E64" s="211" t="s">
        <v>258</v>
      </c>
      <c r="F64" s="679" t="str">
        <f>"{1.05 x 0.150 kcf x ("&amp; FIXED(slabthickness,2) &amp; "in / 12 in/ft) x ("&amp; FIXED(VLOOKUP(MAX(C83:C100,1)+1,Geometry!D156:E175,2,FALSE),3) &amp; " ft / 2 + " &amp; FIXED(OSOHRT,3) &amp;" ft + 2/3 x (" &amp; FIXED(Geometry!G42,3)&amp;"ft - "&amp;FIXED(OSOHRT,3)&amp;"ft))}"</f>
        <v>{1.05 x 0.150 kcf x (8.50in / 12 in/ft) x (14.667 ft / 2 + 3.000 ft + 2/3 x (3.000ft - 3.000ft))}</v>
      </c>
      <c r="G64" s="290"/>
      <c r="H64" s="290"/>
      <c r="I64" s="290"/>
      <c r="J64" s="290"/>
      <c r="K64" s="290"/>
      <c r="L64" s="290"/>
      <c r="O64" s="338"/>
      <c r="P64" s="338"/>
      <c r="Q64" s="390"/>
      <c r="R64" s="400"/>
      <c r="S64" s="338"/>
      <c r="T64" s="338"/>
      <c r="U64" s="338"/>
      <c r="V64" s="338"/>
      <c r="W64" s="338"/>
      <c r="X64" s="338"/>
    </row>
    <row r="65" spans="2:18" ht="13.5">
      <c r="B65" s="290"/>
      <c r="C65" s="1074" t="s">
        <v>80</v>
      </c>
      <c r="D65" s="105">
        <f>(FWSthickness/12)*(FWSwt)*(FBSPA2/2+OSOH+2/3*(Geometry!G39-OSOH)-RailWidth)</f>
        <v>0</v>
      </c>
      <c r="E65" s="211" t="s">
        <v>258</v>
      </c>
      <c r="F65" s="679" t="str">
        <f>"{("&amp;FWSthickness&amp;"in / 12 in/ft) x ("&amp;FWSwt&amp;" kcf) x ("&amp; FIXED(FBSPA2,3)&amp;" ft / 2 + "&amp;FIXED(OSOH,3) &amp;" ft + 2/3 x ("&amp;FIXED(Geometry!G39,3)&amp;"ft - "&amp;FIXED(OSOH,3)&amp;"ft) - "&amp;RailWidth&amp;" ft)}"</f>
        <v>{(0in / 12 in/ft) x (0.14 kcf) x (14.667 ft / 2 + 3.000 ft + 2/3 x (3.000ft - 3.000ft) - 1 ft)}</v>
      </c>
      <c r="G65" s="290"/>
      <c r="H65" s="290"/>
      <c r="I65" s="290"/>
      <c r="J65" s="290"/>
      <c r="K65" s="290"/>
      <c r="L65" s="290"/>
    </row>
    <row r="66" spans="2:18" ht="13.5">
      <c r="B66" s="290"/>
      <c r="C66" s="1074" t="s">
        <v>79</v>
      </c>
      <c r="D66" s="105">
        <f>(FWSthickness/12)*(FWSwt)*(VLOOKUP(MAX(C83:C100,1)+1,Geometry!D156:E175,2,FALSE)/2+OSOHRT+2/3*(Geometry!G42-OSOHRT)-Geometry!F52)</f>
        <v>0</v>
      </c>
      <c r="E66" s="211" t="s">
        <v>258</v>
      </c>
      <c r="F66" s="679" t="str">
        <f>"{("&amp;FWSthickness&amp;"in / 12 in/ft) x ("&amp;FWSwt&amp;" kcf) x ("&amp; FIXED(VLOOKUP(MAX(C83:C100,1)+1,Geometry!D156:E175,2,FALSE),3)&amp;" ft / 2 + "&amp;FIXED(OSOHRT,3) &amp;" ft + 2/3 x ("&amp;FIXED(Geometry!G42,3)&amp;"ft - "&amp;FIXED(OSOHRT,3)&amp;"ft) - "&amp;Geometry!F52&amp;" ft)}"</f>
        <v>{(0in / 12 in/ft) x (0.14 kcf) x (14.667 ft / 2 + 3.000 ft + 2/3 x (3.000ft - 3.000ft) - 1 ft)}</v>
      </c>
      <c r="G66" s="290"/>
      <c r="H66" s="290"/>
      <c r="I66" s="290"/>
      <c r="J66" s="290"/>
      <c r="K66" s="290"/>
      <c r="L66" s="290"/>
    </row>
    <row r="67" spans="2:18">
      <c r="B67" s="290"/>
      <c r="C67" s="661" t="str">
        <f>"Rail (left bm) ="</f>
        <v>Rail (left bm) =</v>
      </c>
      <c r="D67" s="105">
        <f>IF(OR(FdBms&lt;IF(LEFT(fdspangirder,1)="U",4,6),RailDistribution),(RailWtLeft+RailRightWt)/FdBms,IF(LEFT(fdspangirder,1)="U",2,1)*RailWtLeft/3)/1000+IF(AND(1&gt;=RailDistributeFwdStart,1&lt;=RailDistributeFwdEnd),$F$80,0)</f>
        <v>0.188</v>
      </c>
      <c r="E67" s="211" t="s">
        <v>258</v>
      </c>
      <c r="F67" s="679" t="str">
        <f>"{" &amp; IF(OR(FdBms&lt;IF(LEFT(fdspangirder,1)="U",4,6),RailDistribution),"("&amp;RailWtLeft&amp;" plf + "&amp;RailRightWt&amp;" plf) / "&amp;FdBms&amp;" bms / 1000 lbs/k","(" &amp; IF(LEFT(fdspangirder,1)="U","2 x ","")&amp;RailWtLeft&amp;" plf / 3 bms) / 1000 lbs/k")&amp;IF(AND(1&gt;=RailDistributeFwdStart,1&lt;=RailDistributeFwdEnd)," + " &amp; FIXED($F$80,3) &amp; " klf","") &amp; "}"</f>
        <v>{(376 plf + 376 plf) / 4 bms / 1000 lbs/k}</v>
      </c>
      <c r="G67" s="290"/>
      <c r="H67" s="290"/>
      <c r="I67" s="290"/>
      <c r="J67" s="290"/>
      <c r="K67" s="290"/>
      <c r="L67" s="290"/>
    </row>
    <row r="68" spans="2:18">
      <c r="B68" s="290"/>
      <c r="C68" s="661" t="str">
        <f>"Rail (rt bm) ="</f>
        <v>Rail (rt bm) =</v>
      </c>
      <c r="D68" s="105">
        <f>IF(OR(FdBms&lt;IF(LEFT(fdspangirder,1)="U",4,6),RailDistribution),(RailWtLeft+RailRightWt)/FdBms,IF(LEFT(fdspangirder,1)="U",2,1)*RailRightWt/3)/1000+IF(AND(FdBms&gt;=RailDistributeFwdStart,FdBms&lt;=RailDistributeFwdEnd),$F$80,0)</f>
        <v>0.36724999999999997</v>
      </c>
      <c r="E68" s="211" t="s">
        <v>258</v>
      </c>
      <c r="F68" s="679" t="str">
        <f>"{" &amp; IF(OR(FdBms&lt;IF(LEFT(fdspangirder,1)="U",4,6),RailDistribution),"("&amp;RailWtLeft&amp;" plf + "&amp;RailRightWt&amp;" plf) / "&amp;FdBms&amp;" bms / 1000 lbs/k","(" &amp; IF(LEFT(fdspangirder,1)="U","2 x ","")&amp;RailRightWt&amp;" plf / 3 bms) / 1000 lbs/k")&amp;IF(AND(FdBms&gt;=RailDistributeFwdStart,FdBms&lt;=RailDistributeFwdEnd)," + " &amp; FIXED($F$80,3) &amp; " klf","") &amp; "}"</f>
        <v>{(376 plf + 376 plf) / 4 bms / 1000 lbs/k + 0.179 klf}</v>
      </c>
      <c r="G68" s="290"/>
      <c r="H68" s="290"/>
      <c r="I68" s="290"/>
      <c r="J68" s="290"/>
      <c r="K68" s="290"/>
      <c r="L68" s="290"/>
    </row>
    <row r="69" spans="2:18">
      <c r="B69" s="290"/>
      <c r="C69" s="661" t="s">
        <v>77</v>
      </c>
      <c r="D69" s="105">
        <f>IF(SWalkDistributeFwdStart=1,sidewalk/(SWalkDistributeFwdEnd-SWalkDistributeFwdStart+1),0)</f>
        <v>0</v>
      </c>
      <c r="E69" s="211" t="s">
        <v>258</v>
      </c>
      <c r="F69" s="679" t="str">
        <f>"{"&amp;IF(SWalkDistributeFwdStart=1,sidewalk &amp;" k/ft / "&amp;SWalkDistributeFwdEnd-SWalkDistributeFwdStart+1&amp;" bms","Not carried by this beam")&amp;"}"</f>
        <v>{Not carried by this beam}</v>
      </c>
      <c r="G69" s="290"/>
      <c r="H69" s="290"/>
      <c r="I69" s="290"/>
      <c r="J69" s="290"/>
      <c r="K69" s="290"/>
      <c r="L69" s="290"/>
    </row>
    <row r="70" spans="2:18">
      <c r="B70" s="290"/>
      <c r="C70" s="661" t="s">
        <v>78</v>
      </c>
      <c r="D70" s="105">
        <f>IF(SWalkDistributeFwdEnd=FdBms,sidewalk/(SWalkDistributeFwdEnd-SWalkDistributeFwdStart+1),0)</f>
        <v>0</v>
      </c>
      <c r="E70" s="211" t="s">
        <v>258</v>
      </c>
      <c r="F70" s="679" t="str">
        <f>"{"&amp;IF(SWalkDistributeFwdEnd=FdBms,sidewalk &amp;" k/ft / "&amp;SWalkDistributeFwdEnd-SWalkDistributeFwdStart+1&amp;" bms","Not carried by this beam")&amp;"}"</f>
        <v>{Not carried by this beam}</v>
      </c>
      <c r="G70" s="290"/>
      <c r="H70" s="290"/>
      <c r="I70" s="290"/>
      <c r="J70" s="290"/>
      <c r="K70" s="290"/>
      <c r="L70" s="290"/>
    </row>
    <row r="71" spans="2:18">
      <c r="B71" s="290"/>
      <c r="C71" s="691" t="s">
        <v>357</v>
      </c>
      <c r="D71" s="692">
        <f>Geometry!G17/FdBms</f>
        <v>3.7499999999999999E-2</v>
      </c>
      <c r="E71" s="693" t="s">
        <v>258</v>
      </c>
      <c r="F71" s="679" t="str">
        <f>"{"&amp;Geometry!G17&amp;" k/ft / "&amp;FdBms&amp;" beams}"</f>
        <v>{0.15 k/ft / 4 beams}</v>
      </c>
      <c r="G71" s="290"/>
      <c r="H71" s="290"/>
      <c r="I71" s="290"/>
      <c r="J71" s="290"/>
      <c r="K71" s="290"/>
      <c r="L71" s="290"/>
    </row>
    <row r="72" spans="2:18">
      <c r="B72" s="290"/>
      <c r="C72" s="694" t="s">
        <v>1112</v>
      </c>
      <c r="D72" s="690">
        <f>D63+D67+D69</f>
        <v>1.3408125</v>
      </c>
      <c r="E72" s="41" t="s">
        <v>258</v>
      </c>
      <c r="F72" s="679"/>
      <c r="G72" s="290"/>
      <c r="H72" s="290"/>
      <c r="I72" s="290"/>
      <c r="J72" s="290"/>
      <c r="K72" s="290"/>
      <c r="L72" s="290"/>
    </row>
    <row r="73" spans="2:18">
      <c r="B73" s="290"/>
      <c r="C73" s="694" t="s">
        <v>1113</v>
      </c>
      <c r="D73" s="690">
        <f>D64+D68+D70</f>
        <v>1.5200624999999999</v>
      </c>
      <c r="E73" s="41" t="s">
        <v>258</v>
      </c>
      <c r="F73" s="679"/>
      <c r="G73" s="290"/>
      <c r="H73" s="290"/>
      <c r="I73" s="290"/>
      <c r="J73" s="290"/>
      <c r="K73" s="290"/>
      <c r="L73" s="290"/>
    </row>
    <row r="74" spans="2:18">
      <c r="B74" s="290"/>
      <c r="C74" s="661" t="s">
        <v>878</v>
      </c>
      <c r="D74" s="681">
        <f>(D72*Geometry!F156+D62*Geometry!G156)/2</f>
        <v>133.02875</v>
      </c>
      <c r="E74" s="41" t="s">
        <v>341</v>
      </c>
      <c r="F74" s="679" t="str">
        <f>"{("&amp;FIXED(D72,3)&amp;" k/ft x "&amp;FIXED(Geometry!F156,3)&amp;" ft + "&amp;FIXED(D62,3)&amp;" k/ft x "&amp;FIXED(Geometry!G156,3)&amp;" ft) / 2}"</f>
        <v>{(1.341 k/ft x 120.000 ft + 0.880 k/ft x 119.500 ft) / 2}</v>
      </c>
      <c r="G74" s="290"/>
      <c r="H74" s="290"/>
      <c r="I74" s="290"/>
      <c r="J74" s="290"/>
      <c r="K74" s="290"/>
      <c r="L74" s="290"/>
    </row>
    <row r="75" spans="2:18">
      <c r="B75" s="290"/>
      <c r="C75" s="661" t="s">
        <v>879</v>
      </c>
      <c r="D75" s="681">
        <f>(D73*VLOOKUP(MAX(C83:C100)+1,Geometry!D156:G175,3,FALSE)+D62*VLOOKUP(MAX(C83:C100)+1,Geometry!D156:G175,4,FALSE))/2</f>
        <v>143.78375</v>
      </c>
      <c r="E75" s="41" t="s">
        <v>341</v>
      </c>
      <c r="F75" s="679" t="str">
        <f>"{("&amp;FIXED(D73,3)&amp;" k/ft x "&amp;FIXED(VLOOKUP(MAX(C83:C100)+1,Geometry!D156:G175,3,FALSE),3)&amp;" ft + "&amp;FIXED(D62,3)&amp;" k/ft x "&amp;FIXED(VLOOKUP(MAX(C83:C100)+1,Geometry!D156:G175,4,FALSE),3)&amp;" ft) / 2}"</f>
        <v>{(1.520 k/ft x 120.000 ft + 0.880 k/ft x 119.500 ft) / 2}</v>
      </c>
      <c r="G75" s="290"/>
      <c r="H75" s="290"/>
      <c r="I75" s="290"/>
      <c r="J75" s="290"/>
      <c r="K75" s="290"/>
      <c r="L75" s="290"/>
    </row>
    <row r="76" spans="2:18">
      <c r="B76" s="290"/>
      <c r="C76" s="661" t="s">
        <v>880</v>
      </c>
      <c r="D76" s="681">
        <f>((D65+D71)*Geometry!F156)/2</f>
        <v>2.25</v>
      </c>
      <c r="E76" s="41" t="s">
        <v>341</v>
      </c>
      <c r="F76" s="679" t="str">
        <f>"{(("&amp;FIXED(D65,3)&amp;" k/ft + "&amp;FIXED(D71,3)&amp;" k/ft) x "&amp;FIXED(Geometry!F156,3)&amp;" ft) / 2}"</f>
        <v>{((0.000 k/ft + 0.038 k/ft) x 120.000 ft) / 2}</v>
      </c>
      <c r="G76" s="290"/>
      <c r="H76" s="290"/>
      <c r="I76" s="290"/>
      <c r="J76" s="290"/>
      <c r="K76" s="290"/>
      <c r="L76" s="290"/>
    </row>
    <row r="77" spans="2:18">
      <c r="B77" s="290"/>
      <c r="C77" s="661" t="s">
        <v>881</v>
      </c>
      <c r="D77" s="681">
        <f>((D66+D71)*VLOOKUP(MAX(C83:C100)+1,Geometry!D156:G175,3,FALSE))/2</f>
        <v>2.25</v>
      </c>
      <c r="E77" s="41" t="s">
        <v>341</v>
      </c>
      <c r="F77" s="679" t="str">
        <f>"{(("&amp;FIXED(D66,3)&amp;" k/ft + "&amp;FIXED(D71,3)&amp;" k/ft) x "&amp;FIXED(VLOOKUP(MAX(C83:C100)+1,Geometry!D156:G175,3,FALSE),3)&amp;" ft) / 2}"</f>
        <v>{((0.000 k/ft + 0.038 k/ft) x 120.000 ft) / 2}</v>
      </c>
      <c r="G77" s="290"/>
      <c r="H77" s="290"/>
      <c r="I77" s="290"/>
      <c r="J77" s="290"/>
      <c r="K77" s="290"/>
      <c r="L77" s="290"/>
    </row>
    <row r="78" spans="2:18">
      <c r="B78" s="290"/>
      <c r="C78" s="290"/>
      <c r="D78" s="290"/>
      <c r="E78" s="290"/>
      <c r="F78" s="290"/>
      <c r="G78" s="290"/>
      <c r="H78" s="290"/>
      <c r="I78" s="290"/>
      <c r="J78" s="290"/>
      <c r="K78" s="290"/>
      <c r="L78" s="290"/>
    </row>
    <row r="79" spans="2:18">
      <c r="B79" s="688" t="s">
        <v>260</v>
      </c>
      <c r="C79" s="290"/>
      <c r="D79" s="290"/>
      <c r="E79" s="290"/>
      <c r="F79" s="290"/>
      <c r="G79" s="290"/>
      <c r="H79" s="290"/>
      <c r="I79" s="290"/>
      <c r="J79" s="290"/>
      <c r="K79" s="290"/>
      <c r="L79" s="290"/>
    </row>
    <row r="80" spans="2:18">
      <c r="B80" s="290"/>
      <c r="C80" s="290"/>
      <c r="D80" s="290"/>
      <c r="E80" s="661" t="s">
        <v>83</v>
      </c>
      <c r="F80" s="105">
        <f>Rail3rdWt/(RailDistributeFwdEnd-RailDistributeFwdStart+1)/1000</f>
        <v>0.17924999999999999</v>
      </c>
      <c r="G80" s="211" t="s">
        <v>258</v>
      </c>
      <c r="H80" s="679"/>
      <c r="I80" s="290"/>
      <c r="J80" s="290"/>
      <c r="K80" s="290"/>
      <c r="L80" s="290"/>
      <c r="N80" s="1522" t="s">
        <v>266</v>
      </c>
      <c r="O80" s="1522"/>
      <c r="P80" s="338"/>
      <c r="Q80" s="340" t="s">
        <v>358</v>
      </c>
      <c r="R80" s="338" t="s">
        <v>359</v>
      </c>
    </row>
    <row r="81" spans="1:18">
      <c r="B81" s="290"/>
      <c r="C81" s="290"/>
      <c r="D81" s="290"/>
      <c r="E81" s="661" t="s">
        <v>81</v>
      </c>
      <c r="F81" s="105">
        <f>(FWSthickness/12)*FWSwt</f>
        <v>0</v>
      </c>
      <c r="G81" s="211" t="s">
        <v>1175</v>
      </c>
      <c r="H81" s="679" t="str">
        <f>"{("&amp;FWSthickness&amp;"in / 12 in/ft) x ("&amp;FWSwt&amp;" kcf)}"</f>
        <v>{(0in / 12 in/ft) x (0.14 kcf)}</v>
      </c>
      <c r="I81" s="290"/>
      <c r="J81" s="290"/>
      <c r="K81" s="290"/>
      <c r="L81" s="290"/>
      <c r="N81" s="339"/>
      <c r="O81" s="339"/>
      <c r="P81" s="338"/>
      <c r="Q81" s="390"/>
      <c r="R81" s="400"/>
    </row>
    <row r="82" spans="1:18" ht="38.25">
      <c r="B82" s="290"/>
      <c r="C82" s="279" t="s">
        <v>263</v>
      </c>
      <c r="D82" s="695" t="s">
        <v>1119</v>
      </c>
      <c r="E82" s="695" t="s">
        <v>1120</v>
      </c>
      <c r="F82" s="696" t="s">
        <v>875</v>
      </c>
      <c r="G82" s="697" t="s">
        <v>873</v>
      </c>
      <c r="H82" s="698" t="s">
        <v>874</v>
      </c>
      <c r="I82" s="697" t="s">
        <v>198</v>
      </c>
      <c r="J82" s="697" t="s">
        <v>82</v>
      </c>
      <c r="K82" s="279" t="s">
        <v>358</v>
      </c>
      <c r="L82" s="698" t="s">
        <v>359</v>
      </c>
      <c r="N82" s="337" t="s">
        <v>264</v>
      </c>
      <c r="O82" s="338" t="s">
        <v>265</v>
      </c>
      <c r="P82" s="400">
        <v>1</v>
      </c>
      <c r="Q82" s="405">
        <f>D74</f>
        <v>133.02875</v>
      </c>
      <c r="R82" s="405">
        <f>D76</f>
        <v>2.25</v>
      </c>
    </row>
    <row r="83" spans="1:18">
      <c r="A83" s="358" t="str">
        <f t="shared" ref="A83:A100" si="10">IF(C83="","*","")</f>
        <v/>
      </c>
      <c r="B83" s="290"/>
      <c r="C83" s="699">
        <f>IF(2&lt;Geometry!$G$151,2,"")</f>
        <v>2</v>
      </c>
      <c r="D83" s="842">
        <f>IF(C83="","",Geometry!F157)</f>
        <v>120</v>
      </c>
      <c r="E83" s="842">
        <f>IF(C83="","",Geometry!G157)</f>
        <v>119.5</v>
      </c>
      <c r="F83" s="700">
        <f t="shared" ref="F83:F100" si="11">IF(C83="","",$D$62*E83/2)</f>
        <v>52.58</v>
      </c>
      <c r="G83" s="701">
        <f t="shared" ref="G83:G100" si="12">IF(C83="","",AVERAGE(N83:O83))</f>
        <v>14.666666666666666</v>
      </c>
      <c r="H83" s="700">
        <f t="shared" ref="H83:H100" si="13">IF(C83="","",(1.05*0.15*(slabthickness/12)*G83*D83)/2)</f>
        <v>98.174999999999997</v>
      </c>
      <c r="I83" s="700">
        <f t="shared" ref="I83:I100" si="14">IF(C83="","",(IF(OR(FdBms&lt;IF(LEFT(fdspangirder,1)="U",4,6),RailDistribution),(RailWtLeft+RailRightWt)/FdBms,IF(C83&lt;IF(LEFT(fdspangirder,1)="U",3,4),RailWtLeft/3,IF(C83&gt;FdBms-IF(LEFT(fdspangirder,1)="U",2,3),RailRightWt/3)))/1000+IF(AND(C83&gt;=RailDistributeFwdStart,C83&lt;=RailDistributeFwdEnd),$F$80))*D83/2)</f>
        <v>22.034999999999997</v>
      </c>
      <c r="J83" s="700">
        <f t="shared" ref="J83:J100" si="15">IF(D83="","",IF(AND(C83&gt;=SWalkDistributeFwdStart,C83&lt;=SWalkDistributeFwdEnd),(sidewalk/(SWalkDistributeFwdEnd-SWalkDistributeFwdStart+1))*(D83/2),0))</f>
        <v>0</v>
      </c>
      <c r="K83" s="700">
        <f t="shared" ref="K83:K100" si="16">IF(C83="","",F83+H83+I83+J83)</f>
        <v>172.79</v>
      </c>
      <c r="L83" s="700">
        <f t="shared" ref="L83:L100" si="17">IF(C83="","",($F$81*G83+$D$71)*D83/2)</f>
        <v>2.25</v>
      </c>
      <c r="M83" s="402"/>
      <c r="N83" s="402">
        <f>IF(C83="","",VLOOKUP(C83,Geometry!$D$157:$E$175,2,FALSE))</f>
        <v>14.666666666666666</v>
      </c>
      <c r="O83" s="402">
        <f>IF(C83="","",VLOOKUP(C83+1,Geometry!$D$157:$E$175,2,FALSE))</f>
        <v>14.666666666666666</v>
      </c>
      <c r="P83" s="400">
        <v>2</v>
      </c>
      <c r="Q83" s="406">
        <f t="shared" ref="Q83:Q100" si="18">IF(K83&lt;&gt;"",K83,IF(P82+1=FdBms,$D$75,""))</f>
        <v>172.79</v>
      </c>
      <c r="R83" s="405">
        <f t="shared" ref="R83:R100" si="19">IF(L83&lt;&gt;"",L83,IF(P82+1=FdBms,$D$77,""))</f>
        <v>2.25</v>
      </c>
    </row>
    <row r="84" spans="1:18">
      <c r="A84" s="358" t="str">
        <f t="shared" si="10"/>
        <v/>
      </c>
      <c r="B84" s="290"/>
      <c r="C84" s="699">
        <f>IF(3&lt;Geometry!$G$151,3,"")</f>
        <v>3</v>
      </c>
      <c r="D84" s="842">
        <f>IF(C84="","",Geometry!F158)</f>
        <v>120</v>
      </c>
      <c r="E84" s="842">
        <f>IF(C84="","",Geometry!G158)</f>
        <v>119.5</v>
      </c>
      <c r="F84" s="700">
        <f t="shared" si="11"/>
        <v>52.58</v>
      </c>
      <c r="G84" s="701">
        <f t="shared" si="12"/>
        <v>14.666666666666666</v>
      </c>
      <c r="H84" s="700">
        <f t="shared" si="13"/>
        <v>98.174999999999997</v>
      </c>
      <c r="I84" s="700">
        <f t="shared" si="14"/>
        <v>22.034999999999997</v>
      </c>
      <c r="J84" s="700">
        <f t="shared" si="15"/>
        <v>0</v>
      </c>
      <c r="K84" s="700">
        <f t="shared" si="16"/>
        <v>172.79</v>
      </c>
      <c r="L84" s="700">
        <f t="shared" si="17"/>
        <v>2.25</v>
      </c>
      <c r="M84" s="402"/>
      <c r="N84" s="402">
        <f>IF(C84="","",VLOOKUP(C84,Geometry!$D$157:$E$175,2,FALSE))</f>
        <v>14.666666666666666</v>
      </c>
      <c r="O84" s="402">
        <f>IF(C84="","",VLOOKUP(C84+1,Geometry!$D$157:$E$175,2,FALSE))</f>
        <v>14.666666666666666</v>
      </c>
      <c r="P84" s="400">
        <v>3</v>
      </c>
      <c r="Q84" s="406">
        <f t="shared" si="18"/>
        <v>172.79</v>
      </c>
      <c r="R84" s="405">
        <f t="shared" si="19"/>
        <v>2.25</v>
      </c>
    </row>
    <row r="85" spans="1:18" hidden="1">
      <c r="A85" s="358" t="str">
        <f t="shared" si="10"/>
        <v>*</v>
      </c>
      <c r="B85" s="290"/>
      <c r="C85" s="699" t="str">
        <f>IF(4&lt;Geometry!$G$151,4,"")</f>
        <v/>
      </c>
      <c r="D85" s="842" t="str">
        <f>IF(C85="","",Geometry!F159)</f>
        <v/>
      </c>
      <c r="E85" s="842" t="str">
        <f>IF(C85="","",Geometry!G159)</f>
        <v/>
      </c>
      <c r="F85" s="700" t="str">
        <f t="shared" si="11"/>
        <v/>
      </c>
      <c r="G85" s="701" t="str">
        <f t="shared" si="12"/>
        <v/>
      </c>
      <c r="H85" s="700" t="str">
        <f t="shared" si="13"/>
        <v/>
      </c>
      <c r="I85" s="700" t="str">
        <f t="shared" si="14"/>
        <v/>
      </c>
      <c r="J85" s="700" t="str">
        <f t="shared" si="15"/>
        <v/>
      </c>
      <c r="K85" s="700" t="str">
        <f t="shared" si="16"/>
        <v/>
      </c>
      <c r="L85" s="700" t="str">
        <f t="shared" si="17"/>
        <v/>
      </c>
      <c r="M85" s="402"/>
      <c r="N85" s="402" t="str">
        <f>IF(C85="","",VLOOKUP(C85,Geometry!$D$157:$E$175,2,FALSE))</f>
        <v/>
      </c>
      <c r="O85" s="402" t="str">
        <f>IF(C85="","",VLOOKUP(C85+1,Geometry!$D$157:$E$175,2,FALSE))</f>
        <v/>
      </c>
      <c r="P85" s="400">
        <v>4</v>
      </c>
      <c r="Q85" s="406">
        <f t="shared" si="18"/>
        <v>143.78375</v>
      </c>
      <c r="R85" s="405">
        <f t="shared" si="19"/>
        <v>2.25</v>
      </c>
    </row>
    <row r="86" spans="1:18" hidden="1">
      <c r="A86" s="358" t="str">
        <f t="shared" si="10"/>
        <v>*</v>
      </c>
      <c r="B86" s="290"/>
      <c r="C86" s="699" t="str">
        <f>IF(5&lt;Geometry!$G$151,5,"")</f>
        <v/>
      </c>
      <c r="D86" s="842" t="str">
        <f>IF(C86="","",Geometry!F160)</f>
        <v/>
      </c>
      <c r="E86" s="842" t="str">
        <f>IF(C86="","",Geometry!G160)</f>
        <v/>
      </c>
      <c r="F86" s="700" t="str">
        <f t="shared" si="11"/>
        <v/>
      </c>
      <c r="G86" s="701" t="str">
        <f t="shared" si="12"/>
        <v/>
      </c>
      <c r="H86" s="700" t="str">
        <f t="shared" si="13"/>
        <v/>
      </c>
      <c r="I86" s="700" t="str">
        <f t="shared" si="14"/>
        <v/>
      </c>
      <c r="J86" s="700" t="str">
        <f t="shared" si="15"/>
        <v/>
      </c>
      <c r="K86" s="700" t="str">
        <f t="shared" si="16"/>
        <v/>
      </c>
      <c r="L86" s="700" t="str">
        <f t="shared" si="17"/>
        <v/>
      </c>
      <c r="M86" s="402"/>
      <c r="N86" s="402" t="str">
        <f>IF(C86="","",VLOOKUP(C86,Geometry!$D$157:$E$175,2,FALSE))</f>
        <v/>
      </c>
      <c r="O86" s="402" t="str">
        <f>IF(C86="","",VLOOKUP(C86+1,Geometry!$D$157:$E$175,2,FALSE))</f>
        <v/>
      </c>
      <c r="P86" s="400">
        <v>5</v>
      </c>
      <c r="Q86" s="406" t="str">
        <f t="shared" si="18"/>
        <v/>
      </c>
      <c r="R86" s="405" t="str">
        <f t="shared" si="19"/>
        <v/>
      </c>
    </row>
    <row r="87" spans="1:18" hidden="1">
      <c r="A87" s="358" t="str">
        <f t="shared" si="10"/>
        <v>*</v>
      </c>
      <c r="B87" s="290"/>
      <c r="C87" s="699" t="str">
        <f>IF(6&lt;Geometry!$G$151,6,"")</f>
        <v/>
      </c>
      <c r="D87" s="842" t="str">
        <f>IF(C87="","",Geometry!F161)</f>
        <v/>
      </c>
      <c r="E87" s="842" t="str">
        <f>IF(C87="","",Geometry!G161)</f>
        <v/>
      </c>
      <c r="F87" s="700" t="str">
        <f t="shared" si="11"/>
        <v/>
      </c>
      <c r="G87" s="701" t="str">
        <f t="shared" si="12"/>
        <v/>
      </c>
      <c r="H87" s="700" t="str">
        <f t="shared" si="13"/>
        <v/>
      </c>
      <c r="I87" s="700" t="str">
        <f t="shared" si="14"/>
        <v/>
      </c>
      <c r="J87" s="700" t="str">
        <f t="shared" si="15"/>
        <v/>
      </c>
      <c r="K87" s="700" t="str">
        <f t="shared" si="16"/>
        <v/>
      </c>
      <c r="L87" s="700" t="str">
        <f t="shared" si="17"/>
        <v/>
      </c>
      <c r="M87" s="402"/>
      <c r="N87" s="402" t="str">
        <f>IF(C87="","",VLOOKUP(C87,Geometry!$D$157:$E$175,2,FALSE))</f>
        <v/>
      </c>
      <c r="O87" s="402" t="str">
        <f>IF(C87="","",VLOOKUP(C87+1,Geometry!$D$157:$E$175,2,FALSE))</f>
        <v/>
      </c>
      <c r="P87" s="400">
        <v>6</v>
      </c>
      <c r="Q87" s="406" t="str">
        <f t="shared" si="18"/>
        <v/>
      </c>
      <c r="R87" s="405" t="str">
        <f t="shared" si="19"/>
        <v/>
      </c>
    </row>
    <row r="88" spans="1:18" hidden="1">
      <c r="A88" s="358" t="str">
        <f t="shared" si="10"/>
        <v>*</v>
      </c>
      <c r="B88" s="290"/>
      <c r="C88" s="699" t="str">
        <f>IF(7&lt;Geometry!$G$151,7,"")</f>
        <v/>
      </c>
      <c r="D88" s="842" t="str">
        <f>IF(C88="","",Geometry!F162)</f>
        <v/>
      </c>
      <c r="E88" s="842" t="str">
        <f>IF(C88="","",Geometry!G162)</f>
        <v/>
      </c>
      <c r="F88" s="700" t="str">
        <f t="shared" si="11"/>
        <v/>
      </c>
      <c r="G88" s="701" t="str">
        <f t="shared" si="12"/>
        <v/>
      </c>
      <c r="H88" s="700" t="str">
        <f t="shared" si="13"/>
        <v/>
      </c>
      <c r="I88" s="700" t="str">
        <f t="shared" si="14"/>
        <v/>
      </c>
      <c r="J88" s="700" t="str">
        <f t="shared" si="15"/>
        <v/>
      </c>
      <c r="K88" s="700" t="str">
        <f t="shared" si="16"/>
        <v/>
      </c>
      <c r="L88" s="700" t="str">
        <f t="shared" si="17"/>
        <v/>
      </c>
      <c r="M88" s="402"/>
      <c r="N88" s="402" t="str">
        <f>IF(C88="","",VLOOKUP(C88,Geometry!$D$157:$E$175,2,FALSE))</f>
        <v/>
      </c>
      <c r="O88" s="402" t="str">
        <f>IF(C88="","",VLOOKUP(C88+1,Geometry!$D$157:$E$175,2,FALSE))</f>
        <v/>
      </c>
      <c r="P88" s="400">
        <v>7</v>
      </c>
      <c r="Q88" s="406" t="str">
        <f t="shared" si="18"/>
        <v/>
      </c>
      <c r="R88" s="405" t="str">
        <f t="shared" si="19"/>
        <v/>
      </c>
    </row>
    <row r="89" spans="1:18" hidden="1">
      <c r="A89" s="358" t="str">
        <f t="shared" si="10"/>
        <v>*</v>
      </c>
      <c r="B89" s="290"/>
      <c r="C89" s="699" t="str">
        <f>IF(8&lt;Geometry!$G$151,8,"")</f>
        <v/>
      </c>
      <c r="D89" s="842" t="str">
        <f>IF(C89="","",Geometry!F163)</f>
        <v/>
      </c>
      <c r="E89" s="842" t="str">
        <f>IF(C89="","",Geometry!G163)</f>
        <v/>
      </c>
      <c r="F89" s="700" t="str">
        <f t="shared" si="11"/>
        <v/>
      </c>
      <c r="G89" s="701" t="str">
        <f t="shared" si="12"/>
        <v/>
      </c>
      <c r="H89" s="700" t="str">
        <f t="shared" si="13"/>
        <v/>
      </c>
      <c r="I89" s="700" t="str">
        <f t="shared" si="14"/>
        <v/>
      </c>
      <c r="J89" s="700" t="str">
        <f t="shared" si="15"/>
        <v/>
      </c>
      <c r="K89" s="700" t="str">
        <f t="shared" si="16"/>
        <v/>
      </c>
      <c r="L89" s="700" t="str">
        <f t="shared" si="17"/>
        <v/>
      </c>
      <c r="M89" s="402"/>
      <c r="N89" s="402" t="str">
        <f>IF(C89="","",VLOOKUP(C89,Geometry!$D$157:$E$175,2,FALSE))</f>
        <v/>
      </c>
      <c r="O89" s="402" t="str">
        <f>IF(C89="","",VLOOKUP(C89+1,Geometry!$D$157:$E$175,2,FALSE))</f>
        <v/>
      </c>
      <c r="P89" s="400">
        <v>8</v>
      </c>
      <c r="Q89" s="406" t="str">
        <f t="shared" si="18"/>
        <v/>
      </c>
      <c r="R89" s="405" t="str">
        <f t="shared" si="19"/>
        <v/>
      </c>
    </row>
    <row r="90" spans="1:18" hidden="1">
      <c r="A90" s="358" t="str">
        <f t="shared" si="10"/>
        <v>*</v>
      </c>
      <c r="B90" s="290"/>
      <c r="C90" s="699" t="str">
        <f>IF(9&lt;Geometry!$G$151,9,"")</f>
        <v/>
      </c>
      <c r="D90" s="842" t="str">
        <f>IF(C90="","",Geometry!F164)</f>
        <v/>
      </c>
      <c r="E90" s="842" t="str">
        <f>IF(C90="","",Geometry!G164)</f>
        <v/>
      </c>
      <c r="F90" s="700" t="str">
        <f t="shared" si="11"/>
        <v/>
      </c>
      <c r="G90" s="701" t="str">
        <f t="shared" si="12"/>
        <v/>
      </c>
      <c r="H90" s="700" t="str">
        <f t="shared" si="13"/>
        <v/>
      </c>
      <c r="I90" s="700" t="str">
        <f t="shared" si="14"/>
        <v/>
      </c>
      <c r="J90" s="700" t="str">
        <f t="shared" si="15"/>
        <v/>
      </c>
      <c r="K90" s="700" t="str">
        <f t="shared" si="16"/>
        <v/>
      </c>
      <c r="L90" s="700" t="str">
        <f t="shared" si="17"/>
        <v/>
      </c>
      <c r="M90" s="402"/>
      <c r="N90" s="402" t="str">
        <f>IF(C90="","",VLOOKUP(C90,Geometry!$D$157:$E$175,2,FALSE))</f>
        <v/>
      </c>
      <c r="O90" s="402" t="str">
        <f>IF(C90="","",VLOOKUP(C90+1,Geometry!$D$157:$E$175,2,FALSE))</f>
        <v/>
      </c>
      <c r="P90" s="400">
        <v>9</v>
      </c>
      <c r="Q90" s="406" t="str">
        <f t="shared" si="18"/>
        <v/>
      </c>
      <c r="R90" s="405" t="str">
        <f t="shared" si="19"/>
        <v/>
      </c>
    </row>
    <row r="91" spans="1:18" hidden="1">
      <c r="A91" s="358" t="str">
        <f t="shared" si="10"/>
        <v>*</v>
      </c>
      <c r="B91" s="290"/>
      <c r="C91" s="699" t="str">
        <f>IF(10&lt;Geometry!$G$151,10,"")</f>
        <v/>
      </c>
      <c r="D91" s="842" t="str">
        <f>IF(C91="","",Geometry!F165)</f>
        <v/>
      </c>
      <c r="E91" s="842" t="str">
        <f>IF(C91="","",Geometry!G165)</f>
        <v/>
      </c>
      <c r="F91" s="700" t="str">
        <f t="shared" si="11"/>
        <v/>
      </c>
      <c r="G91" s="701" t="str">
        <f t="shared" si="12"/>
        <v/>
      </c>
      <c r="H91" s="700" t="str">
        <f t="shared" si="13"/>
        <v/>
      </c>
      <c r="I91" s="700" t="str">
        <f t="shared" si="14"/>
        <v/>
      </c>
      <c r="J91" s="700" t="str">
        <f t="shared" si="15"/>
        <v/>
      </c>
      <c r="K91" s="700" t="str">
        <f t="shared" si="16"/>
        <v/>
      </c>
      <c r="L91" s="700" t="str">
        <f t="shared" si="17"/>
        <v/>
      </c>
      <c r="M91" s="402"/>
      <c r="N91" s="402" t="str">
        <f>IF(C91="","",VLOOKUP(C91,Geometry!$D$157:$E$175,2,FALSE))</f>
        <v/>
      </c>
      <c r="O91" s="402" t="str">
        <f>IF(C91="","",VLOOKUP(C91+1,Geometry!$D$157:$E$175,2,FALSE))</f>
        <v/>
      </c>
      <c r="P91" s="400">
        <v>10</v>
      </c>
      <c r="Q91" s="406" t="str">
        <f t="shared" si="18"/>
        <v/>
      </c>
      <c r="R91" s="405" t="str">
        <f t="shared" si="19"/>
        <v/>
      </c>
    </row>
    <row r="92" spans="1:18" hidden="1">
      <c r="A92" s="358" t="str">
        <f t="shared" si="10"/>
        <v>*</v>
      </c>
      <c r="B92" s="290"/>
      <c r="C92" s="699" t="str">
        <f>IF(11&lt;Geometry!$G$151,11,"")</f>
        <v/>
      </c>
      <c r="D92" s="842" t="str">
        <f>IF(C92="","",Geometry!F166)</f>
        <v/>
      </c>
      <c r="E92" s="842" t="str">
        <f>IF(C92="","",Geometry!G166)</f>
        <v/>
      </c>
      <c r="F92" s="700" t="str">
        <f t="shared" si="11"/>
        <v/>
      </c>
      <c r="G92" s="701" t="str">
        <f t="shared" si="12"/>
        <v/>
      </c>
      <c r="H92" s="700" t="str">
        <f t="shared" si="13"/>
        <v/>
      </c>
      <c r="I92" s="700" t="str">
        <f t="shared" si="14"/>
        <v/>
      </c>
      <c r="J92" s="700" t="str">
        <f t="shared" si="15"/>
        <v/>
      </c>
      <c r="K92" s="700" t="str">
        <f t="shared" si="16"/>
        <v/>
      </c>
      <c r="L92" s="700" t="str">
        <f t="shared" si="17"/>
        <v/>
      </c>
      <c r="M92" s="402"/>
      <c r="N92" s="402" t="str">
        <f>IF(C92="","",VLOOKUP(C92,Geometry!$D$157:$E$175,2,FALSE))</f>
        <v/>
      </c>
      <c r="O92" s="402" t="str">
        <f>IF(C92="","",VLOOKUP(C92+1,Geometry!$D$157:$E$175,2,FALSE))</f>
        <v/>
      </c>
      <c r="P92" s="400">
        <v>11</v>
      </c>
      <c r="Q92" s="406" t="str">
        <f t="shared" si="18"/>
        <v/>
      </c>
      <c r="R92" s="405" t="str">
        <f t="shared" si="19"/>
        <v/>
      </c>
    </row>
    <row r="93" spans="1:18" hidden="1">
      <c r="A93" s="358" t="str">
        <f t="shared" si="10"/>
        <v>*</v>
      </c>
      <c r="B93" s="290"/>
      <c r="C93" s="699" t="str">
        <f>IF(12&lt;Geometry!$G$151,12,"")</f>
        <v/>
      </c>
      <c r="D93" s="842" t="str">
        <f>IF(C93="","",Geometry!F167)</f>
        <v/>
      </c>
      <c r="E93" s="842" t="str">
        <f>IF(C93="","",Geometry!G167)</f>
        <v/>
      </c>
      <c r="F93" s="700" t="str">
        <f t="shared" si="11"/>
        <v/>
      </c>
      <c r="G93" s="701" t="str">
        <f t="shared" si="12"/>
        <v/>
      </c>
      <c r="H93" s="700" t="str">
        <f t="shared" si="13"/>
        <v/>
      </c>
      <c r="I93" s="700" t="str">
        <f t="shared" si="14"/>
        <v/>
      </c>
      <c r="J93" s="700" t="str">
        <f t="shared" si="15"/>
        <v/>
      </c>
      <c r="K93" s="700" t="str">
        <f t="shared" si="16"/>
        <v/>
      </c>
      <c r="L93" s="700" t="str">
        <f t="shared" si="17"/>
        <v/>
      </c>
      <c r="M93" s="402"/>
      <c r="N93" s="402" t="str">
        <f>IF(C93="","",VLOOKUP(C93,Geometry!$D$157:$E$175,2,FALSE))</f>
        <v/>
      </c>
      <c r="O93" s="402" t="str">
        <f>IF(C93="","",VLOOKUP(C93+1,Geometry!$D$157:$E$175,2,FALSE))</f>
        <v/>
      </c>
      <c r="P93" s="400">
        <v>12</v>
      </c>
      <c r="Q93" s="406" t="str">
        <f t="shared" si="18"/>
        <v/>
      </c>
      <c r="R93" s="405" t="str">
        <f t="shared" si="19"/>
        <v/>
      </c>
    </row>
    <row r="94" spans="1:18" hidden="1">
      <c r="A94" s="358" t="str">
        <f t="shared" si="10"/>
        <v>*</v>
      </c>
      <c r="B94" s="290"/>
      <c r="C94" s="699" t="str">
        <f>IF(13&lt;Geometry!$G$151,13,"")</f>
        <v/>
      </c>
      <c r="D94" s="842" t="str">
        <f>IF(C94="","",Geometry!F168)</f>
        <v/>
      </c>
      <c r="E94" s="842" t="str">
        <f>IF(C94="","",Geometry!G168)</f>
        <v/>
      </c>
      <c r="F94" s="700" t="str">
        <f t="shared" si="11"/>
        <v/>
      </c>
      <c r="G94" s="701" t="str">
        <f t="shared" si="12"/>
        <v/>
      </c>
      <c r="H94" s="700" t="str">
        <f t="shared" si="13"/>
        <v/>
      </c>
      <c r="I94" s="700" t="str">
        <f t="shared" si="14"/>
        <v/>
      </c>
      <c r="J94" s="700" t="str">
        <f t="shared" si="15"/>
        <v/>
      </c>
      <c r="K94" s="700" t="str">
        <f t="shared" si="16"/>
        <v/>
      </c>
      <c r="L94" s="700" t="str">
        <f t="shared" si="17"/>
        <v/>
      </c>
      <c r="M94" s="402"/>
      <c r="N94" s="402" t="str">
        <f>IF(C94="","",VLOOKUP(C94,Geometry!$D$157:$E$175,2,FALSE))</f>
        <v/>
      </c>
      <c r="O94" s="402" t="str">
        <f>IF(C94="","",VLOOKUP(C94+1,Geometry!$D$157:$E$175,2,FALSE))</f>
        <v/>
      </c>
      <c r="P94" s="400">
        <v>13</v>
      </c>
      <c r="Q94" s="406" t="str">
        <f t="shared" si="18"/>
        <v/>
      </c>
      <c r="R94" s="405" t="str">
        <f t="shared" si="19"/>
        <v/>
      </c>
    </row>
    <row r="95" spans="1:18" hidden="1">
      <c r="A95" s="358" t="str">
        <f t="shared" si="10"/>
        <v>*</v>
      </c>
      <c r="B95" s="290"/>
      <c r="C95" s="699" t="str">
        <f>IF(14&lt;Geometry!$G$151,14,"")</f>
        <v/>
      </c>
      <c r="D95" s="842" t="str">
        <f>IF(C95="","",Geometry!F169)</f>
        <v/>
      </c>
      <c r="E95" s="842" t="str">
        <f>IF(C95="","",Geometry!G169)</f>
        <v/>
      </c>
      <c r="F95" s="700" t="str">
        <f t="shared" si="11"/>
        <v/>
      </c>
      <c r="G95" s="701" t="str">
        <f t="shared" si="12"/>
        <v/>
      </c>
      <c r="H95" s="700" t="str">
        <f t="shared" si="13"/>
        <v/>
      </c>
      <c r="I95" s="700" t="str">
        <f t="shared" si="14"/>
        <v/>
      </c>
      <c r="J95" s="700" t="str">
        <f t="shared" si="15"/>
        <v/>
      </c>
      <c r="K95" s="700" t="str">
        <f t="shared" si="16"/>
        <v/>
      </c>
      <c r="L95" s="700" t="str">
        <f t="shared" si="17"/>
        <v/>
      </c>
      <c r="M95" s="402"/>
      <c r="N95" s="402" t="str">
        <f>IF(C95="","",VLOOKUP(C95,Geometry!$D$157:$E$175,2,FALSE))</f>
        <v/>
      </c>
      <c r="O95" s="402" t="str">
        <f>IF(C95="","",VLOOKUP(C95+1,Geometry!$D$157:$E$175,2,FALSE))</f>
        <v/>
      </c>
      <c r="P95" s="400">
        <v>14</v>
      </c>
      <c r="Q95" s="406" t="str">
        <f t="shared" si="18"/>
        <v/>
      </c>
      <c r="R95" s="405" t="str">
        <f t="shared" si="19"/>
        <v/>
      </c>
    </row>
    <row r="96" spans="1:18" hidden="1">
      <c r="A96" s="358" t="str">
        <f t="shared" si="10"/>
        <v>*</v>
      </c>
      <c r="B96" s="290"/>
      <c r="C96" s="699" t="str">
        <f>IF(15&lt;Geometry!$G$151,15,"")</f>
        <v/>
      </c>
      <c r="D96" s="842" t="str">
        <f>IF(C96="","",Geometry!F170)</f>
        <v/>
      </c>
      <c r="E96" s="842" t="str">
        <f>IF(C96="","",Geometry!G170)</f>
        <v/>
      </c>
      <c r="F96" s="700" t="str">
        <f t="shared" si="11"/>
        <v/>
      </c>
      <c r="G96" s="701" t="str">
        <f t="shared" si="12"/>
        <v/>
      </c>
      <c r="H96" s="700" t="str">
        <f t="shared" si="13"/>
        <v/>
      </c>
      <c r="I96" s="700" t="str">
        <f t="shared" si="14"/>
        <v/>
      </c>
      <c r="J96" s="700" t="str">
        <f t="shared" si="15"/>
        <v/>
      </c>
      <c r="K96" s="700" t="str">
        <f t="shared" si="16"/>
        <v/>
      </c>
      <c r="L96" s="700" t="str">
        <f t="shared" si="17"/>
        <v/>
      </c>
      <c r="M96" s="402"/>
      <c r="N96" s="402" t="str">
        <f>IF(C96="","",VLOOKUP(C96,Geometry!$D$157:$E$175,2,FALSE))</f>
        <v/>
      </c>
      <c r="O96" s="402" t="str">
        <f>IF(C96="","",VLOOKUP(C96+1,Geometry!$D$157:$E$175,2,FALSE))</f>
        <v/>
      </c>
      <c r="P96" s="400">
        <v>15</v>
      </c>
      <c r="Q96" s="406" t="str">
        <f t="shared" si="18"/>
        <v/>
      </c>
      <c r="R96" s="405" t="str">
        <f t="shared" si="19"/>
        <v/>
      </c>
    </row>
    <row r="97" spans="1:18" hidden="1">
      <c r="A97" s="358" t="str">
        <f t="shared" si="10"/>
        <v>*</v>
      </c>
      <c r="B97" s="290"/>
      <c r="C97" s="699" t="str">
        <f>IF(16&lt;Geometry!$G$151,16,"")</f>
        <v/>
      </c>
      <c r="D97" s="842" t="str">
        <f>IF(C97="","",Geometry!F171)</f>
        <v/>
      </c>
      <c r="E97" s="842" t="str">
        <f>IF(C97="","",Geometry!G171)</f>
        <v/>
      </c>
      <c r="F97" s="700" t="str">
        <f t="shared" si="11"/>
        <v/>
      </c>
      <c r="G97" s="701" t="str">
        <f t="shared" si="12"/>
        <v/>
      </c>
      <c r="H97" s="700" t="str">
        <f t="shared" si="13"/>
        <v/>
      </c>
      <c r="I97" s="700" t="str">
        <f t="shared" si="14"/>
        <v/>
      </c>
      <c r="J97" s="700" t="str">
        <f t="shared" si="15"/>
        <v/>
      </c>
      <c r="K97" s="700" t="str">
        <f t="shared" si="16"/>
        <v/>
      </c>
      <c r="L97" s="700" t="str">
        <f t="shared" si="17"/>
        <v/>
      </c>
      <c r="M97" s="402"/>
      <c r="N97" s="402" t="str">
        <f>IF(C97="","",VLOOKUP(C97,Geometry!$D$157:$E$175,2,FALSE))</f>
        <v/>
      </c>
      <c r="O97" s="402" t="str">
        <f>IF(C97="","",VLOOKUP(C97+1,Geometry!$D$157:$E$175,2,FALSE))</f>
        <v/>
      </c>
      <c r="P97" s="400">
        <v>16</v>
      </c>
      <c r="Q97" s="406" t="str">
        <f t="shared" si="18"/>
        <v/>
      </c>
      <c r="R97" s="405" t="str">
        <f t="shared" si="19"/>
        <v/>
      </c>
    </row>
    <row r="98" spans="1:18" hidden="1">
      <c r="A98" s="358" t="str">
        <f t="shared" si="10"/>
        <v>*</v>
      </c>
      <c r="B98" s="290"/>
      <c r="C98" s="699" t="str">
        <f>IF(17&lt;Geometry!$G$151,17,"")</f>
        <v/>
      </c>
      <c r="D98" s="842" t="str">
        <f>IF(C98="","",Geometry!F172)</f>
        <v/>
      </c>
      <c r="E98" s="842" t="str">
        <f>IF(C98="","",Geometry!G172)</f>
        <v/>
      </c>
      <c r="F98" s="700" t="str">
        <f t="shared" si="11"/>
        <v/>
      </c>
      <c r="G98" s="701" t="str">
        <f t="shared" si="12"/>
        <v/>
      </c>
      <c r="H98" s="700" t="str">
        <f t="shared" si="13"/>
        <v/>
      </c>
      <c r="I98" s="700" t="str">
        <f t="shared" si="14"/>
        <v/>
      </c>
      <c r="J98" s="700" t="str">
        <f t="shared" si="15"/>
        <v/>
      </c>
      <c r="K98" s="700" t="str">
        <f t="shared" si="16"/>
        <v/>
      </c>
      <c r="L98" s="700" t="str">
        <f t="shared" si="17"/>
        <v/>
      </c>
      <c r="N98" s="402" t="str">
        <f>IF(C98="","",VLOOKUP(C98,Geometry!$D$157:$E$175,2,FALSE))</f>
        <v/>
      </c>
      <c r="O98" s="402" t="str">
        <f>IF(C98="","",VLOOKUP(C98+1,Geometry!$D$157:$E$175,2,FALSE))</f>
        <v/>
      </c>
      <c r="P98" s="400">
        <v>17</v>
      </c>
      <c r="Q98" s="406" t="str">
        <f t="shared" si="18"/>
        <v/>
      </c>
      <c r="R98" s="405" t="str">
        <f t="shared" si="19"/>
        <v/>
      </c>
    </row>
    <row r="99" spans="1:18" hidden="1">
      <c r="A99" s="358" t="str">
        <f t="shared" si="10"/>
        <v>*</v>
      </c>
      <c r="B99" s="290"/>
      <c r="C99" s="699" t="str">
        <f>IF(18&lt;Geometry!$G$151,18,"")</f>
        <v/>
      </c>
      <c r="D99" s="842" t="str">
        <f>IF(C99="","",Geometry!F173)</f>
        <v/>
      </c>
      <c r="E99" s="842" t="str">
        <f>IF(C99="","",Geometry!G173)</f>
        <v/>
      </c>
      <c r="F99" s="700" t="str">
        <f t="shared" si="11"/>
        <v/>
      </c>
      <c r="G99" s="701" t="str">
        <f t="shared" si="12"/>
        <v/>
      </c>
      <c r="H99" s="700" t="str">
        <f t="shared" si="13"/>
        <v/>
      </c>
      <c r="I99" s="700" t="str">
        <f t="shared" si="14"/>
        <v/>
      </c>
      <c r="J99" s="700" t="str">
        <f t="shared" si="15"/>
        <v/>
      </c>
      <c r="K99" s="700" t="str">
        <f t="shared" si="16"/>
        <v/>
      </c>
      <c r="L99" s="700" t="str">
        <f t="shared" si="17"/>
        <v/>
      </c>
      <c r="N99" s="402" t="str">
        <f>IF(C99="","",VLOOKUP(C99,Geometry!$D$157:$E$175,2,FALSE))</f>
        <v/>
      </c>
      <c r="O99" s="402" t="str">
        <f>IF(C99="","",VLOOKUP(C99+1,Geometry!$D$157:$E$175,2,FALSE))</f>
        <v/>
      </c>
      <c r="P99" s="400">
        <v>18</v>
      </c>
      <c r="Q99" s="406" t="str">
        <f t="shared" si="18"/>
        <v/>
      </c>
      <c r="R99" s="405" t="str">
        <f t="shared" si="19"/>
        <v/>
      </c>
    </row>
    <row r="100" spans="1:18" hidden="1">
      <c r="A100" s="358" t="str">
        <f t="shared" si="10"/>
        <v>*</v>
      </c>
      <c r="B100" s="290"/>
      <c r="C100" s="699" t="str">
        <f>IF(19&lt;Geometry!$G$151,19,"")</f>
        <v/>
      </c>
      <c r="D100" s="842" t="str">
        <f>IF(C100="","",Geometry!F174)</f>
        <v/>
      </c>
      <c r="E100" s="842" t="str">
        <f>IF(C100="","",Geometry!G174)</f>
        <v/>
      </c>
      <c r="F100" s="700" t="str">
        <f t="shared" si="11"/>
        <v/>
      </c>
      <c r="G100" s="701" t="str">
        <f t="shared" si="12"/>
        <v/>
      </c>
      <c r="H100" s="700" t="str">
        <f t="shared" si="13"/>
        <v/>
      </c>
      <c r="I100" s="700" t="str">
        <f t="shared" si="14"/>
        <v/>
      </c>
      <c r="J100" s="700" t="str">
        <f t="shared" si="15"/>
        <v/>
      </c>
      <c r="K100" s="700" t="str">
        <f t="shared" si="16"/>
        <v/>
      </c>
      <c r="L100" s="700" t="str">
        <f t="shared" si="17"/>
        <v/>
      </c>
      <c r="N100" s="402" t="str">
        <f>IF(C100="","",VLOOKUP(C100,Geometry!$D$157:$E$175,2,FALSE))</f>
        <v/>
      </c>
      <c r="O100" s="402" t="str">
        <f>IF(C100="","",VLOOKUP(C100+1,Geometry!$D$157:$E$175,2,FALSE))</f>
        <v/>
      </c>
      <c r="P100" s="400">
        <v>19</v>
      </c>
      <c r="Q100" s="406" t="str">
        <f t="shared" si="18"/>
        <v/>
      </c>
      <c r="R100" s="405" t="str">
        <f t="shared" si="19"/>
        <v/>
      </c>
    </row>
    <row r="101" spans="1:18">
      <c r="A101" s="358" t="s">
        <v>670</v>
      </c>
      <c r="B101" s="290"/>
      <c r="C101" s="290"/>
      <c r="D101" s="290"/>
      <c r="E101" s="105"/>
      <c r="F101" s="290"/>
      <c r="G101" s="290"/>
      <c r="H101" s="703"/>
      <c r="I101" s="700"/>
      <c r="J101" s="290"/>
      <c r="K101" s="290"/>
      <c r="L101" s="290"/>
      <c r="O101" s="338"/>
      <c r="P101" s="400" t="str">
        <f>IF(FdBms=20,20,"")</f>
        <v/>
      </c>
      <c r="Q101" s="407" t="str">
        <f>IF(FdBms=P101,D75,"")</f>
        <v/>
      </c>
      <c r="R101" s="405" t="str">
        <f>IF(FdBms=P101,D77,"")</f>
        <v/>
      </c>
    </row>
    <row r="102" spans="1:18">
      <c r="B102" s="290"/>
      <c r="C102" s="290"/>
      <c r="D102" s="290"/>
      <c r="E102" s="290"/>
      <c r="F102" s="100" t="s">
        <v>1074</v>
      </c>
      <c r="G102" s="702">
        <f>SUM(R82:R101)</f>
        <v>9</v>
      </c>
      <c r="H102" s="290" t="s">
        <v>341</v>
      </c>
      <c r="I102" s="290"/>
      <c r="J102" s="290"/>
      <c r="K102" s="290"/>
      <c r="L102" s="290"/>
      <c r="O102" s="338"/>
    </row>
    <row r="103" spans="1:18">
      <c r="B103" s="290"/>
      <c r="C103" s="290"/>
      <c r="D103" s="290"/>
      <c r="E103" s="290"/>
      <c r="F103" s="100" t="s">
        <v>1073</v>
      </c>
      <c r="G103" s="702">
        <f>SUM(Q82:Q101)</f>
        <v>622.39249999999993</v>
      </c>
      <c r="H103" s="290" t="s">
        <v>341</v>
      </c>
      <c r="I103" s="290"/>
      <c r="J103" s="290"/>
      <c r="K103" s="290"/>
      <c r="L103" s="290"/>
      <c r="O103" s="338"/>
    </row>
    <row r="104" spans="1:18" ht="12.75" customHeight="1">
      <c r="B104" s="290"/>
      <c r="C104" s="290"/>
      <c r="D104" s="290"/>
      <c r="E104" s="290"/>
      <c r="F104" s="290"/>
      <c r="G104" s="290"/>
      <c r="H104" s="290"/>
      <c r="I104" s="290"/>
      <c r="J104" s="290"/>
      <c r="K104" s="290"/>
      <c r="L104" s="290"/>
      <c r="O104" s="338"/>
    </row>
    <row r="105" spans="1:18" ht="21" customHeight="1" thickBot="1">
      <c r="B105" s="1394"/>
      <c r="C105" s="1394"/>
      <c r="D105" s="1394"/>
      <c r="E105" s="1394"/>
      <c r="F105" s="1394"/>
      <c r="G105" s="1389" t="s">
        <v>44</v>
      </c>
      <c r="H105" s="1394"/>
      <c r="I105" s="1394"/>
      <c r="J105" s="1394"/>
      <c r="K105" s="1394"/>
      <c r="L105" s="1394"/>
      <c r="O105" s="338"/>
    </row>
    <row r="106" spans="1:18" ht="12.75" customHeight="1">
      <c r="B106" s="704"/>
      <c r="C106" s="704"/>
      <c r="D106" s="704"/>
      <c r="E106" s="704"/>
      <c r="F106" s="704"/>
      <c r="G106" s="704"/>
      <c r="H106" s="704"/>
      <c r="I106" s="704"/>
      <c r="J106" s="704"/>
      <c r="K106" s="704"/>
      <c r="L106" s="704"/>
      <c r="O106" s="338"/>
    </row>
    <row r="107" spans="1:18" ht="12.75" customHeight="1">
      <c r="B107" s="704"/>
      <c r="C107" s="704"/>
      <c r="D107" s="704"/>
      <c r="E107" s="704"/>
      <c r="F107" s="705" t="s">
        <v>748</v>
      </c>
      <c r="G107" s="706">
        <f>caplength*caparea/144*capdensity/1000</f>
        <v>162</v>
      </c>
      <c r="H107" s="704" t="s">
        <v>1262</v>
      </c>
      <c r="I107" s="707" t="str">
        <f>"{"&amp;FIXED(capdensity/1000,3)&amp;" kcf x "&amp;FIXED(caparea,0)&amp;" in² / 144 in²/ft² x "&amp;FIXED(caplength,1)&amp;" ft}"</f>
        <v>{0.150 kcf x 3,240 in² / 144 in²/ft² x 48.0 ft}</v>
      </c>
      <c r="J107" s="704"/>
      <c r="K107" s="704"/>
      <c r="L107" s="704"/>
      <c r="O107" s="338"/>
    </row>
    <row r="108" spans="1:18">
      <c r="B108" s="704"/>
      <c r="C108" s="704"/>
      <c r="D108" s="704"/>
      <c r="E108" s="704"/>
      <c r="F108" s="705" t="s">
        <v>47</v>
      </c>
      <c r="G108" s="708">
        <f>CapitalWeight</f>
        <v>0</v>
      </c>
      <c r="H108" s="704" t="s">
        <v>1262</v>
      </c>
      <c r="I108" s="704"/>
      <c r="J108" s="704"/>
      <c r="K108" s="704"/>
      <c r="L108" s="704"/>
    </row>
    <row r="109" spans="1:18">
      <c r="B109" s="704"/>
      <c r="C109" s="704"/>
      <c r="D109" s="704"/>
      <c r="E109" s="704"/>
      <c r="F109" s="705" t="str">
        <f>IF(NoSupports=2,"Column Weight (Left) =","Column Weight =")</f>
        <v>Column Weight =</v>
      </c>
      <c r="G109" s="708">
        <f>ColArea/144*capdensity/1000*ColHeightI</f>
        <v>72</v>
      </c>
      <c r="H109" s="704" t="s">
        <v>1262</v>
      </c>
      <c r="I109" s="707" t="str">
        <f>"{"&amp;FIXED(capdensity/1000,3)&amp;" kcf x "&amp;FIXED(ColArea,0)&amp;" in² / 144 in²/ft² x "&amp;FIXED(ColHeightI,0)&amp;" ft}"</f>
        <v>{0.150 kcf x 3,456 in² / 144 in²/ft² x 20 ft}</v>
      </c>
      <c r="J109" s="704"/>
      <c r="K109" s="704"/>
      <c r="L109" s="704"/>
    </row>
    <row r="110" spans="1:18">
      <c r="B110" s="704"/>
      <c r="C110" s="704"/>
      <c r="D110" s="704"/>
      <c r="E110" s="704"/>
      <c r="F110" s="705" t="str">
        <f>IF(NoSupports=2,"Column Weight (Right) =","")</f>
        <v/>
      </c>
      <c r="G110" s="708" t="str">
        <f>IF(NoSupports=2,ColArea/144*capdensity/1000*ColHeightII,"")</f>
        <v/>
      </c>
      <c r="H110" s="704" t="str">
        <f>IF(NoSupports=2,"kips","")</f>
        <v/>
      </c>
      <c r="I110" s="707" t="str">
        <f>IF(NoSupports=2,"{"&amp;FIXED(capdensity/1000,3)&amp;" kcf x "&amp;FIXED(ColArea,0)&amp;" in² / 144 in²/ft² x "&amp;FIXED(ColHeightII,0)&amp;" ft}","")</f>
        <v/>
      </c>
      <c r="J110" s="704"/>
      <c r="K110" s="704"/>
      <c r="L110" s="704"/>
    </row>
    <row r="111" spans="1:18">
      <c r="B111" s="704"/>
      <c r="C111" s="704"/>
      <c r="D111" s="704"/>
      <c r="E111" s="704"/>
      <c r="F111" s="290"/>
      <c r="G111" s="290"/>
      <c r="H111" s="290"/>
      <c r="I111" s="290"/>
      <c r="J111" s="704"/>
      <c r="K111" s="704"/>
      <c r="L111" s="704"/>
    </row>
    <row r="112" spans="1:18">
      <c r="B112" s="704"/>
      <c r="C112" s="704"/>
      <c r="D112" s="704"/>
      <c r="E112" s="704"/>
      <c r="F112" s="709" t="s">
        <v>541</v>
      </c>
      <c r="G112" s="290"/>
      <c r="H112" s="290"/>
      <c r="I112" s="290"/>
      <c r="J112" s="704"/>
      <c r="K112" s="704"/>
      <c r="L112" s="704"/>
    </row>
    <row r="113" spans="2:12">
      <c r="B113" s="704"/>
      <c r="C113" s="704"/>
      <c r="D113" s="704"/>
      <c r="E113" s="704"/>
      <c r="F113" s="705" t="s">
        <v>697</v>
      </c>
      <c r="G113" s="78" t="s">
        <v>144</v>
      </c>
      <c r="H113" s="704"/>
      <c r="I113" s="705"/>
      <c r="J113" s="705" t="s">
        <v>1126</v>
      </c>
      <c r="K113" s="1090">
        <v>0.2</v>
      </c>
      <c r="L113" s="704" t="s">
        <v>262</v>
      </c>
    </row>
    <row r="114" spans="2:12">
      <c r="B114" s="704"/>
      <c r="C114" s="704"/>
      <c r="D114" s="704"/>
      <c r="E114" s="704"/>
      <c r="F114" s="705" t="s">
        <v>540</v>
      </c>
      <c r="G114" s="710">
        <f>IF(G113="Yes",1,0)*capdensity*PedestalHt*(capstemWidth-6)/144000+K113</f>
        <v>0.2</v>
      </c>
      <c r="H114" s="704" t="s">
        <v>262</v>
      </c>
      <c r="I114" s="707" t="str">
        <f>IF(G113="Yes","{"&amp;capdensity/1000&amp;"kcf x "&amp; PedestalHt &amp;" in x "&amp;capstemWidth -6&amp;" in / 144 in²/ft²}","")</f>
        <v/>
      </c>
      <c r="J114" s="704"/>
      <c r="K114" s="704"/>
      <c r="L114" s="704"/>
    </row>
    <row r="115" spans="2:12">
      <c r="B115" s="704"/>
      <c r="C115" s="704"/>
      <c r="D115" s="704"/>
      <c r="E115" s="704"/>
      <c r="F115" s="100" t="s">
        <v>542</v>
      </c>
      <c r="G115" s="105">
        <v>0</v>
      </c>
      <c r="H115" s="290" t="s">
        <v>545</v>
      </c>
      <c r="I115" s="711"/>
      <c r="J115" s="704"/>
      <c r="K115" s="704"/>
      <c r="L115" s="704"/>
    </row>
    <row r="116" spans="2:12">
      <c r="B116" s="704"/>
      <c r="C116" s="704"/>
      <c r="D116" s="704"/>
      <c r="E116" s="704"/>
      <c r="F116" s="100" t="s">
        <v>543</v>
      </c>
      <c r="G116" s="105">
        <f>caplength</f>
        <v>48</v>
      </c>
      <c r="H116" s="290" t="s">
        <v>545</v>
      </c>
      <c r="I116" s="290"/>
      <c r="J116" s="704"/>
      <c r="K116" s="704"/>
      <c r="L116" s="704"/>
    </row>
    <row r="117" spans="2:12">
      <c r="B117" s="290"/>
      <c r="C117" s="290"/>
      <c r="D117" s="290"/>
      <c r="E117" s="704"/>
      <c r="F117" s="100" t="s">
        <v>544</v>
      </c>
      <c r="G117" s="712">
        <f>G114*(G116-G115)</f>
        <v>9.6000000000000014</v>
      </c>
      <c r="H117" s="290" t="s">
        <v>341</v>
      </c>
      <c r="I117" s="290"/>
      <c r="J117" s="290"/>
      <c r="K117" s="290"/>
      <c r="L117" s="290"/>
    </row>
  </sheetData>
  <sheetProtection algorithmName="SHA-512" hashValue="mjP3vmP6mT3HDp1ZfMerikrUxFWxqnzxVXriu55Z+c2NWXS7dw9P18I3/bNy1id7+pAofBVa7I2esT950vc+8g==" saltValue="PIv6Y70b/irtKkVacRo3SQ==" spinCount="100000" sheet="1" objects="1" scenarios="1"/>
  <mergeCells count="7">
    <mergeCell ref="B8:L8"/>
    <mergeCell ref="N29:O29"/>
    <mergeCell ref="N80:O80"/>
    <mergeCell ref="U2:V2"/>
    <mergeCell ref="Q2:R2"/>
    <mergeCell ref="S2:T2"/>
    <mergeCell ref="O2:P2"/>
  </mergeCells>
  <phoneticPr fontId="0" type="noConversion"/>
  <dataValidations disablePrompts="1" count="1">
    <dataValidation type="list" allowBlank="1" showInputMessage="1" showErrorMessage="1" sqref="G113" xr:uid="{00000000-0002-0000-0400-000000000000}">
      <formula1>"Yes, No"</formula1>
    </dataValidation>
  </dataValidations>
  <pageMargins left="0.75" right="0.375" top="0.25" bottom="0.25" header="0.75" footer="0.25"/>
  <pageSetup orientation="portrait" blackAndWhite="1" r:id="rId1"/>
  <headerFooter alignWithMargins="0">
    <oddHeader>&amp;L&amp;6
&amp;Z&amp;F&amp;R&amp;P                                &amp;N</oddHeader>
    <oddFooter>&amp;L&amp;D   &amp;T&amp;CRev. 8.0</oddFooter>
  </headerFooter>
  <rowBreaks count="2" manualBreakCount="2">
    <brk id="58" min="1" max="11" man="1"/>
    <brk id="104" min="1" max="11"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7">
    <tabColor indexed="16"/>
  </sheetPr>
  <dimension ref="A1:M70"/>
  <sheetViews>
    <sheetView showGridLines="0" view="pageBreakPreview" zoomScaleNormal="100" zoomScaleSheetLayoutView="100" workbookViewId="0"/>
  </sheetViews>
  <sheetFormatPr defaultColWidth="9.140625" defaultRowHeight="12.75"/>
  <cols>
    <col min="1" max="1" width="24.7109375" style="358" customWidth="1"/>
    <col min="2" max="2" width="7.140625" style="337" customWidth="1"/>
    <col min="3" max="7" width="8.7109375" style="337" customWidth="1"/>
    <col min="8" max="8" width="8.5703125" style="337" customWidth="1"/>
    <col min="9" max="9" width="10.7109375" style="337" customWidth="1"/>
    <col min="10" max="11" width="13" style="337" customWidth="1"/>
    <col min="12" max="16384" width="9.140625" style="337"/>
  </cols>
  <sheetData>
    <row r="1" spans="1:13">
      <c r="B1" s="290"/>
      <c r="C1" s="290"/>
      <c r="D1" s="290"/>
      <c r="E1" s="290"/>
      <c r="F1" s="290"/>
      <c r="G1" s="290"/>
      <c r="H1" s="290"/>
      <c r="I1" s="290"/>
      <c r="J1" s="290"/>
      <c r="K1" s="290"/>
    </row>
    <row r="2" spans="1:13">
      <c r="B2" s="290"/>
      <c r="C2" s="290"/>
      <c r="D2" s="290"/>
      <c r="E2" s="290"/>
      <c r="F2" s="290"/>
      <c r="G2" s="290"/>
      <c r="H2" s="290"/>
      <c r="I2" s="290"/>
      <c r="J2" s="290"/>
      <c r="K2" s="290"/>
    </row>
    <row r="3" spans="1:13">
      <c r="B3" s="290"/>
      <c r="C3" s="290"/>
      <c r="D3" s="290"/>
      <c r="E3" s="290"/>
      <c r="F3" s="290"/>
      <c r="G3" s="290"/>
      <c r="H3" s="290"/>
      <c r="I3" s="290"/>
      <c r="J3" s="290"/>
      <c r="K3" s="290"/>
    </row>
    <row r="4" spans="1:13">
      <c r="B4" s="290"/>
      <c r="C4" s="290"/>
      <c r="D4" s="290"/>
      <c r="E4" s="290"/>
      <c r="F4" s="290"/>
      <c r="G4" s="290"/>
      <c r="H4" s="290"/>
      <c r="I4" s="290"/>
      <c r="J4" s="290"/>
      <c r="K4" s="290"/>
    </row>
    <row r="5" spans="1:13">
      <c r="B5" s="290"/>
      <c r="C5" s="290"/>
      <c r="D5" s="290"/>
      <c r="E5" s="290"/>
      <c r="F5" s="290"/>
      <c r="G5" s="290"/>
      <c r="H5" s="290"/>
      <c r="I5" s="290"/>
      <c r="J5" s="290"/>
      <c r="K5" s="290"/>
      <c r="M5" s="338"/>
    </row>
    <row r="6" spans="1:13">
      <c r="B6" s="290"/>
      <c r="C6" s="290"/>
      <c r="D6" s="290"/>
      <c r="E6" s="290"/>
      <c r="F6" s="290"/>
      <c r="G6" s="290"/>
      <c r="H6" s="290"/>
      <c r="I6" s="290"/>
      <c r="J6" s="290"/>
      <c r="K6" s="290"/>
      <c r="M6" s="338"/>
    </row>
    <row r="7" spans="1:13">
      <c r="B7" s="290"/>
      <c r="C7" s="290"/>
      <c r="D7" s="290"/>
      <c r="E7" s="290"/>
      <c r="F7" s="290"/>
      <c r="G7" s="290"/>
      <c r="H7" s="290"/>
      <c r="I7" s="290"/>
      <c r="J7" s="290"/>
      <c r="K7" s="290"/>
      <c r="M7" s="338"/>
    </row>
    <row r="8" spans="1:13" ht="19.5" customHeight="1" thickBot="1">
      <c r="B8" s="1500" t="s">
        <v>1076</v>
      </c>
      <c r="C8" s="1500"/>
      <c r="D8" s="1500"/>
      <c r="E8" s="1500"/>
      <c r="F8" s="1500"/>
      <c r="G8" s="1500"/>
      <c r="H8" s="1500"/>
      <c r="I8" s="1500"/>
      <c r="J8" s="1500"/>
      <c r="K8" s="1500"/>
    </row>
    <row r="9" spans="1:13" ht="13.5" thickTop="1">
      <c r="B9" s="42"/>
      <c r="C9" s="290"/>
      <c r="D9" s="114"/>
      <c r="E9" s="791"/>
      <c r="F9" s="41"/>
      <c r="G9" s="290"/>
      <c r="H9" s="290"/>
      <c r="I9" s="100"/>
      <c r="J9" s="792"/>
      <c r="K9" s="290"/>
      <c r="L9" s="338"/>
    </row>
    <row r="10" spans="1:13" ht="13.5">
      <c r="B10" s="42"/>
      <c r="C10" s="290"/>
      <c r="D10" s="705"/>
      <c r="E10" s="792"/>
      <c r="F10" s="41"/>
      <c r="G10" s="290"/>
      <c r="H10" s="290"/>
      <c r="I10" s="290"/>
      <c r="J10" s="290"/>
      <c r="K10" s="817"/>
      <c r="L10" s="338"/>
    </row>
    <row r="11" spans="1:13" ht="16.5" customHeight="1">
      <c r="B11" s="677" t="s">
        <v>255</v>
      </c>
      <c r="C11" s="290"/>
      <c r="D11" s="42"/>
      <c r="E11" s="734"/>
      <c r="F11" s="793"/>
      <c r="G11" s="794"/>
      <c r="H11" s="734" t="s">
        <v>990</v>
      </c>
      <c r="I11" s="793">
        <f>Geometry!G123</f>
        <v>4</v>
      </c>
      <c r="J11" s="41"/>
      <c r="K11" s="41"/>
      <c r="L11" s="338"/>
    </row>
    <row r="12" spans="1:13" ht="15.75" customHeight="1">
      <c r="B12" s="42"/>
      <c r="C12" s="42"/>
      <c r="D12" s="1527" t="s">
        <v>1075</v>
      </c>
      <c r="E12" s="1527"/>
      <c r="F12" s="795"/>
      <c r="G12" s="795"/>
      <c r="H12" s="795"/>
      <c r="I12" s="796"/>
      <c r="J12" s="1526" t="s">
        <v>993</v>
      </c>
      <c r="K12" s="1526"/>
      <c r="L12" s="349"/>
    </row>
    <row r="13" spans="1:13">
      <c r="B13" s="42"/>
      <c r="C13" s="66" t="s">
        <v>263</v>
      </c>
      <c r="D13" s="1528"/>
      <c r="E13" s="1528"/>
      <c r="F13" s="797"/>
      <c r="G13" s="797"/>
      <c r="H13" s="66" t="s">
        <v>721</v>
      </c>
      <c r="I13" s="66" t="s">
        <v>890</v>
      </c>
      <c r="J13" s="66" t="s">
        <v>721</v>
      </c>
      <c r="K13" s="66" t="s">
        <v>890</v>
      </c>
      <c r="L13" s="349"/>
    </row>
    <row r="14" spans="1:13" ht="11.25" customHeight="1">
      <c r="A14" s="391" t="str">
        <f>IF(C14="","*","")</f>
        <v/>
      </c>
      <c r="B14" s="798"/>
      <c r="C14" s="799">
        <f>Geometry!D128</f>
        <v>1</v>
      </c>
      <c r="D14" s="1525">
        <f>IF(C14="","",Geometry!I128-ColSpa1)</f>
        <v>-22</v>
      </c>
      <c r="E14" s="1525"/>
      <c r="F14" s="801"/>
      <c r="G14" s="801"/>
      <c r="H14" s="253">
        <f>'Conc DL'!Q31</f>
        <v>110.82062499999999</v>
      </c>
      <c r="I14" s="253">
        <f>'Conc DL'!R31</f>
        <v>1.875</v>
      </c>
      <c r="J14" s="297">
        <f>IF(D14="","",D14*H14)</f>
        <v>-2438.05375</v>
      </c>
      <c r="K14" s="297">
        <f>IF(D14="","",D14*I14)</f>
        <v>-41.25</v>
      </c>
      <c r="L14" s="1129" t="s">
        <v>825</v>
      </c>
    </row>
    <row r="15" spans="1:13" ht="11.25" customHeight="1">
      <c r="A15" s="391" t="str">
        <f t="shared" ref="A15:A33" si="0">IF(C15="","*","")</f>
        <v/>
      </c>
      <c r="B15" s="798"/>
      <c r="C15" s="799">
        <f>Geometry!D129</f>
        <v>2</v>
      </c>
      <c r="D15" s="1525">
        <f>IF(C15="","",Geometry!I129-ColSpa1)</f>
        <v>-7.3333333333333357</v>
      </c>
      <c r="E15" s="1525"/>
      <c r="F15" s="802"/>
      <c r="G15" s="802"/>
      <c r="H15" s="253">
        <f>'Conc DL'!Q32</f>
        <v>146.9425</v>
      </c>
      <c r="I15" s="253">
        <f>'Conc DL'!R32</f>
        <v>1.875</v>
      </c>
      <c r="J15" s="297">
        <f t="shared" ref="J15:J32" si="1">IF(D15="","",D15*H15)</f>
        <v>-1077.5783333333336</v>
      </c>
      <c r="K15" s="297">
        <f t="shared" ref="K15:K33" si="2">IF(D15="","",D15*I15)</f>
        <v>-13.750000000000004</v>
      </c>
      <c r="L15" s="398"/>
    </row>
    <row r="16" spans="1:13" ht="11.25" customHeight="1">
      <c r="A16" s="391" t="str">
        <f t="shared" si="0"/>
        <v/>
      </c>
      <c r="B16" s="798"/>
      <c r="C16" s="799">
        <f>Geometry!D130</f>
        <v>3</v>
      </c>
      <c r="D16" s="1525">
        <f>IF(C16="","",Geometry!I130-ColSpa1)</f>
        <v>7.3333333333333286</v>
      </c>
      <c r="E16" s="1525"/>
      <c r="F16" s="802"/>
      <c r="G16" s="802"/>
      <c r="H16" s="253">
        <f>'Conc DL'!Q33</f>
        <v>146.9425</v>
      </c>
      <c r="I16" s="253">
        <f>'Conc DL'!R33</f>
        <v>1.875</v>
      </c>
      <c r="J16" s="297">
        <f t="shared" si="1"/>
        <v>1077.5783333333327</v>
      </c>
      <c r="K16" s="297">
        <f t="shared" si="2"/>
        <v>13.749999999999991</v>
      </c>
      <c r="L16" s="398"/>
    </row>
    <row r="17" spans="1:12" ht="11.25" customHeight="1">
      <c r="A17" s="391" t="str">
        <f t="shared" si="0"/>
        <v/>
      </c>
      <c r="B17" s="798"/>
      <c r="C17" s="799">
        <f>Geometry!D131</f>
        <v>4</v>
      </c>
      <c r="D17" s="1525">
        <f>IF(C17="","",Geometry!I131-ColSpa1)</f>
        <v>21.999999999999993</v>
      </c>
      <c r="E17" s="1525"/>
      <c r="F17" s="802"/>
      <c r="G17" s="802"/>
      <c r="H17" s="253">
        <f>'Conc DL'!Q34</f>
        <v>122.77062500000001</v>
      </c>
      <c r="I17" s="253">
        <f>'Conc DL'!R34</f>
        <v>1.875</v>
      </c>
      <c r="J17" s="297">
        <f t="shared" si="1"/>
        <v>2700.9537499999992</v>
      </c>
      <c r="K17" s="297">
        <f t="shared" si="2"/>
        <v>41.249999999999986</v>
      </c>
      <c r="L17" s="398"/>
    </row>
    <row r="18" spans="1:12" ht="11.25" hidden="1" customHeight="1">
      <c r="A18" s="391" t="str">
        <f t="shared" si="0"/>
        <v>*</v>
      </c>
      <c r="B18" s="798"/>
      <c r="C18" s="799" t="str">
        <f>Geometry!D132</f>
        <v/>
      </c>
      <c r="D18" s="1525" t="str">
        <f>IF(C18="","",Geometry!I132-ColSpa1)</f>
        <v/>
      </c>
      <c r="E18" s="1525"/>
      <c r="F18" s="802"/>
      <c r="G18" s="802"/>
      <c r="H18" s="253" t="str">
        <f>'Conc DL'!Q35</f>
        <v/>
      </c>
      <c r="I18" s="253" t="str">
        <f>'Conc DL'!R35</f>
        <v/>
      </c>
      <c r="J18" s="297" t="str">
        <f t="shared" si="1"/>
        <v/>
      </c>
      <c r="K18" s="297" t="str">
        <f t="shared" si="2"/>
        <v/>
      </c>
      <c r="L18" s="398"/>
    </row>
    <row r="19" spans="1:12" ht="11.25" hidden="1" customHeight="1">
      <c r="A19" s="391" t="str">
        <f t="shared" si="0"/>
        <v>*</v>
      </c>
      <c r="B19" s="798"/>
      <c r="C19" s="799" t="str">
        <f>Geometry!D133</f>
        <v/>
      </c>
      <c r="D19" s="1525" t="str">
        <f>IF(C19="","",Geometry!I133-ColSpa1)</f>
        <v/>
      </c>
      <c r="E19" s="1525"/>
      <c r="F19" s="802"/>
      <c r="G19" s="802"/>
      <c r="H19" s="253" t="str">
        <f>'Conc DL'!Q36</f>
        <v/>
      </c>
      <c r="I19" s="253" t="str">
        <f>'Conc DL'!R36</f>
        <v/>
      </c>
      <c r="J19" s="297" t="str">
        <f t="shared" si="1"/>
        <v/>
      </c>
      <c r="K19" s="297" t="str">
        <f t="shared" si="2"/>
        <v/>
      </c>
      <c r="L19" s="398"/>
    </row>
    <row r="20" spans="1:12" ht="11.25" hidden="1" customHeight="1">
      <c r="A20" s="391" t="str">
        <f t="shared" si="0"/>
        <v>*</v>
      </c>
      <c r="B20" s="798"/>
      <c r="C20" s="799" t="str">
        <f>Geometry!D134</f>
        <v/>
      </c>
      <c r="D20" s="1525" t="str">
        <f>IF(C20="","",Geometry!I134-ColSpa1)</f>
        <v/>
      </c>
      <c r="E20" s="1525"/>
      <c r="F20" s="802"/>
      <c r="G20" s="802"/>
      <c r="H20" s="253" t="str">
        <f>'Conc DL'!Q37</f>
        <v/>
      </c>
      <c r="I20" s="253" t="str">
        <f>'Conc DL'!R37</f>
        <v/>
      </c>
      <c r="J20" s="297" t="str">
        <f t="shared" si="1"/>
        <v/>
      </c>
      <c r="K20" s="297" t="str">
        <f t="shared" si="2"/>
        <v/>
      </c>
      <c r="L20" s="398"/>
    </row>
    <row r="21" spans="1:12" ht="11.25" hidden="1" customHeight="1">
      <c r="A21" s="391" t="str">
        <f t="shared" si="0"/>
        <v>*</v>
      </c>
      <c r="B21" s="798"/>
      <c r="C21" s="799" t="str">
        <f>Geometry!D135</f>
        <v/>
      </c>
      <c r="D21" s="1525" t="str">
        <f>IF(C21="","",Geometry!I135-ColSpa1)</f>
        <v/>
      </c>
      <c r="E21" s="1525"/>
      <c r="F21" s="802"/>
      <c r="G21" s="802"/>
      <c r="H21" s="253" t="str">
        <f>'Conc DL'!Q38</f>
        <v/>
      </c>
      <c r="I21" s="253" t="str">
        <f>'Conc DL'!R38</f>
        <v/>
      </c>
      <c r="J21" s="297" t="str">
        <f t="shared" si="1"/>
        <v/>
      </c>
      <c r="K21" s="297" t="str">
        <f t="shared" si="2"/>
        <v/>
      </c>
      <c r="L21" s="398"/>
    </row>
    <row r="22" spans="1:12" ht="11.25" hidden="1" customHeight="1">
      <c r="A22" s="391" t="str">
        <f t="shared" si="0"/>
        <v>*</v>
      </c>
      <c r="B22" s="798"/>
      <c r="C22" s="799" t="str">
        <f>Geometry!D136</f>
        <v/>
      </c>
      <c r="D22" s="1525" t="str">
        <f>IF(C22="","",Geometry!I136-ColSpa1)</f>
        <v/>
      </c>
      <c r="E22" s="1525"/>
      <c r="F22" s="802"/>
      <c r="G22" s="802"/>
      <c r="H22" s="253" t="str">
        <f>'Conc DL'!Q39</f>
        <v/>
      </c>
      <c r="I22" s="253" t="str">
        <f>'Conc DL'!R39</f>
        <v/>
      </c>
      <c r="J22" s="297" t="str">
        <f t="shared" si="1"/>
        <v/>
      </c>
      <c r="K22" s="297" t="str">
        <f t="shared" si="2"/>
        <v/>
      </c>
      <c r="L22" s="398"/>
    </row>
    <row r="23" spans="1:12" ht="11.25" hidden="1" customHeight="1">
      <c r="A23" s="391" t="str">
        <f t="shared" si="0"/>
        <v>*</v>
      </c>
      <c r="B23" s="798"/>
      <c r="C23" s="799" t="str">
        <f>Geometry!D137</f>
        <v/>
      </c>
      <c r="D23" s="1525" t="str">
        <f>IF(C23="","",Geometry!I137-ColSpa1)</f>
        <v/>
      </c>
      <c r="E23" s="1525"/>
      <c r="F23" s="802"/>
      <c r="G23" s="802"/>
      <c r="H23" s="253" t="str">
        <f>'Conc DL'!Q40</f>
        <v/>
      </c>
      <c r="I23" s="253" t="str">
        <f>'Conc DL'!R40</f>
        <v/>
      </c>
      <c r="J23" s="297" t="str">
        <f t="shared" si="1"/>
        <v/>
      </c>
      <c r="K23" s="297" t="str">
        <f t="shared" si="2"/>
        <v/>
      </c>
      <c r="L23" s="398"/>
    </row>
    <row r="24" spans="1:12" ht="11.25" hidden="1" customHeight="1">
      <c r="A24" s="391" t="str">
        <f t="shared" si="0"/>
        <v>*</v>
      </c>
      <c r="B24" s="798"/>
      <c r="C24" s="799" t="str">
        <f>Geometry!D138</f>
        <v/>
      </c>
      <c r="D24" s="1525" t="str">
        <f>IF(C24="","",Geometry!I138-ColSpa1)</f>
        <v/>
      </c>
      <c r="E24" s="1525"/>
      <c r="F24" s="802"/>
      <c r="G24" s="802"/>
      <c r="H24" s="253" t="str">
        <f>'Conc DL'!Q41</f>
        <v/>
      </c>
      <c r="I24" s="253" t="str">
        <f>'Conc DL'!R41</f>
        <v/>
      </c>
      <c r="J24" s="297" t="str">
        <f t="shared" si="1"/>
        <v/>
      </c>
      <c r="K24" s="297" t="str">
        <f t="shared" si="2"/>
        <v/>
      </c>
      <c r="L24" s="398"/>
    </row>
    <row r="25" spans="1:12" ht="11.25" hidden="1" customHeight="1">
      <c r="A25" s="391" t="str">
        <f t="shared" si="0"/>
        <v>*</v>
      </c>
      <c r="B25" s="798"/>
      <c r="C25" s="799" t="str">
        <f>Geometry!D139</f>
        <v/>
      </c>
      <c r="D25" s="1525" t="str">
        <f>IF(C25="","",Geometry!I139-ColSpa1)</f>
        <v/>
      </c>
      <c r="E25" s="1525"/>
      <c r="F25" s="802"/>
      <c r="G25" s="802"/>
      <c r="H25" s="253" t="str">
        <f>'Conc DL'!Q42</f>
        <v/>
      </c>
      <c r="I25" s="253" t="str">
        <f>'Conc DL'!R42</f>
        <v/>
      </c>
      <c r="J25" s="297" t="str">
        <f t="shared" si="1"/>
        <v/>
      </c>
      <c r="K25" s="297" t="str">
        <f t="shared" si="2"/>
        <v/>
      </c>
      <c r="L25" s="398"/>
    </row>
    <row r="26" spans="1:12" ht="11.25" hidden="1" customHeight="1">
      <c r="A26" s="391" t="str">
        <f t="shared" si="0"/>
        <v>*</v>
      </c>
      <c r="B26" s="798"/>
      <c r="C26" s="799" t="str">
        <f>Geometry!D140</f>
        <v/>
      </c>
      <c r="D26" s="1525" t="str">
        <f>IF(C26="","",Geometry!I140-ColSpa1)</f>
        <v/>
      </c>
      <c r="E26" s="1525"/>
      <c r="F26" s="802"/>
      <c r="G26" s="802"/>
      <c r="H26" s="253" t="str">
        <f>'Conc DL'!Q43</f>
        <v/>
      </c>
      <c r="I26" s="253" t="str">
        <f>'Conc DL'!R43</f>
        <v/>
      </c>
      <c r="J26" s="297" t="str">
        <f t="shared" si="1"/>
        <v/>
      </c>
      <c r="K26" s="297" t="str">
        <f t="shared" si="2"/>
        <v/>
      </c>
      <c r="L26" s="398"/>
    </row>
    <row r="27" spans="1:12" ht="11.25" hidden="1" customHeight="1">
      <c r="A27" s="391" t="str">
        <f t="shared" si="0"/>
        <v>*</v>
      </c>
      <c r="B27" s="798"/>
      <c r="C27" s="799" t="str">
        <f>Geometry!D141</f>
        <v/>
      </c>
      <c r="D27" s="1525" t="str">
        <f>IF(C27="","",Geometry!I141-ColSpa1)</f>
        <v/>
      </c>
      <c r="E27" s="1525"/>
      <c r="F27" s="802"/>
      <c r="G27" s="802"/>
      <c r="H27" s="253" t="str">
        <f>'Conc DL'!Q44</f>
        <v/>
      </c>
      <c r="I27" s="253" t="str">
        <f>'Conc DL'!R44</f>
        <v/>
      </c>
      <c r="J27" s="297" t="str">
        <f t="shared" si="1"/>
        <v/>
      </c>
      <c r="K27" s="297" t="str">
        <f t="shared" si="2"/>
        <v/>
      </c>
      <c r="L27" s="398"/>
    </row>
    <row r="28" spans="1:12" ht="11.25" hidden="1" customHeight="1">
      <c r="A28" s="391" t="str">
        <f t="shared" si="0"/>
        <v>*</v>
      </c>
      <c r="B28" s="798"/>
      <c r="C28" s="799" t="str">
        <f>Geometry!D142</f>
        <v/>
      </c>
      <c r="D28" s="1525" t="str">
        <f>IF(C28="","",Geometry!I142-ColSpa1)</f>
        <v/>
      </c>
      <c r="E28" s="1525"/>
      <c r="F28" s="802"/>
      <c r="G28" s="802"/>
      <c r="H28" s="253" t="str">
        <f>'Conc DL'!Q45</f>
        <v/>
      </c>
      <c r="I28" s="253" t="str">
        <f>'Conc DL'!R45</f>
        <v/>
      </c>
      <c r="J28" s="297" t="str">
        <f t="shared" si="1"/>
        <v/>
      </c>
      <c r="K28" s="297" t="str">
        <f t="shared" si="2"/>
        <v/>
      </c>
      <c r="L28" s="398"/>
    </row>
    <row r="29" spans="1:12" ht="11.25" hidden="1" customHeight="1">
      <c r="A29" s="391" t="str">
        <f t="shared" si="0"/>
        <v>*</v>
      </c>
      <c r="B29" s="798"/>
      <c r="C29" s="799" t="str">
        <f>Geometry!D143</f>
        <v/>
      </c>
      <c r="D29" s="1525" t="str">
        <f>IF(C29="","",Geometry!I143-ColSpa1)</f>
        <v/>
      </c>
      <c r="E29" s="1525"/>
      <c r="F29" s="802"/>
      <c r="G29" s="802"/>
      <c r="H29" s="253" t="str">
        <f>'Conc DL'!Q46</f>
        <v/>
      </c>
      <c r="I29" s="253" t="str">
        <f>'Conc DL'!R46</f>
        <v/>
      </c>
      <c r="J29" s="297" t="str">
        <f t="shared" si="1"/>
        <v/>
      </c>
      <c r="K29" s="297" t="str">
        <f t="shared" si="2"/>
        <v/>
      </c>
      <c r="L29" s="398"/>
    </row>
    <row r="30" spans="1:12" ht="11.25" hidden="1" customHeight="1">
      <c r="A30" s="391" t="str">
        <f t="shared" si="0"/>
        <v>*</v>
      </c>
      <c r="B30" s="798"/>
      <c r="C30" s="799" t="str">
        <f>Geometry!D144</f>
        <v/>
      </c>
      <c r="D30" s="1525" t="str">
        <f>IF(C30="","",Geometry!I144-ColSpa1)</f>
        <v/>
      </c>
      <c r="E30" s="1525"/>
      <c r="F30" s="802"/>
      <c r="G30" s="802"/>
      <c r="H30" s="253" t="str">
        <f>'Conc DL'!Q47</f>
        <v/>
      </c>
      <c r="I30" s="253" t="str">
        <f>'Conc DL'!R47</f>
        <v/>
      </c>
      <c r="J30" s="297" t="str">
        <f t="shared" si="1"/>
        <v/>
      </c>
      <c r="K30" s="297" t="str">
        <f t="shared" si="2"/>
        <v/>
      </c>
      <c r="L30" s="398"/>
    </row>
    <row r="31" spans="1:12" ht="11.25" hidden="1" customHeight="1">
      <c r="A31" s="391" t="str">
        <f t="shared" si="0"/>
        <v>*</v>
      </c>
      <c r="B31" s="798"/>
      <c r="C31" s="799" t="str">
        <f>Geometry!D145</f>
        <v/>
      </c>
      <c r="D31" s="1525" t="str">
        <f>IF(C31="","",Geometry!I145-ColSpa1)</f>
        <v/>
      </c>
      <c r="E31" s="1525"/>
      <c r="F31" s="802"/>
      <c r="G31" s="802"/>
      <c r="H31" s="253" t="str">
        <f>'Conc DL'!Q48</f>
        <v/>
      </c>
      <c r="I31" s="253" t="str">
        <f>'Conc DL'!R48</f>
        <v/>
      </c>
      <c r="J31" s="297" t="str">
        <f t="shared" si="1"/>
        <v/>
      </c>
      <c r="K31" s="297" t="str">
        <f t="shared" si="2"/>
        <v/>
      </c>
      <c r="L31" s="398"/>
    </row>
    <row r="32" spans="1:12" ht="11.25" hidden="1" customHeight="1">
      <c r="A32" s="391" t="str">
        <f t="shared" si="0"/>
        <v>*</v>
      </c>
      <c r="B32" s="798"/>
      <c r="C32" s="799" t="str">
        <f>Geometry!D146</f>
        <v/>
      </c>
      <c r="D32" s="1525" t="str">
        <f>IF(C32="","",Geometry!I146-ColSpa1)</f>
        <v/>
      </c>
      <c r="E32" s="1525"/>
      <c r="F32" s="802"/>
      <c r="G32" s="802"/>
      <c r="H32" s="253" t="str">
        <f>'Conc DL'!Q49</f>
        <v/>
      </c>
      <c r="I32" s="253" t="str">
        <f>'Conc DL'!R49</f>
        <v/>
      </c>
      <c r="J32" s="297" t="str">
        <f t="shared" si="1"/>
        <v/>
      </c>
      <c r="K32" s="297" t="str">
        <f t="shared" si="2"/>
        <v/>
      </c>
      <c r="L32" s="398"/>
    </row>
    <row r="33" spans="1:12" ht="11.25" hidden="1" customHeight="1">
      <c r="A33" s="391" t="str">
        <f t="shared" si="0"/>
        <v>*</v>
      </c>
      <c r="B33" s="798"/>
      <c r="C33" s="803" t="str">
        <f>Geometry!D147</f>
        <v/>
      </c>
      <c r="D33" s="1524" t="str">
        <f>IF(C33="","",Geometry!I147-ColSpa1)</f>
        <v/>
      </c>
      <c r="E33" s="1524"/>
      <c r="F33" s="805"/>
      <c r="G33" s="805"/>
      <c r="H33" s="261" t="str">
        <f>'Conc DL'!Q50</f>
        <v/>
      </c>
      <c r="I33" s="261" t="str">
        <f>'Conc DL'!R50</f>
        <v/>
      </c>
      <c r="J33" s="297" t="str">
        <f>IF(D33="","",D33*H33)</f>
        <v/>
      </c>
      <c r="K33" s="297" t="str">
        <f t="shared" si="2"/>
        <v/>
      </c>
      <c r="L33" s="398"/>
    </row>
    <row r="34" spans="1:12">
      <c r="A34" s="358" t="s">
        <v>1118</v>
      </c>
      <c r="B34" s="798"/>
      <c r="C34" s="821"/>
      <c r="D34" s="819"/>
      <c r="E34" s="819"/>
      <c r="F34" s="819"/>
      <c r="G34" s="820" t="s">
        <v>991</v>
      </c>
      <c r="H34" s="807">
        <f>SUM(H14:H33)</f>
        <v>527.47625000000005</v>
      </c>
      <c r="I34" s="807">
        <f>SUM(I14:I33)</f>
        <v>7.5</v>
      </c>
      <c r="J34" s="808">
        <f>SUM(J14:J33)</f>
        <v>262.89999999999827</v>
      </c>
      <c r="K34" s="808">
        <f>SUM(K14:K33)</f>
        <v>0</v>
      </c>
      <c r="L34" s="1129" t="s">
        <v>808</v>
      </c>
    </row>
    <row r="35" spans="1:12">
      <c r="B35" s="798"/>
      <c r="C35" s="799"/>
      <c r="D35" s="800"/>
      <c r="E35" s="800"/>
      <c r="F35" s="800"/>
      <c r="G35" s="806"/>
      <c r="H35" s="253"/>
      <c r="I35" s="253"/>
      <c r="J35" s="254"/>
      <c r="K35" s="254"/>
      <c r="L35" s="398"/>
    </row>
    <row r="36" spans="1:12">
      <c r="B36" s="677" t="s">
        <v>267</v>
      </c>
      <c r="C36" s="290"/>
      <c r="D36" s="809"/>
      <c r="E36" s="810"/>
      <c r="F36" s="290"/>
      <c r="G36" s="290"/>
      <c r="H36" s="734" t="s">
        <v>990</v>
      </c>
      <c r="I36" s="793">
        <f>Geometry!G151</f>
        <v>4</v>
      </c>
      <c r="J36" s="256"/>
      <c r="K36" s="256"/>
      <c r="L36" s="338"/>
    </row>
    <row r="37" spans="1:12" ht="15.75" customHeight="1">
      <c r="B37" s="42"/>
      <c r="C37" s="42"/>
      <c r="D37" s="1527" t="s">
        <v>1075</v>
      </c>
      <c r="E37" s="1527"/>
      <c r="F37" s="795"/>
      <c r="G37" s="795"/>
      <c r="H37" s="795"/>
      <c r="I37" s="796"/>
      <c r="J37" s="1526" t="s">
        <v>993</v>
      </c>
      <c r="K37" s="1526"/>
      <c r="L37" s="349"/>
    </row>
    <row r="38" spans="1:12">
      <c r="B38" s="42"/>
      <c r="C38" s="66" t="s">
        <v>263</v>
      </c>
      <c r="D38" s="1528"/>
      <c r="E38" s="1528"/>
      <c r="F38" s="797"/>
      <c r="G38" s="797"/>
      <c r="H38" s="66" t="s">
        <v>721</v>
      </c>
      <c r="I38" s="66" t="s">
        <v>890</v>
      </c>
      <c r="J38" s="66" t="s">
        <v>721</v>
      </c>
      <c r="K38" s="66" t="s">
        <v>890</v>
      </c>
      <c r="L38" s="349"/>
    </row>
    <row r="39" spans="1:12" ht="11.25" customHeight="1">
      <c r="A39" s="391" t="str">
        <f>IF(C39="","*","")</f>
        <v/>
      </c>
      <c r="B39" s="798"/>
      <c r="C39" s="811">
        <f>Geometry!D156</f>
        <v>1</v>
      </c>
      <c r="D39" s="1525">
        <f>IF(C39="","",Geometry!I156-ColSpa1)</f>
        <v>-22</v>
      </c>
      <c r="E39" s="1525"/>
      <c r="F39" s="801"/>
      <c r="G39" s="801"/>
      <c r="H39" s="253">
        <f>'Conc DL'!Q82</f>
        <v>133.02875</v>
      </c>
      <c r="I39" s="253">
        <f>'Conc DL'!R82</f>
        <v>2.25</v>
      </c>
      <c r="J39" s="297">
        <f>IF(D39="","",D39*H39)</f>
        <v>-2926.6325000000002</v>
      </c>
      <c r="K39" s="297">
        <f>IF(D39="","",D39*I39)</f>
        <v>-49.5</v>
      </c>
      <c r="L39" s="1129" t="s">
        <v>824</v>
      </c>
    </row>
    <row r="40" spans="1:12" ht="11.25" customHeight="1">
      <c r="A40" s="391" t="str">
        <f t="shared" ref="A40:A58" si="3">IF(C40="","*","")</f>
        <v/>
      </c>
      <c r="B40" s="798"/>
      <c r="C40" s="811">
        <f>Geometry!D157</f>
        <v>2</v>
      </c>
      <c r="D40" s="1525">
        <f>IF(C40="","",Geometry!I157-ColSpa1)</f>
        <v>-7.3333333333333357</v>
      </c>
      <c r="E40" s="1525"/>
      <c r="F40" s="802"/>
      <c r="G40" s="802"/>
      <c r="H40" s="253">
        <f>'Conc DL'!Q83</f>
        <v>172.79</v>
      </c>
      <c r="I40" s="253">
        <f>'Conc DL'!R83</f>
        <v>2.25</v>
      </c>
      <c r="J40" s="297">
        <f t="shared" ref="J40:J58" si="4">IF(D40="","",D40*H40)</f>
        <v>-1267.126666666667</v>
      </c>
      <c r="K40" s="297">
        <f t="shared" ref="K40:K58" si="5">IF(D40="","",D40*I40)</f>
        <v>-16.500000000000007</v>
      </c>
      <c r="L40" s="398"/>
    </row>
    <row r="41" spans="1:12" ht="11.25" customHeight="1">
      <c r="A41" s="391" t="str">
        <f t="shared" si="3"/>
        <v/>
      </c>
      <c r="B41" s="798"/>
      <c r="C41" s="811">
        <f>Geometry!D158</f>
        <v>3</v>
      </c>
      <c r="D41" s="1525">
        <f>IF(C41="","",Geometry!I158-ColSpa1)</f>
        <v>7.3333333333333286</v>
      </c>
      <c r="E41" s="1525"/>
      <c r="F41" s="802"/>
      <c r="G41" s="802"/>
      <c r="H41" s="253">
        <f>'Conc DL'!Q84</f>
        <v>172.79</v>
      </c>
      <c r="I41" s="253">
        <f>'Conc DL'!R84</f>
        <v>2.25</v>
      </c>
      <c r="J41" s="297">
        <f t="shared" si="4"/>
        <v>1267.1266666666659</v>
      </c>
      <c r="K41" s="297">
        <f t="shared" si="5"/>
        <v>16.499999999999989</v>
      </c>
      <c r="L41" s="398"/>
    </row>
    <row r="42" spans="1:12" ht="11.25" customHeight="1">
      <c r="A42" s="391" t="str">
        <f t="shared" si="3"/>
        <v/>
      </c>
      <c r="B42" s="798"/>
      <c r="C42" s="811">
        <f>Geometry!D159</f>
        <v>4</v>
      </c>
      <c r="D42" s="1525">
        <f>IF(C42="","",Geometry!I159-ColSpa1)</f>
        <v>21.999999999999993</v>
      </c>
      <c r="E42" s="1525"/>
      <c r="F42" s="802"/>
      <c r="G42" s="802"/>
      <c r="H42" s="253">
        <f>'Conc DL'!Q85</f>
        <v>143.78375</v>
      </c>
      <c r="I42" s="253">
        <f>'Conc DL'!R85</f>
        <v>2.25</v>
      </c>
      <c r="J42" s="297">
        <f t="shared" si="4"/>
        <v>3163.2424999999989</v>
      </c>
      <c r="K42" s="297">
        <f t="shared" si="5"/>
        <v>49.499999999999986</v>
      </c>
      <c r="L42" s="398"/>
    </row>
    <row r="43" spans="1:12" ht="11.25" hidden="1" customHeight="1">
      <c r="A43" s="391" t="str">
        <f t="shared" si="3"/>
        <v>*</v>
      </c>
      <c r="B43" s="798"/>
      <c r="C43" s="811" t="str">
        <f>Geometry!D160</f>
        <v/>
      </c>
      <c r="D43" s="1525" t="str">
        <f>IF(C43="","",Geometry!I160-ColSpa1)</f>
        <v/>
      </c>
      <c r="E43" s="1525"/>
      <c r="F43" s="802"/>
      <c r="G43" s="802"/>
      <c r="H43" s="253" t="str">
        <f>'Conc DL'!Q86</f>
        <v/>
      </c>
      <c r="I43" s="253" t="str">
        <f>'Conc DL'!R86</f>
        <v/>
      </c>
      <c r="J43" s="297" t="str">
        <f t="shared" si="4"/>
        <v/>
      </c>
      <c r="K43" s="297" t="str">
        <f t="shared" si="5"/>
        <v/>
      </c>
      <c r="L43" s="398"/>
    </row>
    <row r="44" spans="1:12" ht="11.25" hidden="1" customHeight="1">
      <c r="A44" s="391" t="str">
        <f t="shared" si="3"/>
        <v>*</v>
      </c>
      <c r="B44" s="798"/>
      <c r="C44" s="811" t="str">
        <f>Geometry!D161</f>
        <v/>
      </c>
      <c r="D44" s="1525" t="str">
        <f>IF(C44="","",Geometry!I161-ColSpa1)</f>
        <v/>
      </c>
      <c r="E44" s="1525"/>
      <c r="F44" s="802"/>
      <c r="G44" s="802"/>
      <c r="H44" s="253" t="str">
        <f>'Conc DL'!Q87</f>
        <v/>
      </c>
      <c r="I44" s="253" t="str">
        <f>'Conc DL'!R87</f>
        <v/>
      </c>
      <c r="J44" s="297" t="str">
        <f t="shared" si="4"/>
        <v/>
      </c>
      <c r="K44" s="297" t="str">
        <f t="shared" si="5"/>
        <v/>
      </c>
      <c r="L44" s="398"/>
    </row>
    <row r="45" spans="1:12" ht="11.25" hidden="1" customHeight="1">
      <c r="A45" s="391" t="str">
        <f t="shared" si="3"/>
        <v>*</v>
      </c>
      <c r="B45" s="798"/>
      <c r="C45" s="811" t="str">
        <f>Geometry!D162</f>
        <v/>
      </c>
      <c r="D45" s="1525" t="str">
        <f>IF(C45="","",Geometry!I162-ColSpa1)</f>
        <v/>
      </c>
      <c r="E45" s="1525"/>
      <c r="F45" s="802"/>
      <c r="G45" s="802"/>
      <c r="H45" s="253" t="str">
        <f>'Conc DL'!Q88</f>
        <v/>
      </c>
      <c r="I45" s="253" t="str">
        <f>'Conc DL'!R88</f>
        <v/>
      </c>
      <c r="J45" s="297" t="str">
        <f t="shared" si="4"/>
        <v/>
      </c>
      <c r="K45" s="297" t="str">
        <f t="shared" si="5"/>
        <v/>
      </c>
      <c r="L45" s="398"/>
    </row>
    <row r="46" spans="1:12" ht="11.25" hidden="1" customHeight="1">
      <c r="A46" s="391" t="str">
        <f t="shared" si="3"/>
        <v>*</v>
      </c>
      <c r="B46" s="798"/>
      <c r="C46" s="811" t="str">
        <f>Geometry!D163</f>
        <v/>
      </c>
      <c r="D46" s="1525" t="str">
        <f>IF(C46="","",Geometry!I163-ColSpa1)</f>
        <v/>
      </c>
      <c r="E46" s="1525"/>
      <c r="F46" s="802"/>
      <c r="G46" s="802"/>
      <c r="H46" s="253" t="str">
        <f>'Conc DL'!Q89</f>
        <v/>
      </c>
      <c r="I46" s="253" t="str">
        <f>'Conc DL'!R89</f>
        <v/>
      </c>
      <c r="J46" s="297" t="str">
        <f t="shared" si="4"/>
        <v/>
      </c>
      <c r="K46" s="297" t="str">
        <f t="shared" si="5"/>
        <v/>
      </c>
      <c r="L46" s="398"/>
    </row>
    <row r="47" spans="1:12" ht="11.25" hidden="1" customHeight="1">
      <c r="A47" s="391" t="str">
        <f t="shared" si="3"/>
        <v>*</v>
      </c>
      <c r="B47" s="798"/>
      <c r="C47" s="811" t="str">
        <f>Geometry!D164</f>
        <v/>
      </c>
      <c r="D47" s="1525" t="str">
        <f>IF(C47="","",Geometry!I164-ColSpa1)</f>
        <v/>
      </c>
      <c r="E47" s="1525"/>
      <c r="F47" s="802"/>
      <c r="G47" s="802"/>
      <c r="H47" s="253" t="str">
        <f>'Conc DL'!Q90</f>
        <v/>
      </c>
      <c r="I47" s="253" t="str">
        <f>'Conc DL'!R90</f>
        <v/>
      </c>
      <c r="J47" s="297" t="str">
        <f t="shared" si="4"/>
        <v/>
      </c>
      <c r="K47" s="297" t="str">
        <f t="shared" si="5"/>
        <v/>
      </c>
      <c r="L47" s="398"/>
    </row>
    <row r="48" spans="1:12" ht="11.25" hidden="1" customHeight="1">
      <c r="A48" s="391" t="str">
        <f t="shared" si="3"/>
        <v>*</v>
      </c>
      <c r="B48" s="798"/>
      <c r="C48" s="811" t="str">
        <f>Geometry!D165</f>
        <v/>
      </c>
      <c r="D48" s="1525" t="str">
        <f>IF(C48="","",Geometry!I165-ColSpa1)</f>
        <v/>
      </c>
      <c r="E48" s="1525"/>
      <c r="F48" s="800"/>
      <c r="G48" s="800"/>
      <c r="H48" s="253" t="str">
        <f>'Conc DL'!Q91</f>
        <v/>
      </c>
      <c r="I48" s="253" t="str">
        <f>'Conc DL'!R91</f>
        <v/>
      </c>
      <c r="J48" s="297" t="str">
        <f t="shared" si="4"/>
        <v/>
      </c>
      <c r="K48" s="297" t="str">
        <f t="shared" si="5"/>
        <v/>
      </c>
      <c r="L48" s="398"/>
    </row>
    <row r="49" spans="1:12" ht="11.25" hidden="1" customHeight="1">
      <c r="A49" s="391" t="str">
        <f t="shared" si="3"/>
        <v>*</v>
      </c>
      <c r="B49" s="798"/>
      <c r="C49" s="811" t="str">
        <f>Geometry!D166</f>
        <v/>
      </c>
      <c r="D49" s="1525" t="str">
        <f>IF(C49="","",Geometry!I166-ColSpa1)</f>
        <v/>
      </c>
      <c r="E49" s="1525"/>
      <c r="F49" s="800"/>
      <c r="G49" s="800"/>
      <c r="H49" s="253" t="str">
        <f>'Conc DL'!Q92</f>
        <v/>
      </c>
      <c r="I49" s="253" t="str">
        <f>'Conc DL'!R92</f>
        <v/>
      </c>
      <c r="J49" s="297" t="str">
        <f t="shared" si="4"/>
        <v/>
      </c>
      <c r="K49" s="297" t="str">
        <f t="shared" si="5"/>
        <v/>
      </c>
      <c r="L49" s="398"/>
    </row>
    <row r="50" spans="1:12" ht="11.25" hidden="1" customHeight="1">
      <c r="A50" s="391" t="str">
        <f t="shared" si="3"/>
        <v>*</v>
      </c>
      <c r="B50" s="798"/>
      <c r="C50" s="811" t="str">
        <f>Geometry!D167</f>
        <v/>
      </c>
      <c r="D50" s="1525" t="str">
        <f>IF(C50="","",Geometry!I167-ColSpa1)</f>
        <v/>
      </c>
      <c r="E50" s="1525"/>
      <c r="F50" s="800"/>
      <c r="G50" s="800"/>
      <c r="H50" s="253" t="str">
        <f>'Conc DL'!Q93</f>
        <v/>
      </c>
      <c r="I50" s="253" t="str">
        <f>'Conc DL'!R93</f>
        <v/>
      </c>
      <c r="J50" s="297" t="str">
        <f t="shared" si="4"/>
        <v/>
      </c>
      <c r="K50" s="297" t="str">
        <f t="shared" si="5"/>
        <v/>
      </c>
      <c r="L50" s="398"/>
    </row>
    <row r="51" spans="1:12" ht="11.25" hidden="1" customHeight="1">
      <c r="A51" s="391" t="str">
        <f t="shared" si="3"/>
        <v>*</v>
      </c>
      <c r="B51" s="798"/>
      <c r="C51" s="811" t="str">
        <f>Geometry!D168</f>
        <v/>
      </c>
      <c r="D51" s="1525" t="str">
        <f>IF(C51="","",Geometry!I168-ColSpa1)</f>
        <v/>
      </c>
      <c r="E51" s="1525"/>
      <c r="F51" s="800"/>
      <c r="G51" s="800"/>
      <c r="H51" s="253" t="str">
        <f>'Conc DL'!Q94</f>
        <v/>
      </c>
      <c r="I51" s="253" t="str">
        <f>'Conc DL'!R94</f>
        <v/>
      </c>
      <c r="J51" s="297" t="str">
        <f t="shared" si="4"/>
        <v/>
      </c>
      <c r="K51" s="297" t="str">
        <f t="shared" si="5"/>
        <v/>
      </c>
      <c r="L51" s="398"/>
    </row>
    <row r="52" spans="1:12" ht="11.25" hidden="1" customHeight="1">
      <c r="A52" s="391" t="str">
        <f t="shared" si="3"/>
        <v>*</v>
      </c>
      <c r="B52" s="798"/>
      <c r="C52" s="811" t="str">
        <f>Geometry!D169</f>
        <v/>
      </c>
      <c r="D52" s="1525" t="str">
        <f>IF(C52="","",Geometry!I169-ColSpa1)</f>
        <v/>
      </c>
      <c r="E52" s="1525"/>
      <c r="F52" s="800"/>
      <c r="G52" s="800"/>
      <c r="H52" s="253" t="str">
        <f>'Conc DL'!Q95</f>
        <v/>
      </c>
      <c r="I52" s="253" t="str">
        <f>'Conc DL'!R95</f>
        <v/>
      </c>
      <c r="J52" s="297" t="str">
        <f t="shared" si="4"/>
        <v/>
      </c>
      <c r="K52" s="297" t="str">
        <f t="shared" si="5"/>
        <v/>
      </c>
      <c r="L52" s="398"/>
    </row>
    <row r="53" spans="1:12" ht="11.25" hidden="1" customHeight="1">
      <c r="A53" s="391" t="str">
        <f t="shared" si="3"/>
        <v>*</v>
      </c>
      <c r="B53" s="798"/>
      <c r="C53" s="811" t="str">
        <f>Geometry!D170</f>
        <v/>
      </c>
      <c r="D53" s="1525" t="str">
        <f>IF(C53="","",Geometry!I170-ColSpa1)</f>
        <v/>
      </c>
      <c r="E53" s="1525"/>
      <c r="F53" s="800"/>
      <c r="G53" s="800"/>
      <c r="H53" s="253" t="str">
        <f>'Conc DL'!Q96</f>
        <v/>
      </c>
      <c r="I53" s="253" t="str">
        <f>'Conc DL'!R96</f>
        <v/>
      </c>
      <c r="J53" s="297" t="str">
        <f t="shared" si="4"/>
        <v/>
      </c>
      <c r="K53" s="297" t="str">
        <f t="shared" si="5"/>
        <v/>
      </c>
      <c r="L53" s="398"/>
    </row>
    <row r="54" spans="1:12" ht="11.25" hidden="1" customHeight="1">
      <c r="A54" s="391" t="str">
        <f t="shared" si="3"/>
        <v>*</v>
      </c>
      <c r="B54" s="798"/>
      <c r="C54" s="811" t="str">
        <f>Geometry!D171</f>
        <v/>
      </c>
      <c r="D54" s="1525" t="str">
        <f>IF(C54="","",Geometry!I171-ColSpa1)</f>
        <v/>
      </c>
      <c r="E54" s="1525"/>
      <c r="F54" s="800"/>
      <c r="G54" s="800"/>
      <c r="H54" s="253" t="str">
        <f>'Conc DL'!Q97</f>
        <v/>
      </c>
      <c r="I54" s="253" t="str">
        <f>'Conc DL'!R97</f>
        <v/>
      </c>
      <c r="J54" s="297" t="str">
        <f t="shared" si="4"/>
        <v/>
      </c>
      <c r="K54" s="297" t="str">
        <f t="shared" si="5"/>
        <v/>
      </c>
      <c r="L54" s="398"/>
    </row>
    <row r="55" spans="1:12" ht="11.25" hidden="1" customHeight="1">
      <c r="A55" s="391" t="str">
        <f t="shared" si="3"/>
        <v>*</v>
      </c>
      <c r="B55" s="798"/>
      <c r="C55" s="811" t="str">
        <f>Geometry!D172</f>
        <v/>
      </c>
      <c r="D55" s="1525" t="str">
        <f>IF(C55="","",Geometry!I172-ColSpa1)</f>
        <v/>
      </c>
      <c r="E55" s="1525"/>
      <c r="F55" s="800"/>
      <c r="G55" s="800"/>
      <c r="H55" s="253" t="str">
        <f>'Conc DL'!Q98</f>
        <v/>
      </c>
      <c r="I55" s="253" t="str">
        <f>'Conc DL'!R98</f>
        <v/>
      </c>
      <c r="J55" s="297" t="str">
        <f t="shared" si="4"/>
        <v/>
      </c>
      <c r="K55" s="297" t="str">
        <f t="shared" si="5"/>
        <v/>
      </c>
      <c r="L55" s="398"/>
    </row>
    <row r="56" spans="1:12" ht="11.25" hidden="1" customHeight="1">
      <c r="A56" s="391" t="str">
        <f t="shared" si="3"/>
        <v>*</v>
      </c>
      <c r="B56" s="798"/>
      <c r="C56" s="811" t="str">
        <f>Geometry!D173</f>
        <v/>
      </c>
      <c r="D56" s="1525" t="str">
        <f>IF(C56="","",Geometry!I173-ColSpa1)</f>
        <v/>
      </c>
      <c r="E56" s="1525"/>
      <c r="F56" s="800"/>
      <c r="G56" s="800"/>
      <c r="H56" s="253" t="str">
        <f>'Conc DL'!Q99</f>
        <v/>
      </c>
      <c r="I56" s="253" t="str">
        <f>'Conc DL'!R99</f>
        <v/>
      </c>
      <c r="J56" s="297" t="str">
        <f t="shared" si="4"/>
        <v/>
      </c>
      <c r="K56" s="297" t="str">
        <f t="shared" si="5"/>
        <v/>
      </c>
      <c r="L56" s="398"/>
    </row>
    <row r="57" spans="1:12" ht="11.25" hidden="1" customHeight="1">
      <c r="A57" s="391" t="str">
        <f t="shared" si="3"/>
        <v>*</v>
      </c>
      <c r="B57" s="798"/>
      <c r="C57" s="811" t="str">
        <f>Geometry!D174</f>
        <v/>
      </c>
      <c r="D57" s="1525" t="str">
        <f>IF(C57="","",Geometry!I174-ColSpa1)</f>
        <v/>
      </c>
      <c r="E57" s="1525"/>
      <c r="F57" s="800"/>
      <c r="G57" s="800"/>
      <c r="H57" s="253" t="str">
        <f>'Conc DL'!Q100</f>
        <v/>
      </c>
      <c r="I57" s="253" t="str">
        <f>'Conc DL'!R100</f>
        <v/>
      </c>
      <c r="J57" s="297" t="str">
        <f t="shared" si="4"/>
        <v/>
      </c>
      <c r="K57" s="297" t="str">
        <f t="shared" si="5"/>
        <v/>
      </c>
      <c r="L57" s="398"/>
    </row>
    <row r="58" spans="1:12" ht="11.25" hidden="1" customHeight="1">
      <c r="A58" s="391" t="str">
        <f t="shared" si="3"/>
        <v>*</v>
      </c>
      <c r="B58" s="798"/>
      <c r="C58" s="812" t="str">
        <f>Geometry!D175</f>
        <v/>
      </c>
      <c r="D58" s="1524" t="str">
        <f>IF(C58="","",Geometry!I175-ColSpa1)</f>
        <v/>
      </c>
      <c r="E58" s="1524"/>
      <c r="F58" s="804"/>
      <c r="G58" s="804"/>
      <c r="H58" s="261" t="str">
        <f>'Conc DL'!Q101</f>
        <v/>
      </c>
      <c r="I58" s="261" t="str">
        <f>'Conc DL'!R101</f>
        <v/>
      </c>
      <c r="J58" s="297" t="str">
        <f t="shared" si="4"/>
        <v/>
      </c>
      <c r="K58" s="297" t="str">
        <f t="shared" si="5"/>
        <v/>
      </c>
      <c r="L58" s="398"/>
    </row>
    <row r="59" spans="1:12">
      <c r="A59" s="391" t="s">
        <v>670</v>
      </c>
      <c r="B59" s="798"/>
      <c r="C59" s="818"/>
      <c r="D59" s="819"/>
      <c r="E59" s="819"/>
      <c r="F59" s="819"/>
      <c r="G59" s="820" t="s">
        <v>992</v>
      </c>
      <c r="H59" s="807">
        <f>SUM(H39:H58)</f>
        <v>622.39249999999993</v>
      </c>
      <c r="I59" s="807">
        <f>SUM(I39:I58)</f>
        <v>9</v>
      </c>
      <c r="J59" s="808">
        <f>SUM(J39:J58)</f>
        <v>236.60999999999831</v>
      </c>
      <c r="K59" s="808">
        <f>SUM(K39:K58)</f>
        <v>0</v>
      </c>
      <c r="L59" s="1129" t="s">
        <v>807</v>
      </c>
    </row>
    <row r="60" spans="1:12">
      <c r="B60" s="290"/>
      <c r="C60" s="290"/>
      <c r="D60" s="290"/>
      <c r="E60" s="290"/>
      <c r="F60" s="290"/>
      <c r="G60" s="290"/>
      <c r="H60" s="290"/>
      <c r="I60" s="290"/>
      <c r="J60" s="253"/>
      <c r="K60" s="253"/>
    </row>
    <row r="61" spans="1:12">
      <c r="B61" s="290"/>
      <c r="C61" s="1217" t="s">
        <v>1567</v>
      </c>
      <c r="D61" s="290"/>
      <c r="E61" s="290"/>
      <c r="F61" s="290"/>
      <c r="G61" s="290"/>
      <c r="H61" s="290"/>
      <c r="I61" s="290"/>
      <c r="J61" s="290"/>
      <c r="K61" s="290"/>
    </row>
    <row r="62" spans="1:12">
      <c r="B62" s="290"/>
      <c r="C62" s="290"/>
      <c r="D62" s="290"/>
      <c r="E62" s="290"/>
      <c r="F62" s="290"/>
      <c r="G62" s="290"/>
      <c r="H62" s="290"/>
      <c r="I62" s="290"/>
      <c r="J62" s="290"/>
      <c r="K62" s="290"/>
      <c r="L62" s="290"/>
    </row>
    <row r="63" spans="1:12" ht="13.5" thickBot="1">
      <c r="B63" s="1523" t="s">
        <v>783</v>
      </c>
      <c r="C63" s="1523"/>
      <c r="D63" s="1523"/>
      <c r="E63" s="1523"/>
      <c r="F63" s="1523"/>
      <c r="G63" s="1523"/>
      <c r="H63" s="1523"/>
      <c r="I63" s="1523"/>
      <c r="J63" s="1523"/>
      <c r="K63" s="1523"/>
      <c r="L63" s="686"/>
    </row>
    <row r="64" spans="1:12">
      <c r="B64" s="704"/>
      <c r="C64" s="704"/>
      <c r="D64" s="704"/>
      <c r="E64" s="704"/>
      <c r="F64" s="704"/>
      <c r="G64" s="704"/>
      <c r="H64" s="704"/>
      <c r="I64" s="704"/>
      <c r="J64" s="704"/>
      <c r="K64" s="704"/>
      <c r="L64" s="704"/>
    </row>
    <row r="65" spans="2:12">
      <c r="B65" s="704"/>
      <c r="C65" s="704"/>
      <c r="D65" s="704"/>
      <c r="E65" s="704"/>
      <c r="F65" s="705" t="s">
        <v>784</v>
      </c>
      <c r="G65" s="1090">
        <v>0</v>
      </c>
      <c r="H65" s="704" t="s">
        <v>1262</v>
      </c>
      <c r="I65" s="707"/>
      <c r="J65" s="704"/>
      <c r="K65" s="704"/>
      <c r="L65" s="704"/>
    </row>
    <row r="66" spans="2:12">
      <c r="B66" s="704"/>
      <c r="C66" s="704"/>
      <c r="D66" s="704"/>
      <c r="E66" s="704"/>
      <c r="F66" s="704"/>
      <c r="G66" s="704"/>
      <c r="H66" s="704"/>
      <c r="I66" s="704"/>
      <c r="J66" s="704"/>
      <c r="K66" s="704"/>
      <c r="L66" s="704"/>
    </row>
    <row r="67" spans="2:12">
      <c r="B67" s="704"/>
      <c r="C67" s="704"/>
      <c r="D67" s="704"/>
      <c r="E67" s="704"/>
      <c r="F67" s="705" t="s">
        <v>786</v>
      </c>
      <c r="G67" s="1090">
        <v>0</v>
      </c>
      <c r="H67" s="704" t="s">
        <v>785</v>
      </c>
      <c r="I67" s="707" t="s">
        <v>809</v>
      </c>
      <c r="J67" s="704"/>
      <c r="K67" s="704"/>
      <c r="L67" s="704"/>
    </row>
    <row r="68" spans="2:12">
      <c r="B68" s="704"/>
      <c r="C68" s="704"/>
      <c r="D68" s="704"/>
      <c r="E68" s="704"/>
      <c r="F68" s="705" t="s">
        <v>787</v>
      </c>
      <c r="G68" s="1090">
        <v>0</v>
      </c>
      <c r="H68" s="704" t="s">
        <v>785</v>
      </c>
      <c r="I68" s="707" t="s">
        <v>823</v>
      </c>
      <c r="J68" s="704"/>
      <c r="K68" s="704"/>
      <c r="L68" s="704"/>
    </row>
    <row r="69" spans="2:12">
      <c r="B69" s="704"/>
      <c r="C69" s="704"/>
      <c r="D69" s="704"/>
      <c r="E69" s="704"/>
      <c r="F69" s="290"/>
      <c r="G69" s="290"/>
      <c r="H69" s="290"/>
      <c r="I69" s="290"/>
      <c r="J69" s="704"/>
      <c r="K69" s="704"/>
      <c r="L69" s="704"/>
    </row>
    <row r="70" spans="2:12">
      <c r="B70" s="290"/>
      <c r="C70" s="290"/>
      <c r="D70" s="290"/>
      <c r="E70" s="290"/>
      <c r="F70" s="290"/>
      <c r="G70" s="290"/>
      <c r="H70" s="290"/>
      <c r="I70" s="290"/>
      <c r="J70" s="290"/>
      <c r="K70" s="290"/>
    </row>
  </sheetData>
  <sheetProtection algorithmName="SHA-512" hashValue="j8QmZfXIapIlBWm65wdFA3xaIRwawr2Cpurj8kln5EbD+co6heEExIW930uARFapHqjgqvYimkUtLsyP8hJjTA==" saltValue="gK5yMLHUV/SemGPblI/7+g==" spinCount="100000" sheet="1" objects="1" scenarios="1"/>
  <mergeCells count="46">
    <mergeCell ref="B8:K8"/>
    <mergeCell ref="D12:E13"/>
    <mergeCell ref="D17:E17"/>
    <mergeCell ref="D18:E18"/>
    <mergeCell ref="J12:K12"/>
    <mergeCell ref="D15:E15"/>
    <mergeCell ref="D16:E16"/>
    <mergeCell ref="D14:E14"/>
    <mergeCell ref="D19:E19"/>
    <mergeCell ref="D20:E20"/>
    <mergeCell ref="D58:E58"/>
    <mergeCell ref="J37:K37"/>
    <mergeCell ref="D21:E21"/>
    <mergeCell ref="D22:E22"/>
    <mergeCell ref="D56:E56"/>
    <mergeCell ref="D57:E57"/>
    <mergeCell ref="D40:E40"/>
    <mergeCell ref="D23:E23"/>
    <mergeCell ref="D37:E38"/>
    <mergeCell ref="D24:E24"/>
    <mergeCell ref="D25:E25"/>
    <mergeCell ref="D26:E26"/>
    <mergeCell ref="D27:E27"/>
    <mergeCell ref="D28:E28"/>
    <mergeCell ref="D51:E51"/>
    <mergeCell ref="D29:E29"/>
    <mergeCell ref="D30:E30"/>
    <mergeCell ref="D31:E31"/>
    <mergeCell ref="D32:E32"/>
    <mergeCell ref="D48:E48"/>
    <mergeCell ref="B63:K63"/>
    <mergeCell ref="D33:E33"/>
    <mergeCell ref="D52:E52"/>
    <mergeCell ref="D53:E53"/>
    <mergeCell ref="D47:E47"/>
    <mergeCell ref="D43:E43"/>
    <mergeCell ref="D44:E44"/>
    <mergeCell ref="D41:E41"/>
    <mergeCell ref="D42:E42"/>
    <mergeCell ref="D39:E39"/>
    <mergeCell ref="D54:E54"/>
    <mergeCell ref="D55:E55"/>
    <mergeCell ref="D45:E45"/>
    <mergeCell ref="D46:E46"/>
    <mergeCell ref="D49:E49"/>
    <mergeCell ref="D50:E50"/>
  </mergeCells>
  <phoneticPr fontId="0" type="noConversion"/>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3">
    <tabColor indexed="47"/>
  </sheetPr>
  <dimension ref="A1:X64"/>
  <sheetViews>
    <sheetView showGridLines="0" view="pageBreakPreview" zoomScaleNormal="100" zoomScaleSheetLayoutView="100" workbookViewId="0"/>
  </sheetViews>
  <sheetFormatPr defaultColWidth="9.140625" defaultRowHeight="12.75"/>
  <cols>
    <col min="1" max="1" width="24.7109375" style="358" customWidth="1"/>
    <col min="2" max="2" width="7.140625" style="337" customWidth="1"/>
    <col min="3" max="7" width="8.7109375" style="337" customWidth="1"/>
    <col min="8" max="8" width="8.5703125" style="337" customWidth="1"/>
    <col min="9" max="9" width="10.7109375" style="337" customWidth="1"/>
    <col min="10" max="10" width="8.7109375" style="337" customWidth="1"/>
    <col min="11" max="11" width="8.5703125" style="337" customWidth="1"/>
    <col min="12" max="12" width="8.7109375" style="337" customWidth="1"/>
    <col min="13" max="16384" width="9.140625" style="337"/>
  </cols>
  <sheetData>
    <row r="1" spans="2:24">
      <c r="B1" s="290"/>
      <c r="C1" s="290"/>
      <c r="D1" s="290"/>
      <c r="E1" s="290"/>
      <c r="F1" s="290"/>
      <c r="G1" s="290"/>
      <c r="H1" s="290"/>
      <c r="I1" s="290"/>
      <c r="J1" s="290"/>
      <c r="K1" s="290"/>
      <c r="L1" s="290"/>
    </row>
    <row r="2" spans="2:24">
      <c r="B2" s="290"/>
      <c r="C2" s="290"/>
      <c r="D2" s="290"/>
      <c r="E2" s="290"/>
      <c r="F2" s="290"/>
      <c r="G2" s="290"/>
      <c r="H2" s="290"/>
      <c r="I2" s="290"/>
      <c r="J2" s="290"/>
      <c r="K2" s="290"/>
      <c r="L2" s="290"/>
      <c r="O2" s="1522"/>
      <c r="P2" s="1522"/>
      <c r="Q2" s="1522"/>
      <c r="R2" s="1522"/>
      <c r="S2" s="1522"/>
      <c r="T2" s="1522"/>
      <c r="U2" s="1522"/>
      <c r="V2" s="1522"/>
    </row>
    <row r="3" spans="2:24">
      <c r="B3" s="290"/>
      <c r="C3" s="290"/>
      <c r="D3" s="290"/>
      <c r="E3" s="290"/>
      <c r="F3" s="290"/>
      <c r="G3" s="290"/>
      <c r="H3" s="290"/>
      <c r="I3" s="290"/>
      <c r="J3" s="290"/>
      <c r="K3" s="290"/>
      <c r="L3" s="290"/>
      <c r="O3" s="339"/>
      <c r="P3" s="339"/>
      <c r="Q3" s="339"/>
      <c r="R3" s="339"/>
      <c r="S3" s="339"/>
      <c r="T3" s="339"/>
      <c r="U3" s="339"/>
      <c r="V3" s="339"/>
    </row>
    <row r="4" spans="2:24">
      <c r="B4" s="290"/>
      <c r="C4" s="290"/>
      <c r="D4" s="290"/>
      <c r="E4" s="290"/>
      <c r="F4" s="290"/>
      <c r="G4" s="290"/>
      <c r="H4" s="290"/>
      <c r="I4" s="290"/>
      <c r="J4" s="290"/>
      <c r="K4" s="290"/>
      <c r="L4" s="290"/>
      <c r="O4" s="339"/>
      <c r="P4" s="339"/>
    </row>
    <row r="5" spans="2:24">
      <c r="B5" s="290"/>
      <c r="C5" s="290"/>
      <c r="D5" s="290"/>
      <c r="E5" s="290"/>
      <c r="F5" s="290"/>
      <c r="G5" s="290"/>
      <c r="H5" s="290"/>
      <c r="I5" s="290"/>
      <c r="J5" s="290"/>
      <c r="K5" s="290"/>
      <c r="L5" s="290"/>
      <c r="O5" s="340"/>
      <c r="P5" s="340"/>
      <c r="Q5" s="338"/>
      <c r="R5" s="338"/>
      <c r="S5" s="338"/>
      <c r="T5" s="338"/>
      <c r="U5" s="338"/>
      <c r="V5" s="338"/>
      <c r="W5" s="338"/>
      <c r="X5" s="338"/>
    </row>
    <row r="6" spans="2:24">
      <c r="B6" s="290"/>
      <c r="C6" s="290"/>
      <c r="D6" s="290"/>
      <c r="E6" s="290"/>
      <c r="F6" s="290"/>
      <c r="G6" s="290"/>
      <c r="H6" s="290"/>
      <c r="I6" s="290"/>
      <c r="J6" s="290"/>
      <c r="K6" s="290"/>
      <c r="L6" s="290"/>
      <c r="O6" s="338"/>
      <c r="P6" s="338"/>
      <c r="Q6" s="390"/>
      <c r="R6" s="338"/>
      <c r="S6" s="338"/>
      <c r="T6" s="338"/>
      <c r="U6" s="338"/>
      <c r="V6" s="338"/>
      <c r="W6" s="338"/>
      <c r="X6" s="338"/>
    </row>
    <row r="7" spans="2:24">
      <c r="B7" s="290"/>
      <c r="C7" s="290"/>
      <c r="D7" s="290"/>
      <c r="E7" s="290"/>
      <c r="F7" s="290"/>
      <c r="G7" s="290"/>
      <c r="H7" s="290"/>
      <c r="I7" s="290"/>
      <c r="J7" s="290"/>
      <c r="K7" s="290"/>
      <c r="L7" s="290"/>
      <c r="O7" s="338"/>
      <c r="P7" s="338"/>
      <c r="Q7" s="390"/>
      <c r="R7" s="338"/>
      <c r="S7" s="338"/>
      <c r="T7" s="338"/>
      <c r="U7" s="338"/>
      <c r="V7" s="338"/>
      <c r="W7" s="338"/>
      <c r="X7" s="338"/>
    </row>
    <row r="8" spans="2:24" ht="18.75" customHeight="1" thickBot="1">
      <c r="B8" s="1500" t="s">
        <v>268</v>
      </c>
      <c r="C8" s="1500"/>
      <c r="D8" s="1500"/>
      <c r="E8" s="1500"/>
      <c r="F8" s="1500"/>
      <c r="G8" s="1500"/>
      <c r="H8" s="1500"/>
      <c r="I8" s="1500"/>
      <c r="J8" s="1500"/>
      <c r="K8" s="1500"/>
      <c r="L8" s="1500"/>
      <c r="O8" s="338"/>
      <c r="P8" s="338"/>
      <c r="Q8" s="338"/>
      <c r="R8" s="338"/>
      <c r="S8" s="338"/>
      <c r="T8" s="338"/>
      <c r="U8" s="338"/>
      <c r="V8" s="338"/>
      <c r="W8" s="338"/>
      <c r="X8" s="338"/>
    </row>
    <row r="9" spans="2:24" ht="13.5" thickTop="1">
      <c r="B9" s="290"/>
      <c r="C9" s="290"/>
      <c r="D9" s="290"/>
      <c r="E9" s="290"/>
      <c r="F9" s="290"/>
      <c r="G9" s="290"/>
      <c r="H9" s="290"/>
      <c r="I9" s="290"/>
      <c r="J9" s="290"/>
      <c r="K9" s="290"/>
      <c r="L9" s="290"/>
    </row>
    <row r="10" spans="2:24">
      <c r="B10" s="677" t="s">
        <v>338</v>
      </c>
      <c r="C10" s="290"/>
      <c r="D10" s="290"/>
      <c r="E10" s="290"/>
      <c r="F10" s="290"/>
      <c r="G10" s="290"/>
      <c r="H10" s="290"/>
      <c r="I10" s="290"/>
      <c r="J10" s="290"/>
      <c r="K10" s="290"/>
      <c r="L10" s="290"/>
    </row>
    <row r="11" spans="2:24">
      <c r="B11" s="678"/>
      <c r="C11" s="290"/>
      <c r="D11" s="290"/>
      <c r="E11" s="100" t="s">
        <v>342</v>
      </c>
      <c r="F11" s="290">
        <v>33</v>
      </c>
      <c r="G11" s="684" t="s">
        <v>343</v>
      </c>
      <c r="H11" s="679" t="s">
        <v>1457</v>
      </c>
      <c r="I11" s="290"/>
      <c r="J11" s="290"/>
      <c r="K11" s="290"/>
      <c r="L11" s="290"/>
      <c r="M11" s="1165"/>
      <c r="N11" s="1303" t="s">
        <v>1473</v>
      </c>
    </row>
    <row r="12" spans="2:24">
      <c r="B12" s="680" t="s">
        <v>1417</v>
      </c>
      <c r="C12" s="290"/>
      <c r="D12" s="290"/>
      <c r="E12" s="290"/>
      <c r="F12" s="290"/>
      <c r="G12" s="684"/>
      <c r="H12" s="290"/>
      <c r="I12" s="290"/>
      <c r="J12" s="290"/>
      <c r="K12" s="290"/>
      <c r="L12" s="290"/>
    </row>
    <row r="13" spans="2:24">
      <c r="B13" s="290"/>
      <c r="C13" s="290"/>
      <c r="D13" s="290"/>
      <c r="E13" s="661" t="s">
        <v>339</v>
      </c>
      <c r="F13" s="681">
        <v>0.64</v>
      </c>
      <c r="G13" s="684" t="s">
        <v>258</v>
      </c>
      <c r="H13" s="679" t="s">
        <v>344</v>
      </c>
      <c r="I13" s="290"/>
      <c r="J13" s="290"/>
      <c r="K13" s="290"/>
      <c r="L13" s="290"/>
      <c r="M13" s="1165"/>
    </row>
    <row r="14" spans="2:24">
      <c r="B14" s="290"/>
      <c r="C14" s="290"/>
      <c r="D14" s="290"/>
      <c r="E14" s="100" t="s">
        <v>340</v>
      </c>
      <c r="F14" s="681">
        <f>MAX(BkSpanLeftLen,BkSpanRightLen)/2</f>
        <v>50</v>
      </c>
      <c r="G14" s="684" t="s">
        <v>156</v>
      </c>
      <c r="H14" s="679" t="s">
        <v>1128</v>
      </c>
      <c r="I14" s="290"/>
      <c r="J14" s="290"/>
      <c r="K14" s="682" t="s">
        <v>1253</v>
      </c>
      <c r="L14" s="975">
        <f>MAX(BkSpanLeftLen,BkSpanRightLen)</f>
        <v>100</v>
      </c>
    </row>
    <row r="15" spans="2:24">
      <c r="B15" s="290"/>
      <c r="C15" s="290"/>
      <c r="D15" s="290"/>
      <c r="E15" s="100" t="s">
        <v>353</v>
      </c>
      <c r="F15" s="681">
        <f>F14*F13</f>
        <v>32</v>
      </c>
      <c r="G15" s="684" t="s">
        <v>341</v>
      </c>
      <c r="H15" s="679" t="str">
        <f>"{"&amp;FIXED(F14,2)&amp;" ft x "&amp;FIXED(F13,2)&amp;" k/ft}"</f>
        <v>{50.00 ft x 0.64 k/ft}</v>
      </c>
      <c r="I15" s="290"/>
      <c r="J15" s="290"/>
      <c r="K15" s="290"/>
      <c r="L15" s="290"/>
    </row>
    <row r="16" spans="2:24">
      <c r="B16" s="290"/>
      <c r="C16" s="290"/>
      <c r="D16" s="290"/>
      <c r="E16" s="100" t="s">
        <v>352</v>
      </c>
      <c r="F16" s="681">
        <f>MAX(FdSpanLeftLen,FdSpanRightLen)/2</f>
        <v>60</v>
      </c>
      <c r="G16" s="684" t="s">
        <v>156</v>
      </c>
      <c r="H16" s="679" t="s">
        <v>1128</v>
      </c>
      <c r="I16" s="290"/>
      <c r="J16" s="290"/>
      <c r="K16" s="682" t="s">
        <v>1254</v>
      </c>
      <c r="L16" s="975">
        <f>MAX(FdSpanLeftLen,FdSpanRightLen)</f>
        <v>120</v>
      </c>
    </row>
    <row r="17" spans="1:24">
      <c r="B17" s="290"/>
      <c r="C17" s="290"/>
      <c r="D17" s="290"/>
      <c r="E17" s="100" t="s">
        <v>354</v>
      </c>
      <c r="F17" s="681">
        <f>F16*F13</f>
        <v>38.4</v>
      </c>
      <c r="G17" s="684" t="s">
        <v>341</v>
      </c>
      <c r="H17" s="679" t="str">
        <f>"{"&amp;FIXED(F16,2)&amp;" ft x "&amp;FIXED(F13,2)&amp;" k/ft}"</f>
        <v>{60.00 ft x 0.64 k/ft}</v>
      </c>
      <c r="I17" s="290"/>
      <c r="J17" s="290"/>
      <c r="K17" s="290"/>
      <c r="L17" s="290"/>
    </row>
    <row r="18" spans="1:24">
      <c r="B18" s="290"/>
      <c r="C18" s="290"/>
      <c r="D18" s="290"/>
      <c r="E18" s="100" t="s">
        <v>349</v>
      </c>
      <c r="F18" s="681">
        <f>F17+F15</f>
        <v>70.400000000000006</v>
      </c>
      <c r="G18" s="684" t="s">
        <v>341</v>
      </c>
      <c r="H18" s="679" t="str">
        <f>"{"&amp;FIXED(F15,2)&amp;" k + "&amp;FIXED(F17,2)&amp;" k}"</f>
        <v>{32.00 k + 38.40 k}</v>
      </c>
      <c r="I18" s="290"/>
      <c r="J18" s="290"/>
      <c r="K18" s="290"/>
      <c r="L18" s="290"/>
    </row>
    <row r="19" spans="1:24">
      <c r="B19" s="680" t="s">
        <v>346</v>
      </c>
      <c r="C19" s="290"/>
      <c r="D19" s="679" t="s">
        <v>345</v>
      </c>
      <c r="E19" s="290"/>
      <c r="F19" s="681"/>
      <c r="G19" s="684"/>
      <c r="H19" s="290"/>
      <c r="I19" s="290"/>
      <c r="J19" s="290"/>
      <c r="K19" s="290"/>
      <c r="L19" s="290"/>
      <c r="M19" s="1165"/>
      <c r="O19" s="1522"/>
      <c r="P19" s="1522"/>
      <c r="Q19" s="1522"/>
      <c r="R19" s="1522"/>
      <c r="S19" s="1522"/>
      <c r="T19" s="1522"/>
    </row>
    <row r="20" spans="1:24" ht="13.5">
      <c r="B20" s="680"/>
      <c r="C20" s="290"/>
      <c r="D20" s="679"/>
      <c r="E20" s="100" t="s">
        <v>439</v>
      </c>
      <c r="F20" s="681">
        <f>32+32*(BkSpanLong-14)/BkSpanLong+8*(BkSpanLong-28)/BkSpanLong</f>
        <v>65.28</v>
      </c>
      <c r="G20" s="684" t="s">
        <v>341</v>
      </c>
      <c r="H20" s="1008" t="str">
        <f>"{32k + 32k x ("&amp;FIXED(BkSpanLong,2)&amp;"ft - 14ft) / "&amp;FIXED(BkSpanLong,2)&amp; "ft + 8k x ("&amp;FIXED(BkSpanLong,2)&amp;"ft - 28ft) / "&amp;FIXED(BkSpanLong,2)&amp;"ft}"</f>
        <v>{32k + 32k x (100.00ft - 14ft) / 100.00ft + 8k x (100.00ft - 28ft) / 100.00ft}</v>
      </c>
      <c r="I20" s="290"/>
      <c r="J20" s="290"/>
      <c r="K20" s="290"/>
      <c r="L20" s="290"/>
      <c r="O20" s="347"/>
      <c r="P20" s="392"/>
      <c r="R20" s="393"/>
    </row>
    <row r="21" spans="1:24" ht="13.5">
      <c r="B21" s="680"/>
      <c r="C21" s="290"/>
      <c r="D21" s="679"/>
      <c r="E21" s="100" t="s">
        <v>440</v>
      </c>
      <c r="F21" s="681">
        <f>32+32*(FdSpanLong-14)/FdSpanLong+8*(FdSpanLong-28)/FdSpanLong</f>
        <v>66.400000000000006</v>
      </c>
      <c r="G21" s="684" t="s">
        <v>341</v>
      </c>
      <c r="H21" s="1008" t="str">
        <f>"{32k + 32k x ("&amp;FIXED(FdSpanLong,2)&amp;"ft - 14ft) / "&amp;FIXED(FdSpanLong,2)&amp;"ft + 8k x ("&amp;FIXED(FdSpanLong,2)&amp;"ft - 28ft) / "&amp;FIXED(FdSpanLong,2)&amp;"ft}"</f>
        <v>{32k + 32k x (120.00ft - 14ft) / 120.00ft + 8k x (120.00ft - 28ft) / 120.00ft}</v>
      </c>
      <c r="I21" s="290"/>
      <c r="J21" s="290"/>
      <c r="K21" s="290"/>
      <c r="L21" s="290"/>
      <c r="M21" s="1165"/>
      <c r="O21" s="347"/>
      <c r="P21" s="394"/>
      <c r="R21" s="393"/>
    </row>
    <row r="22" spans="1:24" ht="13.5">
      <c r="B22" s="290"/>
      <c r="C22" s="290"/>
      <c r="D22" s="290"/>
      <c r="E22" s="100" t="s">
        <v>441</v>
      </c>
      <c r="F22" s="681">
        <f>32+32*IF(BkSpanLong&gt;FdSpanLong,(BkSpanLong-14)/BkSpanLong,(FdSpanLong-14)/FdSpanLong)+8*IF(BkSpanLong&gt;FdSpanLong,MAX((BkSpanLong-28)/BkSpanLong,(FdSpanLong-14)/FdSpanLong),MAX((FdSpanLong-28)/FdSpanLong,(BkSpanLong-14)/BkSpanLong))</f>
        <v>67.146666666666661</v>
      </c>
      <c r="G22" s="684" t="s">
        <v>341</v>
      </c>
      <c r="H22" s="1008" t="str">
        <f>"{32k + 32k x "&amp;IF(BkSpanLong&gt;FdSpanLong,"("&amp;FIXED(BkSpanLong,2)&amp;"ft - 14 ft) / "&amp;FIXED(BkSpanLong,2)&amp;"ft + 8k x "&amp;IF((BkSpanLong-28)/BkSpanLong&gt;(FdSpanLong-14)/FdSpanLong,"("&amp;FIXED(BkSpanLong,2)&amp;"ft - 28 ft) / "&amp;FIXED(BkSpanLong,2)&amp;"ft ","("&amp;FIXED(FdSpanLong,2)&amp;"ft - 14 ft) / "&amp;FIXED(FdSpanLong,2)&amp;"ft "),"("&amp;FIXED(FdSpanLong,2)&amp;"ft - 14ft) / "&amp;FIXED(FdSpanLong,2)&amp;"ft + 8k x "&amp;IF((FdSpanLong-28)/FdSpanLong&gt;(BkSpanLong-14)/BkSpanLong,"("&amp;FIXED(FdSpanLong,2)&amp;"ft - 28ft) / "&amp;FIXED(FdSpanLong,2)&amp;"ft","("&amp;FIXED(BkSpanLong,2)&amp;"ft - 14ft) / "&amp;FIXED(BkSpanLong,2))&amp;"ft")&amp;"}"</f>
        <v>{32k + 32k x (120.00ft - 14ft) / 120.00ft + 8k x (100.00ft - 14ft) / 100.00ft}</v>
      </c>
      <c r="I22" s="290"/>
      <c r="J22" s="290"/>
      <c r="K22" s="290"/>
      <c r="L22" s="290"/>
    </row>
    <row r="23" spans="1:24">
      <c r="B23" s="60" t="s">
        <v>614</v>
      </c>
      <c r="C23" s="290"/>
      <c r="D23" s="679" t="s">
        <v>615</v>
      </c>
      <c r="E23" s="100"/>
      <c r="F23" s="681"/>
      <c r="G23" s="684"/>
      <c r="H23" s="679"/>
      <c r="I23" s="290"/>
      <c r="J23" s="290"/>
      <c r="K23" s="290"/>
      <c r="L23" s="290"/>
      <c r="M23" s="1165"/>
      <c r="P23" s="393"/>
    </row>
    <row r="24" spans="1:24">
      <c r="B24" s="60"/>
      <c r="C24" s="290"/>
      <c r="D24" s="679"/>
      <c r="E24" s="100" t="s">
        <v>616</v>
      </c>
      <c r="F24" s="681">
        <f>25+25*(BkSpanLong-4)/BkSpanLong</f>
        <v>49</v>
      </c>
      <c r="G24" s="684" t="s">
        <v>341</v>
      </c>
      <c r="H24" s="679" t="str">
        <f>"{25k + 25k x ("&amp;FIXED(BkSpanLong,2)&amp;" ft - 4 ft) / "&amp;FIXED(BkSpanLong,2)&amp;" ft}"</f>
        <v>{25k + 25k x (100.00 ft - 4 ft) / 100.00 ft}</v>
      </c>
      <c r="I24" s="290"/>
      <c r="J24" s="290"/>
      <c r="K24" s="290"/>
      <c r="L24" s="290"/>
      <c r="P24" s="393"/>
    </row>
    <row r="25" spans="1:24">
      <c r="B25" s="60"/>
      <c r="C25" s="290"/>
      <c r="D25" s="679"/>
      <c r="E25" s="100" t="s">
        <v>617</v>
      </c>
      <c r="F25" s="681">
        <f>25+25*(FdSpanLong-4)/FdSpanLong</f>
        <v>49.166666666666671</v>
      </c>
      <c r="G25" s="684" t="s">
        <v>341</v>
      </c>
      <c r="H25" s="679" t="str">
        <f>"{25k + 25k x ("&amp;FIXED(FdSpanLong,2)&amp;" ft - 4 ft) / "&amp;FIXED(FdSpanLong,2)&amp;" ft}"</f>
        <v>{25k + 25k x (120.00 ft - 4 ft) / 120.00 ft}</v>
      </c>
      <c r="I25" s="290"/>
      <c r="J25" s="290"/>
      <c r="K25" s="290"/>
      <c r="L25" s="290"/>
      <c r="P25" s="393"/>
    </row>
    <row r="26" spans="1:24">
      <c r="B26" s="290"/>
      <c r="C26" s="290"/>
      <c r="D26" s="290"/>
      <c r="E26" s="100" t="s">
        <v>441</v>
      </c>
      <c r="F26" s="681">
        <f>25+25*IF(BkSpanLong&gt;FdSpanLong,(BkSpanLong-4)/BkSpanLong,(FdSpanLong-4)/FdSpanLong)</f>
        <v>49.166666666666671</v>
      </c>
      <c r="G26" s="684" t="s">
        <v>341</v>
      </c>
      <c r="H26" s="679" t="str">
        <f>"{25k + 25k x "&amp;IF(BkSpanLong&gt;FdSpanLong,"("&amp;FIXED(BkSpanLong,2)&amp;" ft - 4 ft) / "&amp;FIXED(BkSpanLong,2)&amp;" ft","("&amp;FIXED(FdSpanLong,2)&amp;" ft - 4 ft) / "&amp;FIXED(FdSpanLong,2)&amp;" ft]")</f>
        <v>{25k + 25k x (120.00 ft - 4 ft) / 120.00 ft]</v>
      </c>
      <c r="I26" s="290"/>
      <c r="J26" s="290"/>
      <c r="K26" s="290"/>
      <c r="L26" s="290"/>
      <c r="P26" s="393"/>
    </row>
    <row r="27" spans="1:24">
      <c r="B27" s="60" t="s">
        <v>348</v>
      </c>
      <c r="C27" s="290"/>
      <c r="D27" s="679" t="s">
        <v>347</v>
      </c>
      <c r="E27" s="100"/>
      <c r="F27" s="681"/>
      <c r="G27" s="684"/>
      <c r="H27" s="679"/>
      <c r="I27" s="290"/>
      <c r="J27" s="290"/>
      <c r="K27" s="290"/>
      <c r="L27" s="290"/>
      <c r="M27" s="1165"/>
    </row>
    <row r="28" spans="1:24">
      <c r="B28" s="290"/>
      <c r="C28" s="290"/>
      <c r="D28" s="290"/>
      <c r="E28" s="100" t="s">
        <v>360</v>
      </c>
      <c r="F28" s="681">
        <f>MAX(F22,F26)*(F11/100)</f>
        <v>22.1584</v>
      </c>
      <c r="G28" s="684" t="s">
        <v>341</v>
      </c>
      <c r="H28" s="679" t="str">
        <f>"{"&amp;FIXED(MAX(F22,F26),2)&amp;" k x "&amp;(F11/100)&amp;"}"</f>
        <v>{67.15 k x 0.33}</v>
      </c>
      <c r="I28" s="290"/>
      <c r="J28" s="290"/>
      <c r="K28" s="290"/>
      <c r="L28" s="290"/>
    </row>
    <row r="29" spans="1:24">
      <c r="B29" s="290"/>
      <c r="C29" s="290"/>
      <c r="D29" s="290"/>
      <c r="E29" s="682" t="s">
        <v>442</v>
      </c>
      <c r="F29" s="681">
        <f>MAX(F22,F26)+F28+F18</f>
        <v>159.70506666666665</v>
      </c>
      <c r="G29" s="684" t="s">
        <v>341</v>
      </c>
      <c r="H29" s="679" t="str">
        <f>"{"&amp;FIXED(MAX(F22,F26),1)&amp;" k + "&amp;FIXED(F28,2)&amp;" k + "&amp;FIXED(F18,2)&amp;" k}"</f>
        <v>{67.1 k + 22.16 k + 70.40 k}</v>
      </c>
      <c r="I29" s="290"/>
      <c r="J29" s="290"/>
      <c r="K29" s="290"/>
      <c r="L29" s="290"/>
    </row>
    <row r="30" spans="1:24">
      <c r="B30" s="290"/>
      <c r="C30" s="290"/>
      <c r="D30" s="290"/>
      <c r="E30" s="290"/>
      <c r="F30" s="290"/>
      <c r="G30" s="684"/>
      <c r="H30" s="290"/>
      <c r="I30" s="290"/>
      <c r="J30" s="290"/>
      <c r="K30" s="290"/>
      <c r="L30" s="290"/>
    </row>
    <row r="31" spans="1:24" hidden="1">
      <c r="A31" s="391" t="str">
        <f t="shared" ref="A31:A55" si="0">IF(NoSupports=1,"*","")</f>
        <v>*</v>
      </c>
      <c r="B31" s="677" t="s">
        <v>1294</v>
      </c>
      <c r="C31" s="290"/>
      <c r="D31" s="290"/>
      <c r="E31" s="290"/>
      <c r="F31" s="290"/>
      <c r="G31" s="684"/>
      <c r="H31" s="290"/>
      <c r="I31" s="290"/>
      <c r="J31" s="290"/>
      <c r="K31" s="290"/>
      <c r="L31" s="290"/>
      <c r="P31" s="1165"/>
    </row>
    <row r="32" spans="1:24" hidden="1">
      <c r="A32" s="391" t="str">
        <f t="shared" si="0"/>
        <v>*</v>
      </c>
      <c r="B32" s="290"/>
      <c r="C32" s="290"/>
      <c r="D32" s="290"/>
      <c r="E32" s="100" t="s">
        <v>363</v>
      </c>
      <c r="F32" s="681">
        <f>F29</f>
        <v>159.70506666666665</v>
      </c>
      <c r="G32" s="684" t="s">
        <v>341</v>
      </c>
      <c r="H32" s="679" t="str">
        <f>H29</f>
        <v>{67.1 k + 22.16 k + 70.40 k}</v>
      </c>
      <c r="I32" s="290"/>
      <c r="J32" s="290"/>
      <c r="K32" s="290"/>
      <c r="L32" s="290"/>
      <c r="O32" s="337" t="s">
        <v>362</v>
      </c>
      <c r="P32" s="339">
        <f>IF(Geometry!G18="Concrete",IF(Geometry!K18="Concrete",IF(AND(BkSpa=FdSpa,Bm1toCapEnd=BkBm1toCapEnd),1,2),3),IF(Geometry!K18="Concrete",4,5))</f>
        <v>1</v>
      </c>
      <c r="Q32" s="337" t="str">
        <f>IF(P32=1,"Conc-Conc, Same Beam Spacing",IF(P32=2,"Conc-Conc, Different Beam Spacing",IF(P32=3,"Conc-Steel",IF(P32=4,"Steel-Conc",IF(P32=5,"Steel-Steel")))))</f>
        <v>Conc-Conc, Same Beam Spacing</v>
      </c>
      <c r="X32" s="1303" t="s">
        <v>1475</v>
      </c>
    </row>
    <row r="33" spans="1:20" hidden="1">
      <c r="A33" s="391" t="str">
        <f t="shared" si="0"/>
        <v>*</v>
      </c>
      <c r="B33" s="290"/>
      <c r="C33" s="290"/>
      <c r="D33" s="290"/>
      <c r="E33" s="100" t="s">
        <v>364</v>
      </c>
      <c r="F33" s="290">
        <f>1.33*16</f>
        <v>21.28</v>
      </c>
      <c r="G33" s="684" t="s">
        <v>341</v>
      </c>
      <c r="H33" s="679" t="str">
        <f>"{1.33 x 16 k}"</f>
        <v>{1.33 x 16 k}</v>
      </c>
      <c r="I33" s="290"/>
      <c r="J33" s="290"/>
      <c r="K33" s="290"/>
      <c r="L33" s="290"/>
      <c r="O33" s="395" t="s">
        <v>361</v>
      </c>
    </row>
    <row r="34" spans="1:20" hidden="1">
      <c r="A34" s="391" t="str">
        <f t="shared" si="0"/>
        <v>*</v>
      </c>
      <c r="B34" s="290"/>
      <c r="C34" s="290"/>
      <c r="D34" s="290"/>
      <c r="E34" s="100" t="s">
        <v>350</v>
      </c>
      <c r="F34" s="681">
        <f>(F32-2*F33)/10</f>
        <v>11.714506666666665</v>
      </c>
      <c r="G34" s="684" t="s">
        <v>258</v>
      </c>
      <c r="H34" s="679" t="str">
        <f>"{("&amp;FIXED(F32,2)&amp;" k - 2 x "&amp;FIXED(F33,2)&amp;" k) / 10 ft}"</f>
        <v>{(159.71 k - 2 x 21.28 k) / 10 ft}</v>
      </c>
      <c r="I34" s="290"/>
      <c r="J34" s="290"/>
      <c r="K34" s="290"/>
      <c r="L34" s="290"/>
    </row>
    <row r="35" spans="1:20" hidden="1">
      <c r="A35" s="391" t="str">
        <f t="shared" si="0"/>
        <v>*</v>
      </c>
      <c r="B35" s="290"/>
      <c r="C35" s="290"/>
      <c r="D35" s="290"/>
      <c r="E35" s="290"/>
      <c r="F35" s="290"/>
      <c r="G35" s="290"/>
      <c r="H35" s="290"/>
      <c r="I35" s="290"/>
      <c r="J35" s="290"/>
      <c r="K35" s="290"/>
      <c r="L35" s="290"/>
    </row>
    <row r="36" spans="1:20" hidden="1">
      <c r="A36" s="391" t="str">
        <f t="shared" si="0"/>
        <v>*</v>
      </c>
      <c r="B36" s="290"/>
      <c r="C36" s="290"/>
      <c r="D36" s="290"/>
      <c r="E36" s="290"/>
      <c r="F36" s="290"/>
      <c r="G36" s="290"/>
      <c r="H36" s="290"/>
      <c r="I36" s="290"/>
      <c r="J36" s="290"/>
      <c r="K36" s="290"/>
      <c r="L36" s="290"/>
    </row>
    <row r="37" spans="1:20" hidden="1">
      <c r="A37" s="391" t="str">
        <f t="shared" si="0"/>
        <v>*</v>
      </c>
      <c r="B37" s="290"/>
      <c r="C37" s="290"/>
      <c r="D37" s="290"/>
      <c r="E37" s="290"/>
      <c r="F37" s="290"/>
      <c r="G37" s="290"/>
      <c r="H37" s="290"/>
      <c r="I37" s="290"/>
      <c r="J37" s="290"/>
      <c r="K37" s="290"/>
      <c r="L37" s="290"/>
    </row>
    <row r="38" spans="1:20" hidden="1">
      <c r="A38" s="391" t="str">
        <f t="shared" si="0"/>
        <v>*</v>
      </c>
      <c r="B38" s="290"/>
      <c r="C38" s="290"/>
      <c r="D38" s="290"/>
      <c r="E38" s="290"/>
      <c r="F38" s="290"/>
      <c r="G38" s="290"/>
      <c r="H38" s="290"/>
      <c r="I38" s="290"/>
      <c r="J38" s="290"/>
      <c r="K38" s="290"/>
      <c r="L38" s="290"/>
    </row>
    <row r="39" spans="1:20" hidden="1">
      <c r="A39" s="391" t="str">
        <f t="shared" si="0"/>
        <v>*</v>
      </c>
      <c r="B39" s="60"/>
      <c r="C39" s="290"/>
      <c r="D39" s="290"/>
      <c r="E39" s="290"/>
      <c r="F39" s="290"/>
      <c r="G39" s="290"/>
      <c r="H39" s="290"/>
      <c r="I39" s="290"/>
      <c r="J39" s="290"/>
      <c r="K39" s="290"/>
      <c r="L39" s="290"/>
    </row>
    <row r="40" spans="1:20" hidden="1">
      <c r="A40" s="391" t="str">
        <f t="shared" si="0"/>
        <v>*</v>
      </c>
      <c r="B40" s="60"/>
      <c r="C40" s="290"/>
      <c r="D40" s="684"/>
      <c r="E40" s="290"/>
      <c r="F40" s="290"/>
      <c r="G40" s="290"/>
      <c r="H40" s="290"/>
      <c r="I40" s="290"/>
      <c r="J40" s="290"/>
      <c r="K40" s="290"/>
      <c r="L40" s="290"/>
      <c r="P40" s="393"/>
      <c r="Q40" s="347"/>
      <c r="R40" s="341"/>
      <c r="T40" s="393"/>
    </row>
    <row r="41" spans="1:20" hidden="1">
      <c r="A41" s="391" t="str">
        <f t="shared" si="0"/>
        <v>*</v>
      </c>
      <c r="B41" s="60"/>
      <c r="C41" s="290"/>
      <c r="D41" s="290"/>
      <c r="E41" s="290"/>
      <c r="F41" s="290"/>
      <c r="G41" s="290"/>
      <c r="H41" s="290"/>
      <c r="I41" s="290"/>
      <c r="J41" s="290"/>
      <c r="K41" s="290"/>
      <c r="L41" s="290"/>
      <c r="P41" s="393"/>
      <c r="Q41" s="347"/>
      <c r="T41" s="393"/>
    </row>
    <row r="42" spans="1:20" ht="13.5" hidden="1">
      <c r="A42" s="391" t="str">
        <f t="shared" si="0"/>
        <v>*</v>
      </c>
      <c r="B42" s="60"/>
      <c r="C42" s="290"/>
      <c r="D42" s="290"/>
      <c r="E42" s="290"/>
      <c r="F42" s="290"/>
      <c r="G42" s="290"/>
      <c r="H42" s="685"/>
      <c r="I42" s="290"/>
      <c r="J42" s="290"/>
      <c r="K42" s="290"/>
      <c r="L42" s="290"/>
      <c r="P42" s="393"/>
      <c r="Q42" s="347"/>
      <c r="R42" s="341"/>
      <c r="T42" s="393"/>
    </row>
    <row r="43" spans="1:20" ht="13.5">
      <c r="A43" s="391"/>
      <c r="B43" s="60"/>
      <c r="C43" s="290"/>
      <c r="D43" s="290"/>
      <c r="E43" s="290"/>
      <c r="F43" s="290"/>
      <c r="G43" s="290"/>
      <c r="H43" s="685"/>
      <c r="I43" s="290"/>
      <c r="J43" s="290"/>
      <c r="K43" s="290"/>
      <c r="L43" s="290"/>
      <c r="P43" s="393"/>
      <c r="Q43" s="347"/>
      <c r="R43" s="341"/>
      <c r="T43" s="393"/>
    </row>
    <row r="44" spans="1:20" hidden="1">
      <c r="A44" s="391" t="str">
        <f t="shared" si="0"/>
        <v>*</v>
      </c>
      <c r="B44" s="60"/>
      <c r="C44" s="290"/>
      <c r="D44" s="290"/>
      <c r="E44" s="290"/>
      <c r="F44" s="290"/>
      <c r="G44" s="290"/>
      <c r="H44" s="290"/>
      <c r="I44" s="290"/>
      <c r="J44" s="290"/>
      <c r="K44" s="290"/>
      <c r="L44" s="290"/>
    </row>
    <row r="45" spans="1:20" hidden="1">
      <c r="A45" s="391" t="str">
        <f t="shared" si="0"/>
        <v>*</v>
      </c>
      <c r="B45" s="60"/>
      <c r="C45" s="290"/>
      <c r="D45" s="290"/>
      <c r="E45" s="290"/>
      <c r="F45" s="290"/>
      <c r="G45" s="290"/>
      <c r="H45" s="290"/>
      <c r="I45" s="290"/>
      <c r="J45" s="290"/>
      <c r="K45" s="290"/>
      <c r="L45" s="290"/>
      <c r="P45" s="393"/>
      <c r="Q45" s="347"/>
      <c r="R45" s="341"/>
      <c r="T45" s="393"/>
    </row>
    <row r="46" spans="1:20" hidden="1">
      <c r="A46" s="391" t="str">
        <f t="shared" si="0"/>
        <v>*</v>
      </c>
      <c r="B46" s="60"/>
      <c r="C46" s="1217" t="s">
        <v>1568</v>
      </c>
      <c r="D46" s="290"/>
      <c r="E46" s="290"/>
      <c r="F46" s="290"/>
      <c r="G46" s="290"/>
      <c r="H46" s="290"/>
      <c r="I46" s="290"/>
      <c r="J46" s="290"/>
      <c r="K46" s="290"/>
      <c r="L46" s="290"/>
      <c r="M46" s="1165"/>
      <c r="N46" s="1303" t="s">
        <v>1474</v>
      </c>
      <c r="P46" s="393"/>
      <c r="Q46" s="347"/>
      <c r="R46" s="341"/>
      <c r="T46" s="393"/>
    </row>
    <row r="47" spans="1:20" hidden="1">
      <c r="A47" s="391" t="str">
        <f t="shared" si="0"/>
        <v>*</v>
      </c>
      <c r="B47" s="60"/>
      <c r="C47" s="290"/>
      <c r="D47" s="290"/>
      <c r="E47" s="290"/>
      <c r="F47" s="290"/>
      <c r="G47" s="290"/>
      <c r="H47" s="290"/>
      <c r="I47" s="290"/>
      <c r="J47" s="290"/>
      <c r="K47" s="290"/>
      <c r="L47" s="290"/>
      <c r="P47" s="393"/>
      <c r="Q47" s="347"/>
      <c r="R47" s="341"/>
      <c r="T47" s="393"/>
    </row>
    <row r="48" spans="1:20" hidden="1">
      <c r="A48" s="391" t="str">
        <f t="shared" si="0"/>
        <v>*</v>
      </c>
      <c r="B48" s="60"/>
      <c r="C48" s="290"/>
      <c r="D48" s="290"/>
      <c r="E48" s="100" t="s">
        <v>1025</v>
      </c>
      <c r="F48" s="290">
        <f>Incr</f>
        <v>0.5</v>
      </c>
      <c r="G48" s="290" t="s">
        <v>156</v>
      </c>
      <c r="H48" s="290"/>
      <c r="I48" s="290"/>
      <c r="J48" s="290"/>
      <c r="K48" s="290"/>
      <c r="L48" s="290"/>
    </row>
    <row r="49" spans="1:12" hidden="1">
      <c r="A49" s="391" t="str">
        <f t="shared" si="0"/>
        <v>*</v>
      </c>
      <c r="B49" s="60"/>
      <c r="C49" s="290"/>
      <c r="D49" s="290"/>
      <c r="E49" s="100" t="s">
        <v>1026</v>
      </c>
      <c r="F49" s="290">
        <f>ROUND(10/F48/COS(RADIANS(BentSkew)),0)</f>
        <v>20</v>
      </c>
      <c r="G49" s="290"/>
      <c r="H49" s="679" t="str">
        <f>"{(10 ft / "&amp;FIXED(F48,2)&amp;" ft/incr / cos("&amp;FIXED(ABS(BentSkew),2)&amp;")}"</f>
        <v>{(10 ft / 0.50 ft/incr / cos(0.00)}</v>
      </c>
      <c r="I49" s="290"/>
      <c r="J49" s="290"/>
      <c r="K49" s="290"/>
      <c r="L49" s="290"/>
    </row>
    <row r="50" spans="1:12" hidden="1">
      <c r="A50" s="391" t="str">
        <f t="shared" si="0"/>
        <v>*</v>
      </c>
      <c r="B50" s="60"/>
      <c r="C50" s="290"/>
      <c r="D50" s="290"/>
      <c r="E50" s="100" t="s">
        <v>350</v>
      </c>
      <c r="F50" s="105">
        <f>(F32-2*F33)/F49</f>
        <v>5.8572533333333325</v>
      </c>
      <c r="G50" s="290" t="s">
        <v>1027</v>
      </c>
      <c r="H50" s="679" t="str">
        <f>"{("&amp;FIXED(F32,2)&amp;" k - 2 x "&amp;FIXED(F33,2)&amp;" k) / "&amp;F49&amp;" incr}"</f>
        <v>{(159.71 k - 2 x 21.28 k) / 20 incr}</v>
      </c>
      <c r="I50" s="290"/>
      <c r="J50" s="290"/>
      <c r="K50" s="290"/>
      <c r="L50" s="290"/>
    </row>
    <row r="51" spans="1:12" hidden="1">
      <c r="A51" s="391" t="str">
        <f t="shared" si="0"/>
        <v>*</v>
      </c>
      <c r="B51" s="60"/>
      <c r="C51" s="290"/>
      <c r="D51" s="290"/>
      <c r="E51" s="290"/>
      <c r="F51" s="290"/>
      <c r="G51" s="290"/>
      <c r="H51" s="290"/>
      <c r="I51" s="290"/>
      <c r="J51" s="290"/>
      <c r="K51" s="290"/>
      <c r="L51" s="290"/>
    </row>
    <row r="52" spans="1:12" hidden="1">
      <c r="A52" s="391" t="str">
        <f t="shared" si="0"/>
        <v>*</v>
      </c>
      <c r="B52" s="60"/>
      <c r="C52" s="290"/>
      <c r="D52" s="290"/>
      <c r="E52" s="290"/>
      <c r="F52" s="290"/>
      <c r="G52" s="290"/>
      <c r="H52" s="290"/>
      <c r="I52" s="290"/>
      <c r="J52" s="290"/>
      <c r="K52" s="290"/>
      <c r="L52" s="290"/>
    </row>
    <row r="53" spans="1:12" hidden="1">
      <c r="A53" s="391" t="str">
        <f t="shared" si="0"/>
        <v>*</v>
      </c>
      <c r="B53" s="60"/>
      <c r="C53" s="290"/>
      <c r="D53" s="290"/>
      <c r="E53" s="290"/>
      <c r="F53" s="290"/>
      <c r="G53" s="290"/>
      <c r="H53" s="290"/>
      <c r="I53" s="290"/>
      <c r="J53" s="290"/>
      <c r="K53" s="290"/>
      <c r="L53" s="290"/>
    </row>
    <row r="54" spans="1:12" hidden="1">
      <c r="A54" s="391" t="str">
        <f t="shared" si="0"/>
        <v>*</v>
      </c>
      <c r="B54" s="60"/>
      <c r="C54" s="290"/>
      <c r="D54" s="290"/>
      <c r="E54" s="290"/>
      <c r="F54" s="290"/>
      <c r="G54" s="290"/>
      <c r="H54" s="290"/>
      <c r="I54" s="290"/>
      <c r="J54" s="290"/>
      <c r="K54" s="290"/>
      <c r="L54" s="290"/>
    </row>
    <row r="55" spans="1:12" hidden="1">
      <c r="A55" s="391" t="str">
        <f t="shared" si="0"/>
        <v>*</v>
      </c>
      <c r="B55" s="60"/>
      <c r="C55" s="290"/>
      <c r="D55" s="679"/>
      <c r="E55" s="290"/>
      <c r="F55" s="290"/>
      <c r="G55" s="290"/>
      <c r="H55" s="290"/>
      <c r="I55" s="290"/>
      <c r="J55" s="290"/>
      <c r="K55" s="290"/>
      <c r="L55" s="290"/>
    </row>
    <row r="56" spans="1:12">
      <c r="A56" s="391" t="s">
        <v>670</v>
      </c>
      <c r="B56" s="396"/>
      <c r="D56" s="393"/>
    </row>
    <row r="58" spans="1:12">
      <c r="E58" s="347"/>
      <c r="F58" s="341"/>
      <c r="H58" s="393"/>
    </row>
    <row r="59" spans="1:12">
      <c r="E59" s="355"/>
      <c r="F59" s="341"/>
    </row>
    <row r="62" spans="1:12">
      <c r="B62" s="396"/>
      <c r="E62" s="397"/>
    </row>
    <row r="63" spans="1:12">
      <c r="E63" s="347"/>
    </row>
    <row r="64" spans="1:12">
      <c r="E64" s="347"/>
    </row>
  </sheetData>
  <sheetProtection algorithmName="SHA-512" hashValue="zhKkDqXF10YOGlZPOJ74397dqQOSr66lz0ZvRdYidIFb4+LQiJ/xzIoLJdieyxj3tUuACoqFjVJcwVZDITI4SQ==" saltValue="xNz04Ojlcl4FU6bAVIGGWw==" spinCount="100000" sheet="1" objects="1" scenarios="1"/>
  <mergeCells count="6">
    <mergeCell ref="O19:T19"/>
    <mergeCell ref="B8:L8"/>
    <mergeCell ref="U2:V2"/>
    <mergeCell ref="Q2:R2"/>
    <mergeCell ref="S2:T2"/>
    <mergeCell ref="O2:P2"/>
  </mergeCells>
  <phoneticPr fontId="0" type="noConversion"/>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4">
    <tabColor indexed="16"/>
  </sheetPr>
  <dimension ref="A1:AE274"/>
  <sheetViews>
    <sheetView showGridLines="0" view="pageBreakPreview" zoomScaleNormal="85" zoomScaleSheetLayoutView="100" workbookViewId="0">
      <selection activeCell="B12" sqref="B12"/>
    </sheetView>
  </sheetViews>
  <sheetFormatPr defaultColWidth="9.140625" defaultRowHeight="12.75"/>
  <cols>
    <col min="1" max="1" width="24.7109375" style="337" customWidth="1"/>
    <col min="2" max="2" width="17.85546875" style="337" customWidth="1"/>
    <col min="3" max="3" width="4.85546875" style="337" customWidth="1"/>
    <col min="4" max="17" width="7.140625" style="337" customWidth="1"/>
    <col min="18" max="18" width="3.5703125" style="337" customWidth="1"/>
    <col min="19" max="19" width="1.5703125" style="337" customWidth="1"/>
    <col min="20" max="21" width="7.140625" style="337" customWidth="1"/>
    <col min="22" max="16384" width="9.140625" style="337"/>
  </cols>
  <sheetData>
    <row r="1" spans="1:24">
      <c r="B1" s="290"/>
      <c r="C1" s="290"/>
      <c r="D1" s="290"/>
      <c r="E1" s="290"/>
      <c r="F1" s="290"/>
      <c r="G1" s="290"/>
      <c r="H1" s="290"/>
      <c r="I1" s="290"/>
      <c r="J1" s="290"/>
      <c r="K1" s="290"/>
      <c r="L1" s="290"/>
      <c r="M1" s="290"/>
      <c r="N1" s="290"/>
      <c r="O1" s="290"/>
      <c r="P1" s="290"/>
      <c r="Q1" s="290"/>
      <c r="R1" s="290"/>
      <c r="S1" s="290"/>
    </row>
    <row r="2" spans="1:24">
      <c r="B2" s="290"/>
      <c r="C2" s="290"/>
      <c r="D2" s="290"/>
      <c r="E2" s="290"/>
      <c r="F2" s="290"/>
      <c r="G2" s="290"/>
      <c r="H2" s="290"/>
      <c r="I2" s="290"/>
      <c r="J2" s="290"/>
      <c r="K2" s="290"/>
      <c r="L2" s="290"/>
      <c r="M2" s="290"/>
      <c r="N2" s="290"/>
      <c r="O2" s="1547"/>
      <c r="P2" s="1547"/>
      <c r="Q2" s="1547"/>
      <c r="R2" s="1547"/>
      <c r="S2" s="732"/>
      <c r="T2" s="581"/>
      <c r="U2" s="1522"/>
      <c r="V2" s="1522"/>
    </row>
    <row r="3" spans="1:24">
      <c r="B3" s="290"/>
      <c r="C3" s="290"/>
      <c r="D3" s="290"/>
      <c r="E3" s="290"/>
      <c r="F3" s="290"/>
      <c r="G3" s="290"/>
      <c r="H3" s="290"/>
      <c r="I3" s="290"/>
      <c r="J3" s="290"/>
      <c r="K3" s="290"/>
      <c r="L3" s="290"/>
      <c r="M3" s="290"/>
      <c r="N3" s="290"/>
      <c r="O3" s="683"/>
      <c r="P3" s="683"/>
      <c r="Q3" s="683"/>
      <c r="R3" s="683"/>
      <c r="S3" s="683"/>
      <c r="T3" s="339"/>
      <c r="U3" s="339"/>
      <c r="V3" s="339"/>
    </row>
    <row r="4" spans="1:24">
      <c r="B4" s="290"/>
      <c r="C4" s="290"/>
      <c r="D4" s="290"/>
      <c r="E4" s="290"/>
      <c r="F4" s="290"/>
      <c r="G4" s="290"/>
      <c r="H4" s="290"/>
      <c r="I4" s="290"/>
      <c r="J4" s="290"/>
      <c r="K4" s="290"/>
      <c r="L4" s="290"/>
      <c r="M4" s="290"/>
      <c r="N4" s="290"/>
      <c r="O4" s="683"/>
      <c r="P4" s="683"/>
      <c r="Q4" s="290"/>
      <c r="R4" s="290"/>
      <c r="S4" s="290"/>
    </row>
    <row r="5" spans="1:24">
      <c r="B5" s="290"/>
      <c r="C5" s="290"/>
      <c r="D5" s="290"/>
      <c r="E5" s="290"/>
      <c r="F5" s="290"/>
      <c r="G5" s="290"/>
      <c r="H5" s="290"/>
      <c r="I5" s="290"/>
      <c r="J5" s="290"/>
      <c r="K5" s="290"/>
      <c r="L5" s="290"/>
      <c r="M5" s="290"/>
      <c r="N5" s="290"/>
      <c r="O5" s="733"/>
      <c r="P5" s="733"/>
      <c r="Q5" s="42"/>
      <c r="R5" s="42"/>
      <c r="S5" s="42"/>
      <c r="T5" s="338"/>
      <c r="U5" s="338"/>
      <c r="V5" s="338"/>
      <c r="W5" s="338"/>
      <c r="X5" s="338"/>
    </row>
    <row r="6" spans="1:24">
      <c r="B6" s="290"/>
      <c r="C6" s="290"/>
      <c r="D6" s="290"/>
      <c r="E6" s="290"/>
      <c r="F6" s="290"/>
      <c r="G6" s="290"/>
      <c r="H6" s="290"/>
      <c r="I6" s="290"/>
      <c r="J6" s="290"/>
      <c r="K6" s="290"/>
      <c r="L6" s="290"/>
      <c r="M6" s="290"/>
      <c r="N6" s="290"/>
      <c r="O6" s="42"/>
      <c r="P6" s="42"/>
      <c r="Q6" s="734"/>
      <c r="R6" s="42"/>
      <c r="S6" s="42"/>
      <c r="T6" s="338"/>
      <c r="U6" s="338"/>
      <c r="V6" s="338"/>
      <c r="W6" s="338"/>
      <c r="X6" s="338"/>
    </row>
    <row r="7" spans="1:24" ht="6.75" customHeight="1">
      <c r="B7" s="290"/>
      <c r="C7" s="290"/>
      <c r="D7" s="290"/>
      <c r="E7" s="290"/>
      <c r="F7" s="290"/>
      <c r="G7" s="290"/>
      <c r="H7" s="290"/>
      <c r="I7" s="290"/>
      <c r="J7" s="290"/>
      <c r="K7" s="290"/>
      <c r="L7" s="290"/>
      <c r="M7" s="290"/>
      <c r="N7" s="290"/>
      <c r="O7" s="42"/>
      <c r="P7" s="42"/>
      <c r="Q7" s="734"/>
      <c r="R7" s="42"/>
      <c r="S7" s="42"/>
      <c r="T7" s="338"/>
      <c r="U7" s="338"/>
      <c r="V7" s="338"/>
      <c r="W7" s="338"/>
      <c r="X7" s="338"/>
    </row>
    <row r="8" spans="1:24" ht="21" customHeight="1">
      <c r="B8" s="1549" t="s">
        <v>1093</v>
      </c>
      <c r="C8" s="1549"/>
      <c r="D8" s="1549"/>
      <c r="E8" s="1549"/>
      <c r="F8" s="1549"/>
      <c r="G8" s="1549"/>
      <c r="H8" s="1549"/>
      <c r="I8" s="1549"/>
      <c r="J8" s="1549"/>
      <c r="K8" s="1549"/>
      <c r="L8" s="1549"/>
      <c r="M8" s="1549"/>
      <c r="N8" s="1549"/>
      <c r="O8" s="1549"/>
      <c r="P8" s="1395" t="s">
        <v>1092</v>
      </c>
      <c r="Q8" s="1550" t="s">
        <v>1032</v>
      </c>
      <c r="R8" s="1551"/>
      <c r="S8" s="1552"/>
      <c r="U8" s="338"/>
      <c r="V8" s="338"/>
      <c r="W8" s="338"/>
      <c r="X8" s="338"/>
    </row>
    <row r="9" spans="1:24">
      <c r="B9" s="55" t="s">
        <v>269</v>
      </c>
      <c r="C9" s="64"/>
      <c r="D9" s="60" t="s">
        <v>391</v>
      </c>
      <c r="E9" s="1553" t="s">
        <v>1623</v>
      </c>
      <c r="F9" s="1554"/>
      <c r="G9" s="290"/>
      <c r="H9" s="290"/>
      <c r="I9" s="290"/>
      <c r="J9" s="290"/>
      <c r="K9" s="290"/>
      <c r="L9" s="290"/>
      <c r="M9" s="290"/>
      <c r="N9" s="290"/>
      <c r="O9" s="290"/>
      <c r="P9" s="290"/>
      <c r="Q9" s="290"/>
      <c r="R9" s="290"/>
      <c r="S9" s="290"/>
    </row>
    <row r="10" spans="1:24">
      <c r="A10" s="337" t="b">
        <v>0</v>
      </c>
      <c r="B10" s="290"/>
      <c r="C10" s="64"/>
      <c r="D10" s="290"/>
      <c r="E10" s="1555" t="s">
        <v>271</v>
      </c>
      <c r="F10" s="1555"/>
      <c r="G10" s="736"/>
      <c r="H10" s="735" t="s">
        <v>272</v>
      </c>
      <c r="I10" s="736"/>
      <c r="J10" s="1555" t="s">
        <v>274</v>
      </c>
      <c r="K10" s="1555"/>
      <c r="L10" s="736"/>
      <c r="M10" s="735" t="s">
        <v>275</v>
      </c>
      <c r="N10" s="736"/>
      <c r="O10" s="1555" t="s">
        <v>276</v>
      </c>
      <c r="P10" s="1555"/>
      <c r="Q10" s="736"/>
      <c r="R10" s="736"/>
      <c r="S10" s="290"/>
    </row>
    <row r="11" spans="1:24">
      <c r="B11" s="290"/>
      <c r="C11" s="683" t="str">
        <f>IF(T11=1,"*","-")</f>
        <v>*</v>
      </c>
      <c r="D11" s="737"/>
      <c r="E11" s="1536" t="s">
        <v>429</v>
      </c>
      <c r="F11" s="1536"/>
      <c r="G11" s="738"/>
      <c r="H11" s="52" t="s">
        <v>429</v>
      </c>
      <c r="I11" s="739"/>
      <c r="J11" s="1536" t="s">
        <v>429</v>
      </c>
      <c r="K11" s="1536"/>
      <c r="L11" s="740"/>
      <c r="M11" s="30" t="str">
        <f>DesignerInit</f>
        <v/>
      </c>
      <c r="N11" s="740"/>
      <c r="O11" s="1556">
        <f ca="1">TODAY()</f>
        <v>44804</v>
      </c>
      <c r="P11" s="1531"/>
      <c r="Q11" s="739"/>
      <c r="R11" s="740"/>
      <c r="S11" s="290"/>
      <c r="T11" s="337">
        <v>1</v>
      </c>
      <c r="V11" s="580"/>
    </row>
    <row r="12" spans="1:24">
      <c r="B12" s="290"/>
      <c r="C12" s="290"/>
      <c r="D12" s="741" t="s">
        <v>1091</v>
      </c>
      <c r="E12" s="736"/>
      <c r="F12" s="736"/>
      <c r="G12" s="736"/>
      <c r="H12" s="736"/>
      <c r="I12" s="736"/>
      <c r="J12" s="736"/>
      <c r="K12" s="736"/>
      <c r="L12" s="736"/>
      <c r="M12" s="736"/>
      <c r="N12" s="736"/>
      <c r="O12" s="736"/>
      <c r="P12" s="736"/>
      <c r="Q12" s="736"/>
      <c r="R12" s="736"/>
      <c r="S12" s="290"/>
    </row>
    <row r="13" spans="1:24">
      <c r="B13" s="290"/>
      <c r="C13" s="683" t="str">
        <f>IF(T13=1,"*","-")</f>
        <v>*</v>
      </c>
      <c r="D13" s="1562" t="str">
        <f>"Bent Cap Analysis For "&amp;'Cover Sheet'!E4&amp;": "&amp;Geometry!G11</f>
        <v>Bent Cap Analysis For TEST PROJECT: TEST</v>
      </c>
      <c r="E13" s="1563"/>
      <c r="F13" s="1563"/>
      <c r="G13" s="1563"/>
      <c r="H13" s="1563"/>
      <c r="I13" s="1563"/>
      <c r="J13" s="1563"/>
      <c r="K13" s="1563"/>
      <c r="L13" s="1563"/>
      <c r="M13" s="1563"/>
      <c r="N13" s="1563"/>
      <c r="O13" s="1563"/>
      <c r="P13" s="1563"/>
      <c r="Q13" s="1563"/>
      <c r="R13" s="1564"/>
      <c r="S13" s="290"/>
      <c r="T13" s="337">
        <v>1</v>
      </c>
    </row>
    <row r="14" spans="1:24">
      <c r="B14" s="290"/>
      <c r="C14" s="742"/>
      <c r="D14" s="735" t="s">
        <v>277</v>
      </c>
      <c r="E14" s="736"/>
      <c r="F14" s="735" t="s">
        <v>278</v>
      </c>
      <c r="G14" s="736"/>
      <c r="H14" s="741" t="s">
        <v>279</v>
      </c>
      <c r="I14" s="736"/>
      <c r="J14" s="736"/>
      <c r="K14" s="736"/>
      <c r="L14" s="736"/>
      <c r="M14" s="736"/>
      <c r="N14" s="736"/>
      <c r="O14" s="736"/>
      <c r="P14" s="736"/>
      <c r="Q14" s="736"/>
      <c r="R14" s="736"/>
      <c r="S14" s="290"/>
    </row>
    <row r="15" spans="1:24">
      <c r="B15" s="709" t="s">
        <v>387</v>
      </c>
      <c r="C15" s="683" t="str">
        <f>IF(T15=1,"*","-")</f>
        <v>*</v>
      </c>
      <c r="D15" s="30" t="s">
        <v>392</v>
      </c>
      <c r="E15" s="743"/>
      <c r="F15" s="50" t="s">
        <v>280</v>
      </c>
      <c r="G15" s="743"/>
      <c r="H15" s="1542" t="str">
        <f>IF(condition=1,"Single problem for bent cap - same bm spa back and fwd","Live Loading Distributed Through Back Span Beams")</f>
        <v>Single problem for bent cap - same bm spa back and fwd</v>
      </c>
      <c r="I15" s="1543"/>
      <c r="J15" s="1543"/>
      <c r="K15" s="1543"/>
      <c r="L15" s="1543"/>
      <c r="M15" s="1543"/>
      <c r="N15" s="1543"/>
      <c r="O15" s="1543"/>
      <c r="P15" s="1543"/>
      <c r="Q15" s="1543"/>
      <c r="R15" s="1544"/>
      <c r="S15" s="290"/>
      <c r="T15" s="337">
        <v>1</v>
      </c>
    </row>
    <row r="16" spans="1:24">
      <c r="B16" s="55" t="s">
        <v>300</v>
      </c>
      <c r="C16" s="742"/>
      <c r="D16" s="744"/>
      <c r="E16" s="117"/>
      <c r="F16" s="117"/>
      <c r="G16" s="117"/>
      <c r="H16" s="117"/>
      <c r="I16" s="736"/>
      <c r="J16" s="736"/>
      <c r="K16" s="736"/>
      <c r="L16" s="736"/>
      <c r="M16" s="736"/>
      <c r="N16" s="736"/>
      <c r="O16" s="736"/>
      <c r="P16" s="736"/>
      <c r="Q16" s="736"/>
      <c r="R16" s="736"/>
      <c r="S16" s="290"/>
    </row>
    <row r="17" spans="1:22">
      <c r="B17" s="55"/>
      <c r="C17" s="742"/>
      <c r="D17" s="1537" t="s">
        <v>284</v>
      </c>
      <c r="E17" s="1538"/>
      <c r="F17" s="1538"/>
      <c r="G17" s="1539"/>
      <c r="H17" s="736"/>
      <c r="I17" s="1537" t="s">
        <v>283</v>
      </c>
      <c r="J17" s="1538"/>
      <c r="K17" s="1539"/>
      <c r="L17" s="736"/>
      <c r="M17" s="1537" t="s">
        <v>285</v>
      </c>
      <c r="N17" s="1538"/>
      <c r="O17" s="1539"/>
      <c r="P17" s="736"/>
      <c r="Q17" s="736"/>
      <c r="R17" s="736"/>
      <c r="S17" s="290"/>
    </row>
    <row r="18" spans="1:22" ht="12.75" customHeight="1">
      <c r="B18" s="55"/>
      <c r="C18" s="742"/>
      <c r="D18" s="1540" t="s">
        <v>281</v>
      </c>
      <c r="E18" s="1537" t="s">
        <v>282</v>
      </c>
      <c r="F18" s="1538"/>
      <c r="G18" s="1539"/>
      <c r="H18" s="736"/>
      <c r="I18" s="1537" t="s">
        <v>289</v>
      </c>
      <c r="J18" s="1538"/>
      <c r="K18" s="1539"/>
      <c r="L18" s="736"/>
      <c r="M18" s="1540" t="s">
        <v>281</v>
      </c>
      <c r="N18" s="745"/>
      <c r="O18" s="746"/>
      <c r="P18" s="736"/>
      <c r="Q18" s="736"/>
      <c r="R18" s="736"/>
      <c r="S18" s="290"/>
    </row>
    <row r="19" spans="1:22" ht="12.75" customHeight="1">
      <c r="A19" s="1532" t="str">
        <f>IF(E22&lt;&gt;0.5,"0.5' Increments is standard TxDOT practice and should be used where possible.  0.25' Increments should only be used when a refined definition of load locations is required.","")</f>
        <v/>
      </c>
      <c r="B19" s="747"/>
      <c r="C19" s="747"/>
      <c r="D19" s="1541"/>
      <c r="E19" s="748">
        <v>2</v>
      </c>
      <c r="F19" s="749">
        <v>3</v>
      </c>
      <c r="G19" s="750">
        <v>4</v>
      </c>
      <c r="H19" s="736"/>
      <c r="I19" s="748">
        <v>2</v>
      </c>
      <c r="J19" s="749">
        <v>3</v>
      </c>
      <c r="K19" s="750">
        <v>4</v>
      </c>
      <c r="L19" s="736"/>
      <c r="M19" s="1541"/>
      <c r="N19" s="749" t="s">
        <v>286</v>
      </c>
      <c r="O19" s="750" t="s">
        <v>287</v>
      </c>
      <c r="P19" s="736"/>
      <c r="Q19" s="1548" t="s">
        <v>288</v>
      </c>
      <c r="R19" s="1548"/>
      <c r="S19" s="290"/>
    </row>
    <row r="20" spans="1:22" ht="12.75" customHeight="1">
      <c r="A20" s="1532"/>
      <c r="B20" s="747"/>
      <c r="C20" s="683" t="str">
        <f>IF(T20=1,"*","-")</f>
        <v>*</v>
      </c>
      <c r="D20" s="50"/>
      <c r="E20" s="50"/>
      <c r="F20" s="50"/>
      <c r="G20" s="50"/>
      <c r="H20" s="740"/>
      <c r="I20" s="50">
        <v>2</v>
      </c>
      <c r="J20" s="50">
        <f>COUNTIF(T33:T51,"=1")</f>
        <v>7</v>
      </c>
      <c r="K20" s="50">
        <f>COUNTIF(T56:T142,"=1")</f>
        <v>21</v>
      </c>
      <c r="L20" s="740"/>
      <c r="M20" s="573"/>
      <c r="N20" s="50">
        <v>3</v>
      </c>
      <c r="O20" s="50"/>
      <c r="P20" s="740"/>
      <c r="Q20" s="1565">
        <v>0</v>
      </c>
      <c r="R20" s="1566"/>
      <c r="S20" s="290"/>
      <c r="T20" s="337">
        <v>1</v>
      </c>
    </row>
    <row r="21" spans="1:22" ht="12.75" customHeight="1">
      <c r="A21" s="1532"/>
      <c r="B21" s="55" t="s">
        <v>299</v>
      </c>
      <c r="C21" s="290"/>
      <c r="D21" s="736"/>
      <c r="E21" s="736"/>
      <c r="F21" s="736"/>
      <c r="G21" s="736"/>
      <c r="H21" s="736"/>
      <c r="I21" s="736"/>
      <c r="J21" s="736"/>
      <c r="K21" s="736"/>
      <c r="L21" s="736"/>
      <c r="M21" s="736"/>
      <c r="N21" s="736"/>
      <c r="O21" s="736"/>
      <c r="P21" s="736"/>
      <c r="Q21" s="736"/>
      <c r="R21" s="736"/>
      <c r="S21" s="290"/>
    </row>
    <row r="22" spans="1:22" ht="12.75" customHeight="1">
      <c r="A22" s="1532"/>
      <c r="B22" s="290"/>
      <c r="C22" s="290"/>
      <c r="D22" s="1057" t="s">
        <v>696</v>
      </c>
      <c r="E22" s="844">
        <v>0.5</v>
      </c>
      <c r="F22" s="736" t="s">
        <v>95</v>
      </c>
      <c r="G22" s="736"/>
      <c r="H22" s="1537" t="s">
        <v>291</v>
      </c>
      <c r="I22" s="1538"/>
      <c r="J22" s="1538"/>
      <c r="K22" s="1539"/>
      <c r="L22" s="736"/>
      <c r="M22" s="736"/>
      <c r="N22" s="736"/>
      <c r="O22" s="736"/>
      <c r="P22" s="736"/>
      <c r="Q22" s="736"/>
      <c r="R22" s="736"/>
      <c r="S22" s="290"/>
    </row>
    <row r="23" spans="1:22" ht="12.75" customHeight="1">
      <c r="A23" s="1532"/>
      <c r="B23" s="290"/>
      <c r="C23" s="290"/>
      <c r="D23" s="751" t="s">
        <v>370</v>
      </c>
      <c r="E23" s="1540" t="s">
        <v>290</v>
      </c>
      <c r="F23" s="1560"/>
      <c r="G23" s="736"/>
      <c r="H23" s="1540" t="s">
        <v>292</v>
      </c>
      <c r="I23" s="1548" t="s">
        <v>293</v>
      </c>
      <c r="J23" s="1548" t="s">
        <v>294</v>
      </c>
      <c r="K23" s="1560" t="s">
        <v>295</v>
      </c>
      <c r="L23" s="736"/>
      <c r="M23" s="1548" t="s">
        <v>877</v>
      </c>
      <c r="N23" s="736"/>
      <c r="O23" s="1548" t="s">
        <v>298</v>
      </c>
      <c r="P23" s="1548"/>
      <c r="Q23" s="1548"/>
      <c r="R23" s="1548"/>
      <c r="S23" s="290"/>
      <c r="V23" s="1303" t="s">
        <v>1476</v>
      </c>
    </row>
    <row r="24" spans="1:22">
      <c r="A24" s="1532"/>
      <c r="B24" s="290"/>
      <c r="C24" s="290"/>
      <c r="D24" s="752" t="s">
        <v>371</v>
      </c>
      <c r="E24" s="1541"/>
      <c r="F24" s="1561"/>
      <c r="G24" s="736"/>
      <c r="H24" s="1541"/>
      <c r="I24" s="1559"/>
      <c r="J24" s="1559"/>
      <c r="K24" s="1561"/>
      <c r="L24" s="736"/>
      <c r="M24" s="1559"/>
      <c r="N24" s="736"/>
      <c r="O24" s="1548" t="s">
        <v>721</v>
      </c>
      <c r="P24" s="1548"/>
      <c r="Q24" s="1548" t="s">
        <v>297</v>
      </c>
      <c r="R24" s="1548"/>
      <c r="S24" s="290"/>
    </row>
    <row r="25" spans="1:22">
      <c r="A25" s="1532"/>
      <c r="B25" s="290"/>
      <c r="C25" s="683" t="str">
        <f>IF(T25=1,"*","-")</f>
        <v>*</v>
      </c>
      <c r="D25" s="50" t="str">
        <f>FIXED((ABS(MIN(0,CapEndToSlabEdge))+MAX(DeckWidth/COS(RADIANS(BentSkew)),caplength+CapEndToSlabEdge))/Incr,0)</f>
        <v>100</v>
      </c>
      <c r="E25" s="1567">
        <f>InputIncrement</f>
        <v>0.5</v>
      </c>
      <c r="F25" s="1567"/>
      <c r="G25" s="738"/>
      <c r="H25" s="50">
        <f>ROUND(10/E22/COS(RADIANS(BentSkew)),0)</f>
        <v>20</v>
      </c>
      <c r="I25" s="49" t="str">
        <f>FIXED(ABS(MIN(0,CapEndToSlabEdge/Incr))+RailWidth/Incr/COS(RADIANS(BentSkew)),0)</f>
        <v>2</v>
      </c>
      <c r="J25" s="50" t="str">
        <f>FIXED(((DeckWidth-RailWidth-RailWidthRt)/COS(RADIANS(BentSkew)))/Incr+I25-H25,0)</f>
        <v>78</v>
      </c>
      <c r="K25" s="50">
        <v>1</v>
      </c>
      <c r="L25" s="738"/>
      <c r="M25" s="50">
        <v>3</v>
      </c>
      <c r="N25" s="738"/>
      <c r="O25" s="1531">
        <v>1.25</v>
      </c>
      <c r="P25" s="1531"/>
      <c r="Q25" s="1531">
        <v>1.75</v>
      </c>
      <c r="R25" s="1531"/>
      <c r="S25" s="290"/>
      <c r="T25" s="337">
        <v>1</v>
      </c>
    </row>
    <row r="26" spans="1:22" ht="3.75" customHeight="1">
      <c r="B26" s="290"/>
      <c r="C26" s="290"/>
      <c r="D26" s="290"/>
      <c r="E26" s="290"/>
      <c r="F26" s="290"/>
      <c r="G26" s="290"/>
      <c r="H26" s="290"/>
      <c r="I26" s="290"/>
      <c r="J26" s="290"/>
      <c r="K26" s="290"/>
      <c r="L26" s="290"/>
      <c r="M26" s="290"/>
      <c r="N26" s="290"/>
      <c r="O26" s="290"/>
      <c r="P26" s="290"/>
      <c r="Q26" s="290"/>
      <c r="R26" s="290"/>
      <c r="S26" s="290"/>
    </row>
    <row r="27" spans="1:22" ht="12.75" customHeight="1">
      <c r="B27" s="290"/>
      <c r="C27" s="290"/>
      <c r="D27" s="1546" t="s">
        <v>889</v>
      </c>
      <c r="E27" s="1546"/>
      <c r="F27" s="290"/>
      <c r="G27" s="1558" t="s">
        <v>372</v>
      </c>
      <c r="H27" s="1558"/>
      <c r="I27" s="60"/>
      <c r="J27" s="1557" t="s">
        <v>888</v>
      </c>
      <c r="K27" s="1557"/>
      <c r="L27" s="1557"/>
      <c r="M27" s="1557"/>
      <c r="N27" s="1557"/>
      <c r="O27" s="290"/>
      <c r="P27" s="290"/>
      <c r="Q27" s="290"/>
      <c r="R27" s="290"/>
      <c r="S27" s="290"/>
    </row>
    <row r="28" spans="1:22">
      <c r="B28" s="290"/>
      <c r="C28" s="290"/>
      <c r="D28" s="1546" t="s">
        <v>890</v>
      </c>
      <c r="E28" s="1546"/>
      <c r="F28" s="290"/>
      <c r="G28" s="1558" t="s">
        <v>336</v>
      </c>
      <c r="H28" s="1558"/>
      <c r="I28" s="60"/>
      <c r="J28" s="59">
        <v>1</v>
      </c>
      <c r="K28" s="59">
        <v>2</v>
      </c>
      <c r="L28" s="59">
        <v>3</v>
      </c>
      <c r="M28" s="59">
        <v>4</v>
      </c>
      <c r="N28" s="59">
        <v>5</v>
      </c>
      <c r="O28" s="290"/>
      <c r="P28" s="290"/>
      <c r="Q28" s="290"/>
      <c r="R28" s="290"/>
      <c r="S28" s="290"/>
    </row>
    <row r="29" spans="1:22">
      <c r="B29" s="290"/>
      <c r="C29" s="683" t="str">
        <f>IF(T29=1,"*","-")</f>
        <v>*</v>
      </c>
      <c r="D29" s="1536">
        <v>1.5</v>
      </c>
      <c r="E29" s="1536"/>
      <c r="F29" s="753"/>
      <c r="G29" s="1568">
        <f>MIN(5,NumLanes)</f>
        <v>4</v>
      </c>
      <c r="H29" s="1536"/>
      <c r="I29" s="753"/>
      <c r="J29" s="30">
        <f>IF(G29&gt;=1,1.2,"")</f>
        <v>1.2</v>
      </c>
      <c r="K29" s="30">
        <f>IF(G29&gt;=2,1,"")</f>
        <v>1</v>
      </c>
      <c r="L29" s="30">
        <f>IF(G29&gt;=3,0.85,"")</f>
        <v>0.85</v>
      </c>
      <c r="M29" s="30">
        <f>IF(G29&gt;=4,0.65,"")</f>
        <v>0.65</v>
      </c>
      <c r="N29" s="30" t="str">
        <f>IF(G29&gt;=5,0.65,"")</f>
        <v/>
      </c>
      <c r="O29" s="698"/>
      <c r="P29" s="698"/>
      <c r="Q29" s="698"/>
      <c r="R29" s="698"/>
      <c r="S29" s="290"/>
      <c r="T29" s="337">
        <v>1</v>
      </c>
    </row>
    <row r="30" spans="1:22">
      <c r="B30" s="55" t="s">
        <v>366</v>
      </c>
      <c r="C30" s="290"/>
      <c r="D30" s="290"/>
      <c r="E30" s="290"/>
      <c r="F30" s="290"/>
      <c r="G30" s="290"/>
      <c r="H30" s="290"/>
      <c r="I30" s="290"/>
      <c r="J30" s="290"/>
      <c r="K30" s="290"/>
      <c r="L30" s="290"/>
      <c r="M30" s="290"/>
      <c r="N30" s="290"/>
      <c r="O30" s="290"/>
      <c r="P30" s="290"/>
      <c r="Q30" s="290"/>
      <c r="R30" s="290"/>
      <c r="S30" s="290"/>
    </row>
    <row r="31" spans="1:22">
      <c r="B31" s="290"/>
      <c r="C31" s="290"/>
      <c r="D31" s="290"/>
      <c r="E31" s="1569" t="s">
        <v>305</v>
      </c>
      <c r="F31" s="1570"/>
      <c r="G31" s="1570"/>
      <c r="H31" s="1570"/>
      <c r="I31" s="1571"/>
      <c r="J31" s="745"/>
      <c r="K31" s="745"/>
      <c r="L31" s="745"/>
      <c r="M31" s="745"/>
      <c r="N31" s="42"/>
      <c r="O31" s="42"/>
      <c r="P31" s="42"/>
      <c r="Q31" s="42"/>
      <c r="R31" s="42"/>
      <c r="S31" s="290"/>
    </row>
    <row r="32" spans="1:22">
      <c r="B32" s="55"/>
      <c r="C32" s="290"/>
      <c r="D32" s="290"/>
      <c r="E32" s="675" t="s">
        <v>301</v>
      </c>
      <c r="F32" s="57" t="s">
        <v>302</v>
      </c>
      <c r="G32" s="57" t="s">
        <v>373</v>
      </c>
      <c r="H32" s="57" t="s">
        <v>303</v>
      </c>
      <c r="I32" s="676" t="s">
        <v>304</v>
      </c>
      <c r="J32" s="42"/>
      <c r="K32" s="42"/>
      <c r="L32" s="42"/>
      <c r="M32" s="42"/>
      <c r="N32" s="42"/>
      <c r="O32" s="42"/>
      <c r="P32" s="42"/>
      <c r="Q32" s="42"/>
      <c r="R32" s="42"/>
      <c r="S32" s="290"/>
    </row>
    <row r="33" spans="2:31">
      <c r="B33" s="290"/>
      <c r="C33" s="683" t="str">
        <f>IF(T33=1,"*","-")</f>
        <v>*</v>
      </c>
      <c r="D33" s="698"/>
      <c r="E33" s="49">
        <f>NumLanes</f>
        <v>4</v>
      </c>
      <c r="F33" s="50">
        <f>BkBms</f>
        <v>4</v>
      </c>
      <c r="G33" s="50">
        <f>NoSupports</f>
        <v>1</v>
      </c>
      <c r="H33" s="50">
        <f>COUNTIF(E45:N47,"&gt;0")</f>
        <v>8</v>
      </c>
      <c r="I33" s="50">
        <f>COUNTIF(E49:N51,"&gt;0")</f>
        <v>4</v>
      </c>
      <c r="J33" s="698"/>
      <c r="K33" s="698"/>
      <c r="L33" s="698"/>
      <c r="M33" s="698"/>
      <c r="N33" s="698"/>
      <c r="O33" s="698"/>
      <c r="P33" s="698"/>
      <c r="Q33" s="698"/>
      <c r="R33" s="698"/>
      <c r="S33" s="290"/>
      <c r="T33" s="337">
        <v>1</v>
      </c>
    </row>
    <row r="34" spans="2:31" ht="12" customHeight="1">
      <c r="B34" s="290"/>
      <c r="C34" s="683"/>
      <c r="D34" s="290"/>
      <c r="E34" s="680" t="s">
        <v>326</v>
      </c>
      <c r="F34" s="290"/>
      <c r="G34" s="290"/>
      <c r="H34" s="290"/>
      <c r="I34" s="290"/>
      <c r="J34" s="290"/>
      <c r="K34" s="290"/>
      <c r="L34" s="290"/>
      <c r="M34" s="290"/>
      <c r="N34" s="290"/>
      <c r="O34" s="290"/>
      <c r="P34" s="290"/>
      <c r="Q34" s="290"/>
      <c r="R34" s="290"/>
      <c r="S34" s="290"/>
    </row>
    <row r="35" spans="2:31" s="579" customFormat="1" ht="1.5" customHeight="1">
      <c r="B35" s="754"/>
      <c r="C35" s="683"/>
      <c r="D35" s="754" t="s">
        <v>385</v>
      </c>
      <c r="E35" s="755">
        <v>1</v>
      </c>
      <c r="F35" s="755">
        <v>2</v>
      </c>
      <c r="G35" s="755">
        <v>3</v>
      </c>
      <c r="H35" s="755">
        <v>4</v>
      </c>
      <c r="I35" s="755">
        <v>5</v>
      </c>
      <c r="J35" s="755">
        <v>6</v>
      </c>
      <c r="K35" s="755">
        <v>7</v>
      </c>
      <c r="L35" s="755">
        <v>8</v>
      </c>
      <c r="M35" s="755">
        <v>9</v>
      </c>
      <c r="N35" s="755">
        <v>10</v>
      </c>
      <c r="O35" s="754"/>
      <c r="P35" s="754"/>
      <c r="Q35" s="754"/>
      <c r="R35" s="754"/>
      <c r="S35" s="754"/>
      <c r="U35" s="337"/>
    </row>
    <row r="36" spans="2:31">
      <c r="B36" s="290"/>
      <c r="C36" s="683" t="str">
        <f>IF(T36=1,"*","-")</f>
        <v>*</v>
      </c>
      <c r="D36" s="698"/>
      <c r="E36" s="49" t="str">
        <f>IF(E33&gt;0,FIXED(I25,0),"")</f>
        <v>2</v>
      </c>
      <c r="F36" s="50" t="str">
        <f t="shared" ref="F36:N36" si="0">IF($E$33&gt;E35,FIXED(($E$36+E35*(RdwyWidth/$E$33)/COS(RADIANS(BentSkew))/($E$22)),0),"")</f>
        <v>26</v>
      </c>
      <c r="G36" s="50" t="str">
        <f t="shared" si="0"/>
        <v>50</v>
      </c>
      <c r="H36" s="50" t="str">
        <f t="shared" si="0"/>
        <v>74</v>
      </c>
      <c r="I36" s="50" t="str">
        <f t="shared" si="0"/>
        <v/>
      </c>
      <c r="J36" s="50" t="str">
        <f t="shared" si="0"/>
        <v/>
      </c>
      <c r="K36" s="50" t="str">
        <f t="shared" si="0"/>
        <v/>
      </c>
      <c r="L36" s="50" t="str">
        <f t="shared" si="0"/>
        <v/>
      </c>
      <c r="M36" s="50" t="str">
        <f t="shared" si="0"/>
        <v/>
      </c>
      <c r="N36" s="50" t="str">
        <f t="shared" si="0"/>
        <v/>
      </c>
      <c r="O36" s="698"/>
      <c r="P36" s="698"/>
      <c r="Q36" s="698"/>
      <c r="R36" s="698"/>
      <c r="S36" s="290"/>
      <c r="T36" s="337">
        <v>1</v>
      </c>
    </row>
    <row r="37" spans="2:31">
      <c r="B37" s="290"/>
      <c r="C37" s="683"/>
      <c r="D37" s="290"/>
      <c r="E37" s="680" t="s">
        <v>308</v>
      </c>
      <c r="F37" s="290"/>
      <c r="G37" s="290"/>
      <c r="H37" s="290"/>
      <c r="I37" s="290"/>
      <c r="J37" s="290"/>
      <c r="K37" s="290"/>
      <c r="L37" s="290"/>
      <c r="M37" s="290"/>
      <c r="N37" s="290"/>
      <c r="O37" s="290"/>
      <c r="P37" s="290"/>
      <c r="Q37" s="290"/>
      <c r="R37" s="290"/>
      <c r="S37" s="290"/>
    </row>
    <row r="38" spans="2:31">
      <c r="B38" s="290"/>
      <c r="C38" s="683" t="str">
        <f>IF(T38=1,"*","-")</f>
        <v>*</v>
      </c>
      <c r="D38" s="698"/>
      <c r="E38" s="50" t="str">
        <f>IF($E$33&gt;0,IF($E$33=1,$J$25+$H$25,$F$36))</f>
        <v>26</v>
      </c>
      <c r="F38" s="50" t="str">
        <f>IF($E$33=F35,$J$25+$H$25,IF($E$33&gt;F35,G36,""))</f>
        <v>50</v>
      </c>
      <c r="G38" s="50" t="str">
        <f t="shared" ref="G38:N38" si="1">IF($E$33=G35,$J$25+$H$25,IF($E$33&gt;G35,H36,""))</f>
        <v>74</v>
      </c>
      <c r="H38" s="50">
        <f t="shared" si="1"/>
        <v>98</v>
      </c>
      <c r="I38" s="50" t="str">
        <f t="shared" si="1"/>
        <v/>
      </c>
      <c r="J38" s="50" t="str">
        <f t="shared" si="1"/>
        <v/>
      </c>
      <c r="K38" s="50" t="str">
        <f t="shared" si="1"/>
        <v/>
      </c>
      <c r="L38" s="50" t="str">
        <f t="shared" si="1"/>
        <v/>
      </c>
      <c r="M38" s="50" t="str">
        <f t="shared" si="1"/>
        <v/>
      </c>
      <c r="N38" s="50" t="str">
        <f t="shared" si="1"/>
        <v/>
      </c>
      <c r="O38" s="698"/>
      <c r="P38" s="698"/>
      <c r="Q38" s="698"/>
      <c r="R38" s="698"/>
      <c r="S38" s="290"/>
      <c r="T38" s="337">
        <v>1</v>
      </c>
    </row>
    <row r="39" spans="2:31">
      <c r="B39" s="290"/>
      <c r="C39" s="683"/>
      <c r="D39" s="290"/>
      <c r="E39" s="680" t="s">
        <v>307</v>
      </c>
      <c r="F39" s="290"/>
      <c r="G39" s="290"/>
      <c r="H39" s="290"/>
      <c r="I39" s="290"/>
      <c r="J39" s="290"/>
      <c r="K39" s="290"/>
      <c r="L39" s="290"/>
      <c r="M39" s="290"/>
      <c r="N39" s="290"/>
      <c r="O39" s="290"/>
      <c r="P39" s="290"/>
      <c r="Q39" s="290"/>
      <c r="R39" s="290"/>
      <c r="S39" s="290"/>
    </row>
    <row r="40" spans="2:31">
      <c r="B40" s="290"/>
      <c r="C40" s="683" t="str">
        <f>IF(T40=1,"*","-")</f>
        <v>*</v>
      </c>
      <c r="D40" s="756"/>
      <c r="E40" s="30">
        <f>IF(MAX(Geometry!I128,Geometry!J128)=0,"",ROUND(MAX(Geometry!I128,Geometry!J128)/Incr,0))</f>
        <v>6</v>
      </c>
      <c r="F40" s="30">
        <f>IF(MAX(Geometry!I129,Geometry!J129)=0,"",ROUND(MAX(Geometry!I129,Geometry!J129)/Incr,0))</f>
        <v>35</v>
      </c>
      <c r="G40" s="30">
        <f>IF(MAX(Geometry!I130,Geometry!J130)=0,"",ROUND(MAX(Geometry!I130,Geometry!J130)/Incr,0))</f>
        <v>65</v>
      </c>
      <c r="H40" s="30">
        <f>IF(MAX(Geometry!I131,Geometry!J131)=0,"",ROUND(MAX(Geometry!I131,Geometry!J131)/Incr,0))</f>
        <v>94</v>
      </c>
      <c r="I40" s="30" t="str">
        <f>IF(MAX(Geometry!I132,Geometry!J132)=0,"",ROUND(MAX(Geometry!I132,Geometry!J132)/Incr,0))</f>
        <v/>
      </c>
      <c r="J40" s="30" t="str">
        <f>IF(MAX(Geometry!I133,Geometry!J133)=0,"",ROUND(MAX(Geometry!I133,Geometry!J133)/Incr,0))</f>
        <v/>
      </c>
      <c r="K40" s="30" t="str">
        <f>IF(MAX(Geometry!I134,Geometry!J134)=0,"",ROUND(MAX(Geometry!I134,Geometry!J134)/Incr,0))</f>
        <v/>
      </c>
      <c r="L40" s="30" t="str">
        <f>IF(MAX(Geometry!I135,Geometry!J135)=0,"",ROUND(MAX(Geometry!I135,Geometry!J135)/Incr,0))</f>
        <v/>
      </c>
      <c r="M40" s="30" t="str">
        <f>IF(MAX(Geometry!I136,Geometry!J136)=0,"",ROUND(MAX(Geometry!I136,Geometry!J136)/Incr,0))</f>
        <v/>
      </c>
      <c r="N40" s="30" t="str">
        <f>IF(MAX(Geometry!I137,Geometry!J137)=0,"",ROUND(MAX(Geometry!I137,Geometry!J137)/Incr,0))</f>
        <v/>
      </c>
      <c r="O40" s="757"/>
      <c r="P40" s="42"/>
      <c r="Q40" s="42"/>
      <c r="R40" s="42"/>
      <c r="S40" s="290"/>
      <c r="T40" s="337">
        <f>IF(_IBM1="",0,1)</f>
        <v>1</v>
      </c>
      <c r="V40" s="338"/>
      <c r="W40" s="338"/>
      <c r="X40" s="338"/>
      <c r="Y40" s="338"/>
      <c r="Z40" s="338"/>
      <c r="AA40" s="338"/>
      <c r="AB40" s="338"/>
      <c r="AC40" s="338"/>
      <c r="AD40" s="338"/>
      <c r="AE40" s="338"/>
    </row>
    <row r="41" spans="2:31" hidden="1">
      <c r="B41" s="290"/>
      <c r="C41" s="683" t="str">
        <f>IF(T41=1,"*","-")</f>
        <v>-</v>
      </c>
      <c r="D41" s="737"/>
      <c r="E41" s="30" t="str">
        <f>IF(MAX(Geometry!I138,Geometry!J138)=0,"",ROUND(MAX(Geometry!I138,Geometry!J138)/Incr,0))</f>
        <v/>
      </c>
      <c r="F41" s="30" t="str">
        <f>IF(MAX(Geometry!I139,Geometry!J139)=0,"",ROUND(MAX(Geometry!I139,Geometry!J139)/Incr,0))</f>
        <v/>
      </c>
      <c r="G41" s="30" t="str">
        <f>IF(MAX(Geometry!I140,Geometry!J140)=0,"",ROUND(MAX(Geometry!I140,Geometry!J140)/Incr,0))</f>
        <v/>
      </c>
      <c r="H41" s="30" t="str">
        <f>IF(MAX(Geometry!I141,Geometry!J141)=0,"",ROUND(MAX(Geometry!I141,Geometry!J141)/Incr,0))</f>
        <v/>
      </c>
      <c r="I41" s="30" t="str">
        <f>IF(MAX(Geometry!I142,Geometry!J142)=0,"",ROUND(MAX(Geometry!I142,Geometry!J142)/Incr,0))</f>
        <v/>
      </c>
      <c r="J41" s="30" t="str">
        <f>IF(MAX(Geometry!I143,Geometry!J143)=0,"",ROUND(MAX(Geometry!I143,Geometry!J143)/Incr,0))</f>
        <v/>
      </c>
      <c r="K41" s="30" t="str">
        <f>IF(MAX(Geometry!I144,Geometry!J144)=0,"",ROUND(MAX(Geometry!I144,Geometry!J144)/Incr,0))</f>
        <v/>
      </c>
      <c r="L41" s="30" t="str">
        <f>IF(MAX(Geometry!I145,Geometry!J145)=0,"",ROUND(MAX(Geometry!I145,Geometry!J145)/Incr,0))</f>
        <v/>
      </c>
      <c r="M41" s="30" t="str">
        <f>IF(MAX(Geometry!I146,Geometry!J146)=0,"",ROUND(MAX(Geometry!I146,Geometry!J146)/Incr,0))</f>
        <v/>
      </c>
      <c r="N41" s="30" t="str">
        <f>IF(MAX(Geometry!I147,Geometry!J147)=0,"",ROUND(MAX(Geometry!I147,Geometry!J147)/Incr,0))</f>
        <v/>
      </c>
      <c r="O41" s="758"/>
      <c r="P41" s="698"/>
      <c r="Q41" s="698"/>
      <c r="R41" s="698"/>
      <c r="S41" s="290"/>
      <c r="T41" s="337">
        <f>IF(_IBM11="",0,1)</f>
        <v>0</v>
      </c>
      <c r="V41" s="390"/>
      <c r="W41" s="340"/>
      <c r="X41" s="340"/>
      <c r="Y41" s="340"/>
      <c r="Z41" s="340"/>
      <c r="AA41" s="340"/>
      <c r="AB41" s="340"/>
      <c r="AC41" s="340"/>
      <c r="AD41" s="340"/>
      <c r="AE41" s="338"/>
    </row>
    <row r="42" spans="2:31">
      <c r="B42" s="290"/>
      <c r="C42" s="683"/>
      <c r="D42" s="290"/>
      <c r="E42" s="680" t="s">
        <v>306</v>
      </c>
      <c r="F42" s="290"/>
      <c r="G42" s="290"/>
      <c r="H42" s="290"/>
      <c r="I42" s="290"/>
      <c r="J42" s="290"/>
      <c r="K42" s="290"/>
      <c r="L42" s="290"/>
      <c r="M42" s="290"/>
      <c r="N42" s="290"/>
      <c r="O42" s="290"/>
      <c r="P42" s="290"/>
      <c r="Q42" s="290"/>
      <c r="R42" s="290"/>
      <c r="S42" s="290"/>
      <c r="V42" s="340"/>
      <c r="W42" s="340"/>
      <c r="X42" s="340"/>
      <c r="Y42" s="340"/>
      <c r="Z42" s="340"/>
      <c r="AA42" s="340"/>
      <c r="AB42" s="340"/>
      <c r="AC42" s="340"/>
      <c r="AD42" s="340"/>
      <c r="AE42" s="338"/>
    </row>
    <row r="43" spans="2:31">
      <c r="B43" s="290"/>
      <c r="C43" s="683" t="str">
        <f>IF(T43=1,"*","-")</f>
        <v>*</v>
      </c>
      <c r="D43" s="698"/>
      <c r="E43" s="50">
        <f>IF(MAX(Geometry!I107,Geometry!J107)=0,"",ROUND(MAX(Geometry!I107,Geometry!J107)/Incr,0))</f>
        <v>50</v>
      </c>
      <c r="F43" s="50" t="str">
        <f>IF(MAX(Geometry!I108,Geometry!J108)=0,"",ROUND(MAX(Geometry!I108,Geometry!J108)/Incr,0))</f>
        <v/>
      </c>
      <c r="G43" s="50" t="str">
        <f>IF(MAX(Geometry!I109,Geometry!J109)=0,"",ROUND(MAX(Geometry!I109,Geometry!J109)/Incr,0))</f>
        <v/>
      </c>
      <c r="H43" s="50" t="str">
        <f>IF(MAX(Geometry!I110,Geometry!J110)=0,"",ROUND(MAX(Geometry!I110,Geometry!J110)/Incr,0))</f>
        <v/>
      </c>
      <c r="I43" s="50" t="str">
        <f>IF(MAX(Geometry!I111,Geometry!J111)=0,"",ROUND(MAX(Geometry!I111,Geometry!J111)/Incr,0))</f>
        <v/>
      </c>
      <c r="J43" s="50" t="str">
        <f>IF(MAX(Geometry!I112,Geometry!J112)=0,"",ROUND(MAX(Geometry!I112,Geometry!J112)/Incr,0))</f>
        <v/>
      </c>
      <c r="K43" s="50" t="str">
        <f>IF(MAX(Geometry!I113,Geometry!J113)=0,"",ROUND(MAX(Geometry!I113,Geometry!J113)/Incr,0))</f>
        <v/>
      </c>
      <c r="L43" s="50" t="str">
        <f>IF(MAX(Geometry!I114,Geometry!J114)=0,"",ROUND(MAX(Geometry!I114,Geometry!J114)/Incr,0))</f>
        <v/>
      </c>
      <c r="M43" s="50" t="str">
        <f>IF(MAX(Geometry!I115,Geometry!J115)=0,"",ROUND(MAX(Geometry!I115,Geometry!J115)/Incr,0))</f>
        <v/>
      </c>
      <c r="N43" s="50" t="str">
        <f>IF(MAX(Geometry!I116,Geometry!J116)=0,"",ROUND(MAX(Geometry!I116,Geometry!J116)/Incr,0))</f>
        <v/>
      </c>
      <c r="O43" s="698"/>
      <c r="P43" s="698"/>
      <c r="Q43" s="698"/>
      <c r="R43" s="698"/>
      <c r="S43" s="290"/>
      <c r="T43" s="337">
        <v>1</v>
      </c>
      <c r="V43" s="340"/>
      <c r="W43" s="340"/>
      <c r="X43" s="340"/>
      <c r="Y43" s="340"/>
      <c r="Z43" s="340"/>
      <c r="AA43" s="340"/>
      <c r="AB43" s="340"/>
      <c r="AC43" s="340"/>
      <c r="AD43" s="340"/>
      <c r="AE43" s="338"/>
    </row>
    <row r="44" spans="2:31">
      <c r="B44" s="290"/>
      <c r="C44" s="683"/>
      <c r="D44" s="290"/>
      <c r="E44" s="680" t="s">
        <v>327</v>
      </c>
      <c r="F44" s="290"/>
      <c r="G44" s="290"/>
      <c r="H44" s="290"/>
      <c r="I44" s="290"/>
      <c r="J44" s="290"/>
      <c r="K44" s="290"/>
      <c r="L44" s="290"/>
      <c r="M44" s="290"/>
      <c r="N44" s="290"/>
      <c r="O44" s="290"/>
      <c r="P44" s="290"/>
      <c r="Q44" s="290"/>
      <c r="R44" s="290"/>
      <c r="S44" s="290"/>
      <c r="V44" s="338"/>
      <c r="W44" s="338"/>
      <c r="X44" s="338"/>
      <c r="Y44" s="338"/>
      <c r="Z44" s="338"/>
      <c r="AA44" s="338"/>
      <c r="AB44" s="338"/>
      <c r="AC44" s="338"/>
      <c r="AD44" s="338"/>
      <c r="AE44" s="338"/>
    </row>
    <row r="45" spans="2:31">
      <c r="B45" s="290"/>
      <c r="C45" s="683" t="str">
        <f t="shared" ref="C45:C49" si="2">IF(T45=1,"*","")</f>
        <v>*</v>
      </c>
      <c r="D45" s="756"/>
      <c r="E45" s="574">
        <v>6</v>
      </c>
      <c r="F45" s="574">
        <v>22</v>
      </c>
      <c r="G45" s="574">
        <v>24</v>
      </c>
      <c r="H45" s="574">
        <v>41</v>
      </c>
      <c r="I45" s="574">
        <v>59</v>
      </c>
      <c r="J45" s="574">
        <v>76</v>
      </c>
      <c r="K45" s="574">
        <v>78</v>
      </c>
      <c r="L45" s="574">
        <v>94</v>
      </c>
      <c r="M45" s="574"/>
      <c r="N45" s="574"/>
      <c r="O45" s="757"/>
      <c r="P45" s="42"/>
      <c r="Q45" s="42"/>
      <c r="R45" s="42"/>
      <c r="S45" s="290"/>
      <c r="T45" s="337">
        <f>IF(_IMC1="",0,1)</f>
        <v>1</v>
      </c>
      <c r="V45" s="340"/>
      <c r="W45" s="340"/>
      <c r="X45" s="340"/>
      <c r="Y45" s="340"/>
      <c r="Z45" s="340"/>
      <c r="AA45" s="340"/>
      <c r="AB45" s="340"/>
      <c r="AC45" s="340"/>
      <c r="AD45" s="340"/>
      <c r="AE45" s="338"/>
    </row>
    <row r="46" spans="2:31" hidden="1">
      <c r="B46" s="290"/>
      <c r="C46" s="683" t="str">
        <f>IF(T46=1,"*","-")</f>
        <v>-</v>
      </c>
      <c r="D46" s="756"/>
      <c r="E46" s="574"/>
      <c r="F46" s="574"/>
      <c r="G46" s="574"/>
      <c r="H46" s="574"/>
      <c r="I46" s="574"/>
      <c r="J46" s="574"/>
      <c r="K46" s="574"/>
      <c r="L46" s="574"/>
      <c r="M46" s="574"/>
      <c r="N46" s="574"/>
      <c r="O46" s="757"/>
      <c r="P46" s="42"/>
      <c r="Q46" s="42"/>
      <c r="R46" s="42"/>
      <c r="S46" s="290"/>
      <c r="T46" s="337">
        <f>IF(_IMC11="",0,1)</f>
        <v>0</v>
      </c>
      <c r="V46" s="340"/>
    </row>
    <row r="47" spans="2:31" hidden="1">
      <c r="B47" s="290"/>
      <c r="C47" s="683" t="str">
        <f>IF(T47=1,"*","-")</f>
        <v>-</v>
      </c>
      <c r="D47" s="737"/>
      <c r="E47" s="574"/>
      <c r="F47" s="574"/>
      <c r="G47" s="574"/>
      <c r="H47" s="574"/>
      <c r="I47" s="574"/>
      <c r="J47" s="574"/>
      <c r="K47" s="574"/>
      <c r="L47" s="574"/>
      <c r="M47" s="574"/>
      <c r="N47" s="574"/>
      <c r="O47" s="758"/>
      <c r="P47" s="698"/>
      <c r="Q47" s="698"/>
      <c r="R47" s="698"/>
      <c r="S47" s="290"/>
      <c r="T47" s="337">
        <f>IF(_IMC21="",0,1)</f>
        <v>0</v>
      </c>
      <c r="V47" s="340"/>
    </row>
    <row r="48" spans="2:31">
      <c r="B48" s="290"/>
      <c r="C48" s="683"/>
      <c r="D48" s="290"/>
      <c r="E48" s="680" t="s">
        <v>329</v>
      </c>
      <c r="F48" s="290"/>
      <c r="G48" s="290"/>
      <c r="H48" s="290"/>
      <c r="I48" s="290"/>
      <c r="J48" s="290"/>
      <c r="K48" s="290"/>
      <c r="L48" s="290"/>
      <c r="M48" s="290"/>
      <c r="N48" s="290"/>
      <c r="O48" s="290"/>
      <c r="P48" s="290"/>
      <c r="Q48" s="290"/>
      <c r="R48" s="290"/>
      <c r="S48" s="290"/>
    </row>
    <row r="49" spans="1:22">
      <c r="B49" s="290"/>
      <c r="C49" s="683" t="str">
        <f t="shared" si="2"/>
        <v>*</v>
      </c>
      <c r="D49" s="756"/>
      <c r="E49" s="574">
        <v>20</v>
      </c>
      <c r="F49" s="574">
        <v>26</v>
      </c>
      <c r="G49" s="574">
        <v>74</v>
      </c>
      <c r="H49" s="574">
        <v>80</v>
      </c>
      <c r="I49" s="574"/>
      <c r="J49" s="574"/>
      <c r="K49" s="574"/>
      <c r="L49" s="574"/>
      <c r="M49" s="574"/>
      <c r="N49" s="574"/>
      <c r="O49" s="757"/>
      <c r="P49" s="42"/>
      <c r="Q49" s="42"/>
      <c r="R49" s="42"/>
      <c r="S49" s="290"/>
      <c r="T49" s="337">
        <f>IF(_IVC1="",0,1)</f>
        <v>1</v>
      </c>
      <c r="V49" s="340"/>
    </row>
    <row r="50" spans="1:22" hidden="1">
      <c r="B50" s="290"/>
      <c r="C50" s="683" t="str">
        <f>IF(T50=1,"*","-")</f>
        <v>-</v>
      </c>
      <c r="D50" s="756"/>
      <c r="E50" s="574"/>
      <c r="F50" s="574"/>
      <c r="G50" s="574"/>
      <c r="H50" s="574"/>
      <c r="I50" s="574"/>
      <c r="J50" s="574"/>
      <c r="K50" s="574"/>
      <c r="L50" s="574"/>
      <c r="M50" s="574"/>
      <c r="N50" s="574"/>
      <c r="O50" s="757"/>
      <c r="P50" s="42"/>
      <c r="Q50" s="42"/>
      <c r="R50" s="42"/>
      <c r="S50" s="290"/>
      <c r="T50" s="337">
        <f>IF(_IVC11="",0,1)</f>
        <v>0</v>
      </c>
      <c r="V50" s="340"/>
    </row>
    <row r="51" spans="1:22" hidden="1">
      <c r="B51" s="290"/>
      <c r="C51" s="683" t="str">
        <f>IF(T51=1,"*","-")</f>
        <v>-</v>
      </c>
      <c r="D51" s="737"/>
      <c r="E51" s="574"/>
      <c r="F51" s="574"/>
      <c r="G51" s="574"/>
      <c r="H51" s="574"/>
      <c r="I51" s="574"/>
      <c r="J51" s="574"/>
      <c r="K51" s="574"/>
      <c r="L51" s="574"/>
      <c r="M51" s="574"/>
      <c r="N51" s="574"/>
      <c r="O51" s="758"/>
      <c r="P51" s="698"/>
      <c r="Q51" s="698"/>
      <c r="R51" s="698"/>
      <c r="S51" s="290"/>
      <c r="T51" s="337">
        <f>IF(_IVC21="",0,1)</f>
        <v>0</v>
      </c>
      <c r="V51" s="340"/>
    </row>
    <row r="52" spans="1:22">
      <c r="B52" s="55" t="s">
        <v>330</v>
      </c>
      <c r="C52" s="290"/>
      <c r="D52" s="290"/>
      <c r="E52" s="290"/>
      <c r="F52" s="290"/>
      <c r="G52" s="290"/>
      <c r="H52" s="290"/>
      <c r="I52" s="290"/>
      <c r="J52" s="290"/>
      <c r="K52" s="290"/>
      <c r="L52" s="290"/>
      <c r="M52" s="290"/>
      <c r="N52" s="290"/>
      <c r="O52" s="290"/>
      <c r="P52" s="290"/>
      <c r="Q52" s="290"/>
      <c r="R52" s="290"/>
      <c r="S52" s="290"/>
    </row>
    <row r="53" spans="1:22">
      <c r="B53" s="55"/>
      <c r="C53" s="290"/>
      <c r="D53" s="60"/>
      <c r="E53" s="60"/>
      <c r="F53" s="60"/>
      <c r="G53" s="60"/>
      <c r="H53" s="1572" t="s">
        <v>891</v>
      </c>
      <c r="I53" s="1573"/>
      <c r="J53" s="1573"/>
      <c r="K53" s="1573"/>
      <c r="L53" s="1573"/>
      <c r="M53" s="1573"/>
      <c r="N53" s="1573"/>
      <c r="O53" s="1573"/>
      <c r="P53" s="1573"/>
      <c r="Q53" s="1574"/>
      <c r="R53" s="290"/>
      <c r="S53" s="290"/>
    </row>
    <row r="54" spans="1:22">
      <c r="B54" s="55"/>
      <c r="C54" s="290"/>
      <c r="D54" s="59" t="s">
        <v>331</v>
      </c>
      <c r="E54" s="59" t="s">
        <v>331</v>
      </c>
      <c r="F54" s="60"/>
      <c r="G54" s="59"/>
      <c r="H54" s="1546" t="s">
        <v>332</v>
      </c>
      <c r="I54" s="1546"/>
      <c r="J54" s="1546" t="s">
        <v>333</v>
      </c>
      <c r="K54" s="1546"/>
      <c r="L54" s="1546" t="s">
        <v>335</v>
      </c>
      <c r="M54" s="1546"/>
      <c r="N54" s="1546" t="s">
        <v>337</v>
      </c>
      <c r="O54" s="1546"/>
      <c r="P54" s="1546" t="s">
        <v>335</v>
      </c>
      <c r="Q54" s="1546"/>
      <c r="R54" s="290"/>
      <c r="S54" s="290"/>
    </row>
    <row r="55" spans="1:22">
      <c r="B55" s="55"/>
      <c r="C55" s="290"/>
      <c r="D55" s="59" t="s">
        <v>237</v>
      </c>
      <c r="E55" s="59" t="s">
        <v>238</v>
      </c>
      <c r="F55" s="60"/>
      <c r="G55" s="759"/>
      <c r="H55" s="1546" t="s">
        <v>270</v>
      </c>
      <c r="I55" s="1546"/>
      <c r="J55" s="1546" t="s">
        <v>334</v>
      </c>
      <c r="K55" s="1546"/>
      <c r="L55" s="1546" t="s">
        <v>892</v>
      </c>
      <c r="M55" s="1546"/>
      <c r="N55" s="1546" t="s">
        <v>334</v>
      </c>
      <c r="O55" s="1546"/>
      <c r="P55" s="1546" t="s">
        <v>893</v>
      </c>
      <c r="Q55" s="1546"/>
      <c r="R55" s="290"/>
      <c r="S55" s="290"/>
    </row>
    <row r="56" spans="1:22">
      <c r="B56" s="55" t="s">
        <v>332</v>
      </c>
      <c r="C56" s="683" t="str">
        <f>IF(T56=1,"*","-")</f>
        <v>*</v>
      </c>
      <c r="D56" s="50" t="str">
        <f>IF(CapEndToSlabEdge&gt;0,FIXED(CapEndToSlabEdge/Incr,0),0)</f>
        <v>2</v>
      </c>
      <c r="E56" s="51" t="str">
        <f>IF(CapEndToSlabEdge&gt;0,FIXED((CapEndToSlabEdge+caplength)/Incr,0),FIXED(D56+caplength/Incr,0))</f>
        <v>98</v>
      </c>
      <c r="F56" s="757"/>
      <c r="G56" s="56"/>
      <c r="H56" s="1545">
        <f>Ec*Geometry!K77/144</f>
        <v>25989674.994286671</v>
      </c>
      <c r="I56" s="1535"/>
      <c r="J56" s="1536"/>
      <c r="K56" s="1536"/>
      <c r="L56" s="1535">
        <f>-(CapWeight/(E56-D56))</f>
        <v>-1.6875</v>
      </c>
      <c r="M56" s="1535"/>
      <c r="N56" s="1536"/>
      <c r="O56" s="1536"/>
      <c r="P56" s="1575"/>
      <c r="Q56" s="1575"/>
      <c r="R56" s="42"/>
      <c r="S56" s="290"/>
      <c r="T56" s="337">
        <f>IF(SUM(G56:O56)&lt;&gt;0,1,0)</f>
        <v>1</v>
      </c>
    </row>
    <row r="57" spans="1:22" ht="13.5">
      <c r="B57" s="760" t="s">
        <v>539</v>
      </c>
      <c r="C57" s="683" t="str">
        <f>IF(T57=1,"*","-")</f>
        <v>*</v>
      </c>
      <c r="D57" s="50" t="str">
        <f>FIXED(D56+'Conc DL'!G115/Incr,0)</f>
        <v>2</v>
      </c>
      <c r="E57" s="51" t="str">
        <f>FIXED(D56+'Conc DL'!G116/Incr,0)</f>
        <v>98</v>
      </c>
      <c r="F57" s="757"/>
      <c r="G57" s="56"/>
      <c r="H57" s="1530"/>
      <c r="I57" s="1531"/>
      <c r="J57" s="1531"/>
      <c r="K57" s="1531"/>
      <c r="L57" s="1535">
        <f>IF(E57-D57=0,0,-'Conc DL'!G117/(E57-D57))</f>
        <v>-0.10000000000000002</v>
      </c>
      <c r="M57" s="1535"/>
      <c r="N57" s="1536"/>
      <c r="O57" s="1536"/>
      <c r="P57" s="1575"/>
      <c r="Q57" s="1575"/>
      <c r="R57" s="42"/>
      <c r="S57" s="290"/>
      <c r="T57" s="337">
        <f>IF(SUM(G57:O57)&lt;&gt;0,1,0)</f>
        <v>1</v>
      </c>
    </row>
    <row r="58" spans="1:22" hidden="1">
      <c r="B58" s="55" t="s">
        <v>375</v>
      </c>
      <c r="C58" s="683" t="str">
        <f t="shared" ref="C58:C142" si="3">IF(T58=1,"*","-")</f>
        <v>-</v>
      </c>
      <c r="D58" s="50" t="str">
        <f>D56</f>
        <v>2</v>
      </c>
      <c r="E58" s="51" t="str">
        <f>FIXED(D58+Geometry!G77/Incr,0)</f>
        <v>2</v>
      </c>
      <c r="F58" s="757"/>
      <c r="G58" s="56"/>
      <c r="H58" s="1530"/>
      <c r="I58" s="1531"/>
      <c r="J58" s="1531"/>
      <c r="K58" s="1531"/>
      <c r="L58" s="1535">
        <f>IF(ISERROR(-(Geometry!G77*Geometry!K78*capdensity/1000)/(E58-D58)),0,-(Geometry!G77*Geometry!K78*capdensity/1000)/(E58-D58))</f>
        <v>0</v>
      </c>
      <c r="M58" s="1535"/>
      <c r="N58" s="1536"/>
      <c r="O58" s="1536"/>
      <c r="P58" s="1575"/>
      <c r="Q58" s="1575"/>
      <c r="R58" s="42"/>
      <c r="S58" s="290"/>
      <c r="T58" s="337">
        <f t="shared" ref="T58:T142" si="4">IF(SUM(G58:O58)&lt;&gt;0,1,0)</f>
        <v>0</v>
      </c>
    </row>
    <row r="59" spans="1:22" hidden="1">
      <c r="B59" s="55" t="s">
        <v>376</v>
      </c>
      <c r="C59" s="683" t="str">
        <f t="shared" si="3"/>
        <v>-</v>
      </c>
      <c r="D59" s="50" t="str">
        <f>FIXED(E59-Geometry!G78/Incr,0)</f>
        <v>98</v>
      </c>
      <c r="E59" s="51" t="str">
        <f>E56</f>
        <v>98</v>
      </c>
      <c r="F59" s="757"/>
      <c r="G59" s="56"/>
      <c r="H59" s="1530"/>
      <c r="I59" s="1531"/>
      <c r="J59" s="1531"/>
      <c r="K59" s="1531"/>
      <c r="L59" s="1535">
        <f>IF(ISERROR(-(Geometry!G78*Geometry!K78*capdensity/1000)/(E59-D59)),0,-(Geometry!G78*Geometry!K78*capdensity/1000)/(E59-D59))</f>
        <v>0</v>
      </c>
      <c r="M59" s="1535"/>
      <c r="N59" s="1536"/>
      <c r="O59" s="1536"/>
      <c r="P59" s="1575"/>
      <c r="Q59" s="1575"/>
      <c r="R59" s="42"/>
      <c r="S59" s="290"/>
      <c r="T59" s="337">
        <f t="shared" si="4"/>
        <v>0</v>
      </c>
    </row>
    <row r="60" spans="1:22">
      <c r="A60" s="337">
        <v>1</v>
      </c>
      <c r="B60" s="761" t="s">
        <v>894</v>
      </c>
      <c r="C60" s="683" t="str">
        <f t="shared" si="3"/>
        <v>*</v>
      </c>
      <c r="D60" s="50" t="str">
        <f>FIXED(MAX(Geometry!I128,Geometry!J128)/Incr,0)</f>
        <v>6</v>
      </c>
      <c r="E60" s="51" t="str">
        <f>D60</f>
        <v>6</v>
      </c>
      <c r="F60" s="757"/>
      <c r="G60" s="56"/>
      <c r="H60" s="1530"/>
      <c r="I60" s="1531"/>
      <c r="J60" s="1531"/>
      <c r="K60" s="1531"/>
      <c r="L60" s="1529">
        <f>IF('Conc DL'!Q31="","",-'Conc DL'!Q31)</f>
        <v>-110.82062499999999</v>
      </c>
      <c r="M60" s="1529"/>
      <c r="N60" s="1531"/>
      <c r="O60" s="1531"/>
      <c r="P60" s="1575"/>
      <c r="Q60" s="1575"/>
      <c r="R60" s="42"/>
      <c r="S60" s="290"/>
      <c r="T60" s="337">
        <f t="shared" si="4"/>
        <v>1</v>
      </c>
    </row>
    <row r="61" spans="1:22">
      <c r="A61" s="337">
        <v>2</v>
      </c>
      <c r="B61" s="761" t="s">
        <v>895</v>
      </c>
      <c r="C61" s="683" t="str">
        <f t="shared" si="3"/>
        <v>*</v>
      </c>
      <c r="D61" s="50" t="str">
        <f>FIXED(MAX(Geometry!I129,Geometry!J129)/Incr,0)</f>
        <v>35</v>
      </c>
      <c r="E61" s="51" t="str">
        <f t="shared" ref="E61:E79" si="5">D61</f>
        <v>35</v>
      </c>
      <c r="F61" s="757"/>
      <c r="G61" s="56"/>
      <c r="H61" s="1530"/>
      <c r="I61" s="1531"/>
      <c r="J61" s="1531"/>
      <c r="K61" s="1531"/>
      <c r="L61" s="1529">
        <f>IF('Conc DL'!Q32="","",-'Conc DL'!Q32)</f>
        <v>-146.9425</v>
      </c>
      <c r="M61" s="1529"/>
      <c r="N61" s="1531"/>
      <c r="O61" s="1531"/>
      <c r="P61" s="1575"/>
      <c r="Q61" s="1575"/>
      <c r="R61" s="42"/>
      <c r="S61" s="290"/>
      <c r="T61" s="337">
        <f t="shared" si="4"/>
        <v>1</v>
      </c>
    </row>
    <row r="62" spans="1:22">
      <c r="A62" s="337">
        <v>3</v>
      </c>
      <c r="B62" s="761" t="s">
        <v>896</v>
      </c>
      <c r="C62" s="683" t="str">
        <f t="shared" si="3"/>
        <v>*</v>
      </c>
      <c r="D62" s="50" t="str">
        <f>FIXED(MAX(Geometry!I130,Geometry!J130)/Incr,0)</f>
        <v>65</v>
      </c>
      <c r="E62" s="51" t="str">
        <f t="shared" si="5"/>
        <v>65</v>
      </c>
      <c r="F62" s="757"/>
      <c r="G62" s="56"/>
      <c r="H62" s="1530"/>
      <c r="I62" s="1531"/>
      <c r="J62" s="1531"/>
      <c r="K62" s="1531"/>
      <c r="L62" s="1529">
        <f>IF('Conc DL'!Q33="","",-'Conc DL'!Q33)</f>
        <v>-146.9425</v>
      </c>
      <c r="M62" s="1529"/>
      <c r="N62" s="1531"/>
      <c r="O62" s="1531"/>
      <c r="P62" s="1575"/>
      <c r="Q62" s="1575"/>
      <c r="R62" s="42"/>
      <c r="S62" s="290"/>
      <c r="T62" s="337">
        <f t="shared" si="4"/>
        <v>1</v>
      </c>
    </row>
    <row r="63" spans="1:22">
      <c r="A63" s="337">
        <v>4</v>
      </c>
      <c r="B63" s="761" t="s">
        <v>897</v>
      </c>
      <c r="C63" s="683" t="str">
        <f t="shared" si="3"/>
        <v>*</v>
      </c>
      <c r="D63" s="50" t="str">
        <f>FIXED(MAX(Geometry!I131,Geometry!J131)/Incr,0)</f>
        <v>94</v>
      </c>
      <c r="E63" s="51" t="str">
        <f t="shared" si="5"/>
        <v>94</v>
      </c>
      <c r="F63" s="757"/>
      <c r="G63" s="56"/>
      <c r="H63" s="1530"/>
      <c r="I63" s="1531"/>
      <c r="J63" s="1531"/>
      <c r="K63" s="1531"/>
      <c r="L63" s="1529">
        <f>IF('Conc DL'!Q34="","",-'Conc DL'!Q34)</f>
        <v>-122.77062500000001</v>
      </c>
      <c r="M63" s="1529"/>
      <c r="N63" s="1531"/>
      <c r="O63" s="1531"/>
      <c r="P63" s="1575"/>
      <c r="Q63" s="1575"/>
      <c r="R63" s="42"/>
      <c r="S63" s="290"/>
      <c r="T63" s="337">
        <f t="shared" si="4"/>
        <v>1</v>
      </c>
    </row>
    <row r="64" spans="1:22">
      <c r="A64" s="337">
        <v>5</v>
      </c>
      <c r="B64" s="761" t="s">
        <v>898</v>
      </c>
      <c r="C64" s="683" t="str">
        <f t="shared" si="3"/>
        <v>-</v>
      </c>
      <c r="D64" s="50" t="str">
        <f>FIXED(MAX(Geometry!I132,Geometry!J132)/Incr,0)</f>
        <v>0</v>
      </c>
      <c r="E64" s="51" t="str">
        <f t="shared" si="5"/>
        <v>0</v>
      </c>
      <c r="F64" s="757"/>
      <c r="G64" s="56"/>
      <c r="H64" s="1530"/>
      <c r="I64" s="1531"/>
      <c r="J64" s="1531"/>
      <c r="K64" s="1531"/>
      <c r="L64" s="1529" t="str">
        <f>IF('Conc DL'!Q35="","",-'Conc DL'!Q35)</f>
        <v/>
      </c>
      <c r="M64" s="1529"/>
      <c r="N64" s="1531"/>
      <c r="O64" s="1531"/>
      <c r="P64" s="1575"/>
      <c r="Q64" s="1575"/>
      <c r="R64" s="42"/>
      <c r="S64" s="290"/>
      <c r="T64" s="337">
        <f t="shared" si="4"/>
        <v>0</v>
      </c>
    </row>
    <row r="65" spans="1:20">
      <c r="A65" s="337">
        <v>6</v>
      </c>
      <c r="B65" s="761" t="s">
        <v>899</v>
      </c>
      <c r="C65" s="683" t="str">
        <f>IF(T65=1,"*","-")</f>
        <v>-</v>
      </c>
      <c r="D65" s="50" t="str">
        <f>FIXED(MAX(Geometry!I133,Geometry!J133)/Incr,0)</f>
        <v>0</v>
      </c>
      <c r="E65" s="51" t="str">
        <f t="shared" si="5"/>
        <v>0</v>
      </c>
      <c r="F65" s="757"/>
      <c r="G65" s="56"/>
      <c r="H65" s="1530"/>
      <c r="I65" s="1531"/>
      <c r="J65" s="1531"/>
      <c r="K65" s="1531"/>
      <c r="L65" s="1529" t="str">
        <f>IF('Conc DL'!Q36="","",-'Conc DL'!Q36)</f>
        <v/>
      </c>
      <c r="M65" s="1529"/>
      <c r="N65" s="1531"/>
      <c r="O65" s="1531"/>
      <c r="P65" s="1575"/>
      <c r="Q65" s="1575"/>
      <c r="R65" s="42"/>
      <c r="S65" s="290"/>
      <c r="T65" s="337">
        <f>IF(SUM(G65:O65)&lt;&gt;0,1,0)</f>
        <v>0</v>
      </c>
    </row>
    <row r="66" spans="1:20" hidden="1">
      <c r="A66" s="337">
        <v>7</v>
      </c>
      <c r="B66" s="761" t="s">
        <v>900</v>
      </c>
      <c r="C66" s="683" t="str">
        <f t="shared" si="3"/>
        <v>-</v>
      </c>
      <c r="D66" s="50" t="str">
        <f>FIXED(MAX(Geometry!I134,Geometry!J134)/Incr,0)</f>
        <v>0</v>
      </c>
      <c r="E66" s="51" t="str">
        <f t="shared" si="5"/>
        <v>0</v>
      </c>
      <c r="F66" s="757"/>
      <c r="G66" s="56"/>
      <c r="H66" s="1530"/>
      <c r="I66" s="1531"/>
      <c r="J66" s="1531"/>
      <c r="K66" s="1531"/>
      <c r="L66" s="1529" t="str">
        <f>IF('Conc DL'!Q37="","",-'Conc DL'!Q37)</f>
        <v/>
      </c>
      <c r="M66" s="1529"/>
      <c r="N66" s="1531"/>
      <c r="O66" s="1531"/>
      <c r="P66" s="1575"/>
      <c r="Q66" s="1575"/>
      <c r="R66" s="42"/>
      <c r="S66" s="290"/>
      <c r="T66" s="337">
        <f t="shared" si="4"/>
        <v>0</v>
      </c>
    </row>
    <row r="67" spans="1:20" hidden="1">
      <c r="A67" s="337">
        <v>8</v>
      </c>
      <c r="B67" s="761" t="s">
        <v>901</v>
      </c>
      <c r="C67" s="683" t="str">
        <f t="shared" si="3"/>
        <v>-</v>
      </c>
      <c r="D67" s="50" t="str">
        <f>FIXED(MAX(Geometry!I135,Geometry!J135)/Incr,0)</f>
        <v>0</v>
      </c>
      <c r="E67" s="51" t="str">
        <f t="shared" si="5"/>
        <v>0</v>
      </c>
      <c r="F67" s="757"/>
      <c r="G67" s="56"/>
      <c r="H67" s="1530"/>
      <c r="I67" s="1531"/>
      <c r="J67" s="1531"/>
      <c r="K67" s="1531"/>
      <c r="L67" s="1529" t="str">
        <f>IF('Conc DL'!Q38="","",-'Conc DL'!Q38)</f>
        <v/>
      </c>
      <c r="M67" s="1529"/>
      <c r="N67" s="1531"/>
      <c r="O67" s="1531"/>
      <c r="P67" s="1575"/>
      <c r="Q67" s="1575"/>
      <c r="R67" s="42"/>
      <c r="S67" s="290"/>
      <c r="T67" s="337">
        <f t="shared" si="4"/>
        <v>0</v>
      </c>
    </row>
    <row r="68" spans="1:20" hidden="1">
      <c r="A68" s="337">
        <v>9</v>
      </c>
      <c r="B68" s="761" t="s">
        <v>902</v>
      </c>
      <c r="C68" s="683" t="str">
        <f t="shared" si="3"/>
        <v>-</v>
      </c>
      <c r="D68" s="50" t="str">
        <f>FIXED(MAX(Geometry!I136,Geometry!J136)/Incr,0)</f>
        <v>0</v>
      </c>
      <c r="E68" s="51" t="str">
        <f t="shared" si="5"/>
        <v>0</v>
      </c>
      <c r="F68" s="757"/>
      <c r="G68" s="56"/>
      <c r="H68" s="1530"/>
      <c r="I68" s="1531"/>
      <c r="J68" s="1531"/>
      <c r="K68" s="1531"/>
      <c r="L68" s="1529" t="str">
        <f>IF('Conc DL'!Q39="","",-'Conc DL'!Q39)</f>
        <v/>
      </c>
      <c r="M68" s="1529"/>
      <c r="N68" s="1531"/>
      <c r="O68" s="1531"/>
      <c r="P68" s="1575"/>
      <c r="Q68" s="1575"/>
      <c r="R68" s="42"/>
      <c r="S68" s="290"/>
      <c r="T68" s="337">
        <f t="shared" si="4"/>
        <v>0</v>
      </c>
    </row>
    <row r="69" spans="1:20" hidden="1">
      <c r="A69" s="337">
        <v>10</v>
      </c>
      <c r="B69" s="761" t="s">
        <v>903</v>
      </c>
      <c r="C69" s="683" t="str">
        <f t="shared" si="3"/>
        <v>-</v>
      </c>
      <c r="D69" s="50" t="str">
        <f>FIXED(MAX(Geometry!I137,Geometry!J137)/Incr,0)</f>
        <v>0</v>
      </c>
      <c r="E69" s="51" t="str">
        <f t="shared" si="5"/>
        <v>0</v>
      </c>
      <c r="F69" s="757"/>
      <c r="G69" s="56"/>
      <c r="H69" s="1530"/>
      <c r="I69" s="1531"/>
      <c r="J69" s="1531"/>
      <c r="K69" s="1531"/>
      <c r="L69" s="1529" t="str">
        <f>IF('Conc DL'!Q40="","",-'Conc DL'!Q40)</f>
        <v/>
      </c>
      <c r="M69" s="1529"/>
      <c r="N69" s="1531"/>
      <c r="O69" s="1531"/>
      <c r="P69" s="1575"/>
      <c r="Q69" s="1575"/>
      <c r="R69" s="42"/>
      <c r="S69" s="290"/>
      <c r="T69" s="337">
        <f t="shared" si="4"/>
        <v>0</v>
      </c>
    </row>
    <row r="70" spans="1:20" hidden="1">
      <c r="A70" s="337">
        <v>11</v>
      </c>
      <c r="B70" s="761" t="s">
        <v>904</v>
      </c>
      <c r="C70" s="683" t="str">
        <f t="shared" si="3"/>
        <v>-</v>
      </c>
      <c r="D70" s="50" t="str">
        <f>FIXED(MAX(Geometry!I138,Geometry!J138)/Incr,0)</f>
        <v>0</v>
      </c>
      <c r="E70" s="51" t="str">
        <f t="shared" si="5"/>
        <v>0</v>
      </c>
      <c r="F70" s="757"/>
      <c r="G70" s="56"/>
      <c r="H70" s="1530"/>
      <c r="I70" s="1531"/>
      <c r="J70" s="1531"/>
      <c r="K70" s="1531"/>
      <c r="L70" s="1529" t="str">
        <f>IF('Conc DL'!Q41="","",-'Conc DL'!Q41)</f>
        <v/>
      </c>
      <c r="M70" s="1529"/>
      <c r="N70" s="1531"/>
      <c r="O70" s="1531"/>
      <c r="P70" s="1575"/>
      <c r="Q70" s="1575"/>
      <c r="R70" s="42"/>
      <c r="S70" s="290"/>
      <c r="T70" s="337">
        <f t="shared" si="4"/>
        <v>0</v>
      </c>
    </row>
    <row r="71" spans="1:20" hidden="1">
      <c r="A71" s="337">
        <v>12</v>
      </c>
      <c r="B71" s="761" t="s">
        <v>905</v>
      </c>
      <c r="C71" s="683" t="str">
        <f t="shared" si="3"/>
        <v>-</v>
      </c>
      <c r="D71" s="50" t="str">
        <f>FIXED(MAX(Geometry!I139,Geometry!J139)/Incr,0)</f>
        <v>0</v>
      </c>
      <c r="E71" s="51" t="str">
        <f t="shared" si="5"/>
        <v>0</v>
      </c>
      <c r="F71" s="757"/>
      <c r="G71" s="56"/>
      <c r="H71" s="1530"/>
      <c r="I71" s="1531"/>
      <c r="J71" s="1531"/>
      <c r="K71" s="1531"/>
      <c r="L71" s="1529" t="str">
        <f>IF('Conc DL'!Q42="","",-'Conc DL'!Q42)</f>
        <v/>
      </c>
      <c r="M71" s="1529"/>
      <c r="N71" s="1531"/>
      <c r="O71" s="1531"/>
      <c r="P71" s="1575"/>
      <c r="Q71" s="1575"/>
      <c r="R71" s="42"/>
      <c r="S71" s="290"/>
      <c r="T71" s="337">
        <f t="shared" si="4"/>
        <v>0</v>
      </c>
    </row>
    <row r="72" spans="1:20" hidden="1">
      <c r="A72" s="337">
        <v>13</v>
      </c>
      <c r="B72" s="761" t="s">
        <v>906</v>
      </c>
      <c r="C72" s="683" t="str">
        <f t="shared" si="3"/>
        <v>-</v>
      </c>
      <c r="D72" s="50" t="str">
        <f>FIXED(MAX(Geometry!I140,Geometry!J140)/Incr,0)</f>
        <v>0</v>
      </c>
      <c r="E72" s="51" t="str">
        <f t="shared" si="5"/>
        <v>0</v>
      </c>
      <c r="F72" s="757"/>
      <c r="G72" s="56"/>
      <c r="H72" s="1530"/>
      <c r="I72" s="1531"/>
      <c r="J72" s="1531"/>
      <c r="K72" s="1531"/>
      <c r="L72" s="1529" t="str">
        <f>IF('Conc DL'!Q43="","",-'Conc DL'!Q43)</f>
        <v/>
      </c>
      <c r="M72" s="1529"/>
      <c r="N72" s="1531"/>
      <c r="O72" s="1531"/>
      <c r="P72" s="1575"/>
      <c r="Q72" s="1575"/>
      <c r="R72" s="42"/>
      <c r="S72" s="290"/>
      <c r="T72" s="337">
        <f t="shared" si="4"/>
        <v>0</v>
      </c>
    </row>
    <row r="73" spans="1:20" hidden="1">
      <c r="A73" s="337">
        <v>14</v>
      </c>
      <c r="B73" s="761" t="s">
        <v>907</v>
      </c>
      <c r="C73" s="683" t="str">
        <f t="shared" si="3"/>
        <v>-</v>
      </c>
      <c r="D73" s="50" t="str">
        <f>FIXED(MAX(Geometry!I141,Geometry!J141)/Incr,0)</f>
        <v>0</v>
      </c>
      <c r="E73" s="51" t="str">
        <f t="shared" si="5"/>
        <v>0</v>
      </c>
      <c r="F73" s="757"/>
      <c r="G73" s="56"/>
      <c r="H73" s="1530"/>
      <c r="I73" s="1531"/>
      <c r="J73" s="1531"/>
      <c r="K73" s="1531"/>
      <c r="L73" s="1529" t="str">
        <f>IF('Conc DL'!Q44="","",-'Conc DL'!Q44)</f>
        <v/>
      </c>
      <c r="M73" s="1529"/>
      <c r="N73" s="1531"/>
      <c r="O73" s="1531"/>
      <c r="P73" s="1575"/>
      <c r="Q73" s="1575"/>
      <c r="R73" s="42"/>
      <c r="S73" s="290"/>
      <c r="T73" s="337">
        <f t="shared" si="4"/>
        <v>0</v>
      </c>
    </row>
    <row r="74" spans="1:20" hidden="1">
      <c r="A74" s="337">
        <v>15</v>
      </c>
      <c r="B74" s="761" t="s">
        <v>908</v>
      </c>
      <c r="C74" s="683" t="str">
        <f t="shared" si="3"/>
        <v>-</v>
      </c>
      <c r="D74" s="50" t="str">
        <f>FIXED(MAX(Geometry!I142,Geometry!J142)/Incr,0)</f>
        <v>0</v>
      </c>
      <c r="E74" s="51" t="str">
        <f t="shared" si="5"/>
        <v>0</v>
      </c>
      <c r="F74" s="757"/>
      <c r="G74" s="56"/>
      <c r="H74" s="1530"/>
      <c r="I74" s="1531"/>
      <c r="J74" s="1531"/>
      <c r="K74" s="1531"/>
      <c r="L74" s="1529" t="str">
        <f>IF('Conc DL'!Q45="","",-'Conc DL'!Q45)</f>
        <v/>
      </c>
      <c r="M74" s="1529"/>
      <c r="N74" s="1531"/>
      <c r="O74" s="1531"/>
      <c r="P74" s="1575"/>
      <c r="Q74" s="1575"/>
      <c r="R74" s="42"/>
      <c r="S74" s="290"/>
      <c r="T74" s="337">
        <f t="shared" si="4"/>
        <v>0</v>
      </c>
    </row>
    <row r="75" spans="1:20" hidden="1">
      <c r="A75" s="337">
        <v>16</v>
      </c>
      <c r="B75" s="761" t="s">
        <v>909</v>
      </c>
      <c r="C75" s="683" t="str">
        <f t="shared" si="3"/>
        <v>-</v>
      </c>
      <c r="D75" s="50" t="str">
        <f>FIXED(MAX(Geometry!I143,Geometry!J143)/Incr,0)</f>
        <v>0</v>
      </c>
      <c r="E75" s="51" t="str">
        <f t="shared" si="5"/>
        <v>0</v>
      </c>
      <c r="F75" s="757"/>
      <c r="G75" s="56"/>
      <c r="H75" s="1530"/>
      <c r="I75" s="1531"/>
      <c r="J75" s="1531"/>
      <c r="K75" s="1531"/>
      <c r="L75" s="1529" t="str">
        <f>IF('Conc DL'!Q46="","",-'Conc DL'!Q46)</f>
        <v/>
      </c>
      <c r="M75" s="1529"/>
      <c r="N75" s="1531"/>
      <c r="O75" s="1531"/>
      <c r="P75" s="1575"/>
      <c r="Q75" s="1575"/>
      <c r="R75" s="42"/>
      <c r="S75" s="290"/>
      <c r="T75" s="337">
        <f t="shared" si="4"/>
        <v>0</v>
      </c>
    </row>
    <row r="76" spans="1:20" hidden="1">
      <c r="A76" s="337">
        <v>17</v>
      </c>
      <c r="B76" s="761" t="s">
        <v>910</v>
      </c>
      <c r="C76" s="683" t="str">
        <f t="shared" si="3"/>
        <v>-</v>
      </c>
      <c r="D76" s="50" t="str">
        <f>FIXED(MAX(Geometry!I144,Geometry!J144)/Incr,0)</f>
        <v>0</v>
      </c>
      <c r="E76" s="51" t="str">
        <f t="shared" si="5"/>
        <v>0</v>
      </c>
      <c r="F76" s="757"/>
      <c r="G76" s="56"/>
      <c r="H76" s="1530"/>
      <c r="I76" s="1531"/>
      <c r="J76" s="1531"/>
      <c r="K76" s="1531"/>
      <c r="L76" s="1529" t="str">
        <f>IF('Conc DL'!Q47="","",-'Conc DL'!Q47)</f>
        <v/>
      </c>
      <c r="M76" s="1529"/>
      <c r="N76" s="1531"/>
      <c r="O76" s="1531"/>
      <c r="P76" s="1575"/>
      <c r="Q76" s="1575"/>
      <c r="R76" s="42"/>
      <c r="S76" s="290"/>
      <c r="T76" s="337">
        <f t="shared" si="4"/>
        <v>0</v>
      </c>
    </row>
    <row r="77" spans="1:20" hidden="1">
      <c r="A77" s="337">
        <v>18</v>
      </c>
      <c r="B77" s="761" t="s">
        <v>911</v>
      </c>
      <c r="C77" s="683" t="str">
        <f t="shared" si="3"/>
        <v>-</v>
      </c>
      <c r="D77" s="50" t="str">
        <f>FIXED(MAX(Geometry!I145,Geometry!J145)/Incr,0)</f>
        <v>0</v>
      </c>
      <c r="E77" s="51" t="str">
        <f t="shared" si="5"/>
        <v>0</v>
      </c>
      <c r="F77" s="757"/>
      <c r="G77" s="56"/>
      <c r="H77" s="1530"/>
      <c r="I77" s="1531"/>
      <c r="J77" s="1531"/>
      <c r="K77" s="1531"/>
      <c r="L77" s="1529" t="str">
        <f>IF('Conc DL'!Q48="","",-'Conc DL'!Q48)</f>
        <v/>
      </c>
      <c r="M77" s="1529"/>
      <c r="N77" s="1531"/>
      <c r="O77" s="1531"/>
      <c r="P77" s="1575"/>
      <c r="Q77" s="1575"/>
      <c r="R77" s="42"/>
      <c r="S77" s="290"/>
      <c r="T77" s="337">
        <f t="shared" si="4"/>
        <v>0</v>
      </c>
    </row>
    <row r="78" spans="1:20" hidden="1">
      <c r="A78" s="337">
        <v>19</v>
      </c>
      <c r="B78" s="761" t="s">
        <v>912</v>
      </c>
      <c r="C78" s="683" t="str">
        <f t="shared" si="3"/>
        <v>-</v>
      </c>
      <c r="D78" s="50" t="str">
        <f>FIXED(MAX(Geometry!I146,Geometry!J146)/Incr,0)</f>
        <v>0</v>
      </c>
      <c r="E78" s="51" t="str">
        <f t="shared" si="5"/>
        <v>0</v>
      </c>
      <c r="F78" s="757"/>
      <c r="G78" s="56"/>
      <c r="H78" s="1530"/>
      <c r="I78" s="1531"/>
      <c r="J78" s="1531"/>
      <c r="K78" s="1531"/>
      <c r="L78" s="1529" t="str">
        <f>IF('Conc DL'!Q49="","",-'Conc DL'!Q49)</f>
        <v/>
      </c>
      <c r="M78" s="1529"/>
      <c r="N78" s="1531"/>
      <c r="O78" s="1531"/>
      <c r="P78" s="1575"/>
      <c r="Q78" s="1575"/>
      <c r="R78" s="42"/>
      <c r="S78" s="290"/>
      <c r="T78" s="337">
        <f t="shared" si="4"/>
        <v>0</v>
      </c>
    </row>
    <row r="79" spans="1:20" hidden="1">
      <c r="A79" s="337">
        <v>20</v>
      </c>
      <c r="B79" s="761" t="s">
        <v>913</v>
      </c>
      <c r="C79" s="683" t="str">
        <f t="shared" si="3"/>
        <v>-</v>
      </c>
      <c r="D79" s="50" t="str">
        <f>FIXED(MAX(Geometry!I147,Geometry!J147)/Incr,0)</f>
        <v>0</v>
      </c>
      <c r="E79" s="51" t="str">
        <f t="shared" si="5"/>
        <v>0</v>
      </c>
      <c r="F79" s="757"/>
      <c r="G79" s="56"/>
      <c r="H79" s="1530"/>
      <c r="I79" s="1531"/>
      <c r="J79" s="1531"/>
      <c r="K79" s="1531"/>
      <c r="L79" s="1529" t="str">
        <f>IF('Conc DL'!Q50="","",-'Conc DL'!Q50)</f>
        <v/>
      </c>
      <c r="M79" s="1529"/>
      <c r="N79" s="1531"/>
      <c r="O79" s="1531"/>
      <c r="P79" s="1575"/>
      <c r="Q79" s="1575"/>
      <c r="R79" s="42"/>
      <c r="S79" s="290"/>
      <c r="T79" s="337">
        <f t="shared" si="4"/>
        <v>0</v>
      </c>
    </row>
    <row r="80" spans="1:20">
      <c r="A80" s="337">
        <v>1</v>
      </c>
      <c r="B80" s="761" t="s">
        <v>914</v>
      </c>
      <c r="C80" s="683" t="str">
        <f>IF(T80=1,"*","-")</f>
        <v>*</v>
      </c>
      <c r="D80" s="50" t="str">
        <f>FIXED(MAX(Geometry!I156,Geometry!J156)/Incr,0)</f>
        <v>6</v>
      </c>
      <c r="E80" s="51" t="str">
        <f>D80</f>
        <v>6</v>
      </c>
      <c r="F80" s="757"/>
      <c r="G80" s="56"/>
      <c r="H80" s="1530"/>
      <c r="I80" s="1531"/>
      <c r="J80" s="1531"/>
      <c r="K80" s="1531"/>
      <c r="L80" s="1529">
        <f>IF('Conc DL'!Q82="","",-'Conc DL'!Q82)</f>
        <v>-133.02875</v>
      </c>
      <c r="M80" s="1529"/>
      <c r="N80" s="1531"/>
      <c r="O80" s="1531"/>
      <c r="P80" s="1575"/>
      <c r="Q80" s="1575"/>
      <c r="R80" s="42"/>
      <c r="S80" s="290"/>
      <c r="T80" s="337">
        <f t="shared" si="4"/>
        <v>1</v>
      </c>
    </row>
    <row r="81" spans="1:20">
      <c r="A81" s="337">
        <v>2</v>
      </c>
      <c r="B81" s="761" t="s">
        <v>915</v>
      </c>
      <c r="C81" s="683" t="str">
        <f t="shared" si="3"/>
        <v>*</v>
      </c>
      <c r="D81" s="50" t="str">
        <f>FIXED(MAX(Geometry!I157,Geometry!J157)/Incr,0)</f>
        <v>35</v>
      </c>
      <c r="E81" s="51" t="str">
        <f t="shared" ref="E81:E99" si="6">D81</f>
        <v>35</v>
      </c>
      <c r="F81" s="757"/>
      <c r="G81" s="56"/>
      <c r="H81" s="1530"/>
      <c r="I81" s="1531"/>
      <c r="J81" s="1531"/>
      <c r="K81" s="1531"/>
      <c r="L81" s="1533">
        <f>IF('Conc DL'!Q83="","",-'Conc DL'!Q83)</f>
        <v>-172.79</v>
      </c>
      <c r="M81" s="1534"/>
      <c r="N81" s="1531"/>
      <c r="O81" s="1531"/>
      <c r="P81" s="1575"/>
      <c r="Q81" s="1575"/>
      <c r="R81" s="42"/>
      <c r="S81" s="290"/>
      <c r="T81" s="337">
        <f t="shared" si="4"/>
        <v>1</v>
      </c>
    </row>
    <row r="82" spans="1:20">
      <c r="A82" s="337">
        <v>3</v>
      </c>
      <c r="B82" s="761" t="s">
        <v>916</v>
      </c>
      <c r="C82" s="683" t="str">
        <f t="shared" si="3"/>
        <v>*</v>
      </c>
      <c r="D82" s="50" t="str">
        <f>FIXED(MAX(Geometry!I158,Geometry!J158)/Incr,0)</f>
        <v>65</v>
      </c>
      <c r="E82" s="51" t="str">
        <f t="shared" si="6"/>
        <v>65</v>
      </c>
      <c r="F82" s="757"/>
      <c r="G82" s="56"/>
      <c r="H82" s="1530"/>
      <c r="I82" s="1531"/>
      <c r="J82" s="1531"/>
      <c r="K82" s="1531"/>
      <c r="L82" s="1533">
        <f>IF('Conc DL'!Q84="","",-'Conc DL'!Q84)</f>
        <v>-172.79</v>
      </c>
      <c r="M82" s="1534"/>
      <c r="N82" s="1531"/>
      <c r="O82" s="1531"/>
      <c r="P82" s="1575"/>
      <c r="Q82" s="1575"/>
      <c r="R82" s="42"/>
      <c r="S82" s="290"/>
      <c r="T82" s="337">
        <f t="shared" si="4"/>
        <v>1</v>
      </c>
    </row>
    <row r="83" spans="1:20">
      <c r="A83" s="337">
        <v>4</v>
      </c>
      <c r="B83" s="761" t="s">
        <v>917</v>
      </c>
      <c r="C83" s="683" t="str">
        <f t="shared" si="3"/>
        <v>*</v>
      </c>
      <c r="D83" s="50" t="str">
        <f>FIXED(MAX(Geometry!I159,Geometry!J159)/Incr,0)</f>
        <v>94</v>
      </c>
      <c r="E83" s="51" t="str">
        <f t="shared" si="6"/>
        <v>94</v>
      </c>
      <c r="F83" s="757"/>
      <c r="G83" s="56"/>
      <c r="H83" s="1530"/>
      <c r="I83" s="1531"/>
      <c r="J83" s="1531"/>
      <c r="K83" s="1531"/>
      <c r="L83" s="1533">
        <f>IF('Conc DL'!Q85="","",-'Conc DL'!Q85)</f>
        <v>-143.78375</v>
      </c>
      <c r="M83" s="1534"/>
      <c r="N83" s="1531"/>
      <c r="O83" s="1531"/>
      <c r="P83" s="1575"/>
      <c r="Q83" s="1575"/>
      <c r="R83" s="42"/>
      <c r="S83" s="290"/>
      <c r="T83" s="337">
        <f t="shared" si="4"/>
        <v>1</v>
      </c>
    </row>
    <row r="84" spans="1:20">
      <c r="A84" s="337">
        <v>5</v>
      </c>
      <c r="B84" s="761" t="s">
        <v>918</v>
      </c>
      <c r="C84" s="683" t="str">
        <f t="shared" si="3"/>
        <v>-</v>
      </c>
      <c r="D84" s="50" t="str">
        <f>FIXED(MAX(Geometry!I160,Geometry!J160)/Incr,0)</f>
        <v>0</v>
      </c>
      <c r="E84" s="51" t="str">
        <f t="shared" si="6"/>
        <v>0</v>
      </c>
      <c r="F84" s="757"/>
      <c r="G84" s="56"/>
      <c r="H84" s="1530"/>
      <c r="I84" s="1531"/>
      <c r="J84" s="1531"/>
      <c r="K84" s="1531"/>
      <c r="L84" s="1533" t="str">
        <f>IF('Conc DL'!Q86="","",-'Conc DL'!Q86)</f>
        <v/>
      </c>
      <c r="M84" s="1534"/>
      <c r="N84" s="1531"/>
      <c r="O84" s="1531"/>
      <c r="P84" s="1575"/>
      <c r="Q84" s="1575"/>
      <c r="R84" s="42"/>
      <c r="S84" s="290"/>
      <c r="T84" s="337">
        <f t="shared" si="4"/>
        <v>0</v>
      </c>
    </row>
    <row r="85" spans="1:20">
      <c r="A85" s="337">
        <v>6</v>
      </c>
      <c r="B85" s="761" t="s">
        <v>919</v>
      </c>
      <c r="C85" s="683" t="str">
        <f t="shared" si="3"/>
        <v>-</v>
      </c>
      <c r="D85" s="50" t="str">
        <f>FIXED(MAX(Geometry!I161,Geometry!J161)/Incr,0)</f>
        <v>0</v>
      </c>
      <c r="E85" s="51" t="str">
        <f t="shared" si="6"/>
        <v>0</v>
      </c>
      <c r="F85" s="757"/>
      <c r="G85" s="56"/>
      <c r="H85" s="1530"/>
      <c r="I85" s="1531"/>
      <c r="J85" s="1531"/>
      <c r="K85" s="1531"/>
      <c r="L85" s="1533" t="str">
        <f>IF('Conc DL'!Q87="","",-'Conc DL'!Q87)</f>
        <v/>
      </c>
      <c r="M85" s="1534"/>
      <c r="N85" s="1531"/>
      <c r="O85" s="1531"/>
      <c r="P85" s="1575"/>
      <c r="Q85" s="1575"/>
      <c r="R85" s="42"/>
      <c r="S85" s="290"/>
      <c r="T85" s="337">
        <f t="shared" si="4"/>
        <v>0</v>
      </c>
    </row>
    <row r="86" spans="1:20" hidden="1">
      <c r="A86" s="337">
        <v>7</v>
      </c>
      <c r="B86" s="761" t="s">
        <v>920</v>
      </c>
      <c r="C86" s="683" t="str">
        <f t="shared" si="3"/>
        <v>-</v>
      </c>
      <c r="D86" s="50" t="str">
        <f>FIXED(MAX(Geometry!I162,Geometry!J162)/Incr,0)</f>
        <v>0</v>
      </c>
      <c r="E86" s="51" t="str">
        <f t="shared" si="6"/>
        <v>0</v>
      </c>
      <c r="F86" s="757"/>
      <c r="G86" s="56"/>
      <c r="H86" s="1530"/>
      <c r="I86" s="1531"/>
      <c r="J86" s="1531"/>
      <c r="K86" s="1531"/>
      <c r="L86" s="1533" t="str">
        <f>IF('Conc DL'!Q88="","",-'Conc DL'!Q88)</f>
        <v/>
      </c>
      <c r="M86" s="1534"/>
      <c r="N86" s="1531"/>
      <c r="O86" s="1531"/>
      <c r="P86" s="1575"/>
      <c r="Q86" s="1575"/>
      <c r="R86" s="42"/>
      <c r="S86" s="290"/>
      <c r="T86" s="337">
        <f t="shared" si="4"/>
        <v>0</v>
      </c>
    </row>
    <row r="87" spans="1:20" hidden="1">
      <c r="A87" s="337">
        <v>8</v>
      </c>
      <c r="B87" s="761" t="s">
        <v>921</v>
      </c>
      <c r="C87" s="683" t="str">
        <f t="shared" si="3"/>
        <v>-</v>
      </c>
      <c r="D87" s="50" t="str">
        <f>FIXED(MAX(Geometry!I163,Geometry!J163)/Incr,0)</f>
        <v>0</v>
      </c>
      <c r="E87" s="51" t="str">
        <f t="shared" si="6"/>
        <v>0</v>
      </c>
      <c r="F87" s="757"/>
      <c r="G87" s="56"/>
      <c r="H87" s="1530"/>
      <c r="I87" s="1531"/>
      <c r="J87" s="1531"/>
      <c r="K87" s="1531"/>
      <c r="L87" s="1533" t="str">
        <f>IF('Conc DL'!Q89="","",-'Conc DL'!Q89)</f>
        <v/>
      </c>
      <c r="M87" s="1534"/>
      <c r="N87" s="1531"/>
      <c r="O87" s="1531"/>
      <c r="P87" s="1575"/>
      <c r="Q87" s="1575"/>
      <c r="R87" s="42"/>
      <c r="S87" s="290"/>
      <c r="T87" s="337">
        <f t="shared" si="4"/>
        <v>0</v>
      </c>
    </row>
    <row r="88" spans="1:20" hidden="1">
      <c r="A88" s="337">
        <v>9</v>
      </c>
      <c r="B88" s="761" t="s">
        <v>922</v>
      </c>
      <c r="C88" s="683" t="str">
        <f t="shared" si="3"/>
        <v>-</v>
      </c>
      <c r="D88" s="50" t="str">
        <f>FIXED(MAX(Geometry!I164,Geometry!J164)/Incr,0)</f>
        <v>0</v>
      </c>
      <c r="E88" s="51" t="str">
        <f t="shared" si="6"/>
        <v>0</v>
      </c>
      <c r="F88" s="757"/>
      <c r="G88" s="56"/>
      <c r="H88" s="1530"/>
      <c r="I88" s="1531"/>
      <c r="J88" s="1531"/>
      <c r="K88" s="1531"/>
      <c r="L88" s="1533" t="str">
        <f>IF('Conc DL'!Q90="","",-'Conc DL'!Q90)</f>
        <v/>
      </c>
      <c r="M88" s="1534"/>
      <c r="N88" s="1531"/>
      <c r="O88" s="1531"/>
      <c r="P88" s="1575"/>
      <c r="Q88" s="1575"/>
      <c r="R88" s="42"/>
      <c r="S88" s="290"/>
      <c r="T88" s="337">
        <f t="shared" si="4"/>
        <v>0</v>
      </c>
    </row>
    <row r="89" spans="1:20" hidden="1">
      <c r="A89" s="337">
        <v>10</v>
      </c>
      <c r="B89" s="761" t="s">
        <v>923</v>
      </c>
      <c r="C89" s="683" t="str">
        <f t="shared" si="3"/>
        <v>-</v>
      </c>
      <c r="D89" s="50" t="str">
        <f>FIXED(MAX(Geometry!I165,Geometry!J165)/Incr,0)</f>
        <v>0</v>
      </c>
      <c r="E89" s="51" t="str">
        <f t="shared" si="6"/>
        <v>0</v>
      </c>
      <c r="F89" s="757"/>
      <c r="G89" s="56"/>
      <c r="H89" s="1530"/>
      <c r="I89" s="1531"/>
      <c r="J89" s="1531"/>
      <c r="K89" s="1531"/>
      <c r="L89" s="1533" t="str">
        <f>IF('Conc DL'!Q91="","",-'Conc DL'!Q91)</f>
        <v/>
      </c>
      <c r="M89" s="1534"/>
      <c r="N89" s="1531"/>
      <c r="O89" s="1531"/>
      <c r="P89" s="1575"/>
      <c r="Q89" s="1575"/>
      <c r="R89" s="42"/>
      <c r="S89" s="290"/>
      <c r="T89" s="337">
        <f t="shared" si="4"/>
        <v>0</v>
      </c>
    </row>
    <row r="90" spans="1:20" hidden="1">
      <c r="A90" s="337">
        <v>11</v>
      </c>
      <c r="B90" s="761" t="s">
        <v>924</v>
      </c>
      <c r="C90" s="683" t="str">
        <f t="shared" si="3"/>
        <v>-</v>
      </c>
      <c r="D90" s="50" t="str">
        <f>FIXED(MAX(Geometry!I166,Geometry!J166)/Incr,0)</f>
        <v>0</v>
      </c>
      <c r="E90" s="51" t="str">
        <f t="shared" si="6"/>
        <v>0</v>
      </c>
      <c r="F90" s="757"/>
      <c r="G90" s="56"/>
      <c r="H90" s="1530"/>
      <c r="I90" s="1531"/>
      <c r="J90" s="1531"/>
      <c r="K90" s="1531"/>
      <c r="L90" s="1533" t="str">
        <f>IF('Conc DL'!Q92="","",-'Conc DL'!Q92)</f>
        <v/>
      </c>
      <c r="M90" s="1534"/>
      <c r="N90" s="1531"/>
      <c r="O90" s="1531"/>
      <c r="P90" s="1575"/>
      <c r="Q90" s="1575"/>
      <c r="R90" s="42"/>
      <c r="S90" s="290"/>
      <c r="T90" s="337">
        <f t="shared" si="4"/>
        <v>0</v>
      </c>
    </row>
    <row r="91" spans="1:20" hidden="1">
      <c r="A91" s="337">
        <v>12</v>
      </c>
      <c r="B91" s="761" t="s">
        <v>925</v>
      </c>
      <c r="C91" s="683" t="str">
        <f t="shared" si="3"/>
        <v>-</v>
      </c>
      <c r="D91" s="50" t="str">
        <f>FIXED(MAX(Geometry!I167,Geometry!J167)/Incr,0)</f>
        <v>0</v>
      </c>
      <c r="E91" s="51" t="str">
        <f t="shared" si="6"/>
        <v>0</v>
      </c>
      <c r="F91" s="757"/>
      <c r="G91" s="56"/>
      <c r="H91" s="1530"/>
      <c r="I91" s="1531"/>
      <c r="J91" s="1531"/>
      <c r="K91" s="1531"/>
      <c r="L91" s="1533" t="str">
        <f>IF('Conc DL'!Q93="","",-'Conc DL'!Q93)</f>
        <v/>
      </c>
      <c r="M91" s="1534"/>
      <c r="N91" s="1531"/>
      <c r="O91" s="1531"/>
      <c r="P91" s="1575"/>
      <c r="Q91" s="1575"/>
      <c r="R91" s="42"/>
      <c r="S91" s="290"/>
      <c r="T91" s="337">
        <f t="shared" si="4"/>
        <v>0</v>
      </c>
    </row>
    <row r="92" spans="1:20" hidden="1">
      <c r="A92" s="337">
        <v>13</v>
      </c>
      <c r="B92" s="761" t="s">
        <v>926</v>
      </c>
      <c r="C92" s="683" t="str">
        <f t="shared" si="3"/>
        <v>-</v>
      </c>
      <c r="D92" s="50" t="str">
        <f>FIXED(MAX(Geometry!I168,Geometry!J168)/Incr,0)</f>
        <v>0</v>
      </c>
      <c r="E92" s="51" t="str">
        <f t="shared" si="6"/>
        <v>0</v>
      </c>
      <c r="F92" s="757"/>
      <c r="G92" s="56"/>
      <c r="H92" s="1530"/>
      <c r="I92" s="1531"/>
      <c r="J92" s="1531"/>
      <c r="K92" s="1531"/>
      <c r="L92" s="1533" t="str">
        <f>IF('Conc DL'!Q94="","",-'Conc DL'!Q94)</f>
        <v/>
      </c>
      <c r="M92" s="1534"/>
      <c r="N92" s="1531"/>
      <c r="O92" s="1531"/>
      <c r="P92" s="1575"/>
      <c r="Q92" s="1575"/>
      <c r="R92" s="42"/>
      <c r="S92" s="290"/>
      <c r="T92" s="337">
        <f t="shared" si="4"/>
        <v>0</v>
      </c>
    </row>
    <row r="93" spans="1:20" hidden="1">
      <c r="A93" s="337">
        <v>14</v>
      </c>
      <c r="B93" s="761" t="s">
        <v>927</v>
      </c>
      <c r="C93" s="683" t="str">
        <f t="shared" si="3"/>
        <v>-</v>
      </c>
      <c r="D93" s="50" t="str">
        <f>FIXED(MAX(Geometry!I169,Geometry!J169)/Incr,0)</f>
        <v>0</v>
      </c>
      <c r="E93" s="51" t="str">
        <f t="shared" si="6"/>
        <v>0</v>
      </c>
      <c r="F93" s="757"/>
      <c r="G93" s="56"/>
      <c r="H93" s="1530"/>
      <c r="I93" s="1531"/>
      <c r="J93" s="1531"/>
      <c r="K93" s="1531"/>
      <c r="L93" s="1533" t="str">
        <f>IF('Conc DL'!Q95="","",-'Conc DL'!Q95)</f>
        <v/>
      </c>
      <c r="M93" s="1534"/>
      <c r="N93" s="1531"/>
      <c r="O93" s="1531"/>
      <c r="P93" s="1575"/>
      <c r="Q93" s="1575"/>
      <c r="R93" s="42"/>
      <c r="S93" s="290"/>
      <c r="T93" s="337">
        <f t="shared" si="4"/>
        <v>0</v>
      </c>
    </row>
    <row r="94" spans="1:20" hidden="1">
      <c r="A94" s="337">
        <v>15</v>
      </c>
      <c r="B94" s="761" t="s">
        <v>928</v>
      </c>
      <c r="C94" s="683" t="str">
        <f t="shared" si="3"/>
        <v>-</v>
      </c>
      <c r="D94" s="50" t="str">
        <f>FIXED(MAX(Geometry!I170,Geometry!J170)/Incr,0)</f>
        <v>0</v>
      </c>
      <c r="E94" s="51" t="str">
        <f t="shared" si="6"/>
        <v>0</v>
      </c>
      <c r="F94" s="757"/>
      <c r="G94" s="56"/>
      <c r="H94" s="1530"/>
      <c r="I94" s="1531"/>
      <c r="J94" s="1531"/>
      <c r="K94" s="1531"/>
      <c r="L94" s="1533" t="str">
        <f>IF('Conc DL'!Q96="","",-'Conc DL'!Q96)</f>
        <v/>
      </c>
      <c r="M94" s="1534"/>
      <c r="N94" s="1531"/>
      <c r="O94" s="1531"/>
      <c r="P94" s="1575"/>
      <c r="Q94" s="1575"/>
      <c r="R94" s="42"/>
      <c r="S94" s="290"/>
      <c r="T94" s="337">
        <f t="shared" si="4"/>
        <v>0</v>
      </c>
    </row>
    <row r="95" spans="1:20" hidden="1">
      <c r="A95" s="337">
        <v>16</v>
      </c>
      <c r="B95" s="761" t="s">
        <v>929</v>
      </c>
      <c r="C95" s="683" t="str">
        <f t="shared" si="3"/>
        <v>-</v>
      </c>
      <c r="D95" s="50" t="str">
        <f>FIXED(MAX(Geometry!I171,Geometry!J171)/Incr,0)</f>
        <v>0</v>
      </c>
      <c r="E95" s="51" t="str">
        <f t="shared" si="6"/>
        <v>0</v>
      </c>
      <c r="F95" s="757"/>
      <c r="G95" s="56"/>
      <c r="H95" s="1530"/>
      <c r="I95" s="1531"/>
      <c r="J95" s="1531"/>
      <c r="K95" s="1531"/>
      <c r="L95" s="1533" t="str">
        <f>IF('Conc DL'!Q97="","",-'Conc DL'!Q97)</f>
        <v/>
      </c>
      <c r="M95" s="1534"/>
      <c r="N95" s="1531"/>
      <c r="O95" s="1531"/>
      <c r="P95" s="1575"/>
      <c r="Q95" s="1575"/>
      <c r="R95" s="42"/>
      <c r="S95" s="290"/>
      <c r="T95" s="337">
        <f t="shared" si="4"/>
        <v>0</v>
      </c>
    </row>
    <row r="96" spans="1:20" hidden="1">
      <c r="A96" s="337">
        <v>17</v>
      </c>
      <c r="B96" s="761" t="s">
        <v>930</v>
      </c>
      <c r="C96" s="683" t="str">
        <f t="shared" si="3"/>
        <v>-</v>
      </c>
      <c r="D96" s="50" t="str">
        <f>FIXED(MAX(Geometry!I172,Geometry!J172)/Incr,0)</f>
        <v>0</v>
      </c>
      <c r="E96" s="51" t="str">
        <f t="shared" si="6"/>
        <v>0</v>
      </c>
      <c r="F96" s="757"/>
      <c r="G96" s="56"/>
      <c r="H96" s="1530"/>
      <c r="I96" s="1531"/>
      <c r="J96" s="1531"/>
      <c r="K96" s="1531"/>
      <c r="L96" s="1533" t="str">
        <f>IF('Conc DL'!Q98="","",-'Conc DL'!Q98)</f>
        <v/>
      </c>
      <c r="M96" s="1534"/>
      <c r="N96" s="1531"/>
      <c r="O96" s="1531"/>
      <c r="P96" s="1575"/>
      <c r="Q96" s="1575"/>
      <c r="R96" s="42"/>
      <c r="S96" s="290"/>
      <c r="T96" s="337">
        <f t="shared" si="4"/>
        <v>0</v>
      </c>
    </row>
    <row r="97" spans="1:20" hidden="1">
      <c r="A97" s="337">
        <v>18</v>
      </c>
      <c r="B97" s="761" t="s">
        <v>931</v>
      </c>
      <c r="C97" s="683" t="str">
        <f t="shared" si="3"/>
        <v>-</v>
      </c>
      <c r="D97" s="50" t="str">
        <f>FIXED(MAX(Geometry!I173,Geometry!J173)/Incr,0)</f>
        <v>0</v>
      </c>
      <c r="E97" s="51" t="str">
        <f t="shared" si="6"/>
        <v>0</v>
      </c>
      <c r="F97" s="757"/>
      <c r="G97" s="56"/>
      <c r="H97" s="1530"/>
      <c r="I97" s="1531"/>
      <c r="J97" s="1531"/>
      <c r="K97" s="1531"/>
      <c r="L97" s="1533" t="str">
        <f>IF('Conc DL'!Q99="","",-'Conc DL'!Q99)</f>
        <v/>
      </c>
      <c r="M97" s="1534"/>
      <c r="N97" s="1531"/>
      <c r="O97" s="1531"/>
      <c r="P97" s="1575"/>
      <c r="Q97" s="1575"/>
      <c r="R97" s="42"/>
      <c r="S97" s="290"/>
      <c r="T97" s="337">
        <f t="shared" si="4"/>
        <v>0</v>
      </c>
    </row>
    <row r="98" spans="1:20" hidden="1">
      <c r="A98" s="337">
        <v>19</v>
      </c>
      <c r="B98" s="761" t="s">
        <v>932</v>
      </c>
      <c r="C98" s="683" t="str">
        <f t="shared" si="3"/>
        <v>-</v>
      </c>
      <c r="D98" s="50" t="str">
        <f>FIXED(MAX(Geometry!I174,Geometry!J174)/Incr,0)</f>
        <v>0</v>
      </c>
      <c r="E98" s="51" t="str">
        <f t="shared" si="6"/>
        <v>0</v>
      </c>
      <c r="F98" s="757"/>
      <c r="G98" s="56"/>
      <c r="H98" s="1530"/>
      <c r="I98" s="1531"/>
      <c r="J98" s="1531"/>
      <c r="K98" s="1531"/>
      <c r="L98" s="1533" t="str">
        <f>IF('Conc DL'!Q100="","",-'Conc DL'!Q100)</f>
        <v/>
      </c>
      <c r="M98" s="1534"/>
      <c r="N98" s="1531"/>
      <c r="O98" s="1531"/>
      <c r="P98" s="1575"/>
      <c r="Q98" s="1575"/>
      <c r="R98" s="42"/>
      <c r="S98" s="290"/>
      <c r="T98" s="337">
        <f t="shared" si="4"/>
        <v>0</v>
      </c>
    </row>
    <row r="99" spans="1:20" hidden="1">
      <c r="A99" s="337">
        <v>20</v>
      </c>
      <c r="B99" s="761" t="s">
        <v>933</v>
      </c>
      <c r="C99" s="683" t="str">
        <f>IF(T99=1,"*","-")</f>
        <v>-</v>
      </c>
      <c r="D99" s="50" t="str">
        <f>FIXED(MAX(Geometry!I175,Geometry!J175)/Incr,0)</f>
        <v>0</v>
      </c>
      <c r="E99" s="51" t="str">
        <f t="shared" si="6"/>
        <v>0</v>
      </c>
      <c r="F99" s="757"/>
      <c r="G99" s="56"/>
      <c r="H99" s="1530"/>
      <c r="I99" s="1531"/>
      <c r="J99" s="1531"/>
      <c r="K99" s="1531"/>
      <c r="L99" s="1533" t="str">
        <f>IF('Conc DL'!Q101="","",-'Conc DL'!Q101)</f>
        <v/>
      </c>
      <c r="M99" s="1534"/>
      <c r="N99" s="1531"/>
      <c r="O99" s="1531"/>
      <c r="P99" s="1575"/>
      <c r="Q99" s="1575"/>
      <c r="R99" s="42"/>
      <c r="S99" s="290"/>
      <c r="T99" s="337">
        <f>IF(SUM(G99:O99)&lt;&gt;0,1,0)</f>
        <v>0</v>
      </c>
    </row>
    <row r="100" spans="1:20">
      <c r="B100" s="761" t="s">
        <v>934</v>
      </c>
      <c r="C100" s="683" t="str">
        <f t="shared" ref="C100:C139" si="7">IF(T100=1,"*","-")</f>
        <v>*</v>
      </c>
      <c r="D100" s="50" t="str">
        <f t="shared" ref="D100:E119" si="8">D60</f>
        <v>6</v>
      </c>
      <c r="E100" s="50" t="str">
        <f t="shared" si="8"/>
        <v>6</v>
      </c>
      <c r="F100" s="757"/>
      <c r="G100" s="56"/>
      <c r="H100" s="1530"/>
      <c r="I100" s="1531"/>
      <c r="J100" s="1531"/>
      <c r="K100" s="1531"/>
      <c r="L100" s="239"/>
      <c r="M100" s="240"/>
      <c r="N100" s="1531"/>
      <c r="O100" s="1531"/>
      <c r="P100" s="1535">
        <f>IF('Conc DL'!R31="","",-'Conc DL'!R31)</f>
        <v>-1.875</v>
      </c>
      <c r="Q100" s="1535"/>
      <c r="R100" s="42"/>
      <c r="S100" s="290"/>
      <c r="T100" s="337">
        <f>IF(SUM(G100:Q100)&lt;&gt;0,1,0)</f>
        <v>1</v>
      </c>
    </row>
    <row r="101" spans="1:20">
      <c r="B101" s="761" t="s">
        <v>935</v>
      </c>
      <c r="C101" s="683" t="str">
        <f t="shared" si="7"/>
        <v>*</v>
      </c>
      <c r="D101" s="50" t="str">
        <f t="shared" si="8"/>
        <v>35</v>
      </c>
      <c r="E101" s="50" t="str">
        <f t="shared" si="8"/>
        <v>35</v>
      </c>
      <c r="F101" s="757"/>
      <c r="G101" s="56"/>
      <c r="H101" s="1530"/>
      <c r="I101" s="1531"/>
      <c r="J101" s="1531"/>
      <c r="K101" s="1531"/>
      <c r="L101" s="239"/>
      <c r="M101" s="240"/>
      <c r="N101" s="1531"/>
      <c r="O101" s="1531"/>
      <c r="P101" s="1535">
        <f>IF('Conc DL'!R32="","",-'Conc DL'!R32)</f>
        <v>-1.875</v>
      </c>
      <c r="Q101" s="1535"/>
      <c r="R101" s="42"/>
      <c r="S101" s="290"/>
      <c r="T101" s="337">
        <f t="shared" ref="T101:T139" si="9">IF(SUM(G101:Q101)&lt;&gt;0,1,0)</f>
        <v>1</v>
      </c>
    </row>
    <row r="102" spans="1:20">
      <c r="B102" s="761" t="s">
        <v>936</v>
      </c>
      <c r="C102" s="683" t="str">
        <f t="shared" si="7"/>
        <v>*</v>
      </c>
      <c r="D102" s="50" t="str">
        <f t="shared" si="8"/>
        <v>65</v>
      </c>
      <c r="E102" s="50" t="str">
        <f t="shared" si="8"/>
        <v>65</v>
      </c>
      <c r="F102" s="757"/>
      <c r="G102" s="56"/>
      <c r="H102" s="1530"/>
      <c r="I102" s="1531"/>
      <c r="J102" s="1531"/>
      <c r="K102" s="1531"/>
      <c r="L102" s="239"/>
      <c r="M102" s="240"/>
      <c r="N102" s="1531"/>
      <c r="O102" s="1531"/>
      <c r="P102" s="1535">
        <f>IF('Conc DL'!R33="","",-'Conc DL'!R33)</f>
        <v>-1.875</v>
      </c>
      <c r="Q102" s="1535"/>
      <c r="R102" s="42"/>
      <c r="S102" s="290"/>
      <c r="T102" s="337">
        <f t="shared" si="9"/>
        <v>1</v>
      </c>
    </row>
    <row r="103" spans="1:20">
      <c r="B103" s="761" t="s">
        <v>937</v>
      </c>
      <c r="C103" s="683" t="str">
        <f t="shared" si="7"/>
        <v>*</v>
      </c>
      <c r="D103" s="50" t="str">
        <f t="shared" si="8"/>
        <v>94</v>
      </c>
      <c r="E103" s="50" t="str">
        <f t="shared" si="8"/>
        <v>94</v>
      </c>
      <c r="F103" s="757"/>
      <c r="G103" s="56"/>
      <c r="H103" s="1530"/>
      <c r="I103" s="1531"/>
      <c r="J103" s="1531"/>
      <c r="K103" s="1531"/>
      <c r="L103" s="239"/>
      <c r="M103" s="240"/>
      <c r="N103" s="1531"/>
      <c r="O103" s="1531"/>
      <c r="P103" s="1535">
        <f>IF('Conc DL'!R34="","",-'Conc DL'!R34)</f>
        <v>-1.875</v>
      </c>
      <c r="Q103" s="1535"/>
      <c r="R103" s="42"/>
      <c r="S103" s="290"/>
      <c r="T103" s="337">
        <f t="shared" si="9"/>
        <v>1</v>
      </c>
    </row>
    <row r="104" spans="1:20">
      <c r="B104" s="761" t="s">
        <v>940</v>
      </c>
      <c r="C104" s="683" t="str">
        <f t="shared" si="7"/>
        <v>-</v>
      </c>
      <c r="D104" s="50" t="str">
        <f t="shared" si="8"/>
        <v>0</v>
      </c>
      <c r="E104" s="50" t="str">
        <f t="shared" si="8"/>
        <v>0</v>
      </c>
      <c r="F104" s="757"/>
      <c r="G104" s="56"/>
      <c r="H104" s="1530"/>
      <c r="I104" s="1531"/>
      <c r="J104" s="1531"/>
      <c r="K104" s="1531"/>
      <c r="L104" s="239"/>
      <c r="M104" s="240"/>
      <c r="N104" s="1531"/>
      <c r="O104" s="1531"/>
      <c r="P104" s="1535" t="str">
        <f>IF('Conc DL'!R35="","",-'Conc DL'!R35)</f>
        <v/>
      </c>
      <c r="Q104" s="1535"/>
      <c r="R104" s="42"/>
      <c r="S104" s="290"/>
      <c r="T104" s="337">
        <f t="shared" si="9"/>
        <v>0</v>
      </c>
    </row>
    <row r="105" spans="1:20">
      <c r="B105" s="761" t="s">
        <v>941</v>
      </c>
      <c r="C105" s="683" t="str">
        <f t="shared" si="7"/>
        <v>-</v>
      </c>
      <c r="D105" s="50" t="str">
        <f t="shared" si="8"/>
        <v>0</v>
      </c>
      <c r="E105" s="50" t="str">
        <f t="shared" si="8"/>
        <v>0</v>
      </c>
      <c r="F105" s="757"/>
      <c r="G105" s="56"/>
      <c r="H105" s="1530"/>
      <c r="I105" s="1531"/>
      <c r="J105" s="1531"/>
      <c r="K105" s="1531"/>
      <c r="L105" s="239"/>
      <c r="M105" s="240"/>
      <c r="N105" s="1531"/>
      <c r="O105" s="1531"/>
      <c r="P105" s="1535" t="str">
        <f>IF('Conc DL'!R36="","",-'Conc DL'!R36)</f>
        <v/>
      </c>
      <c r="Q105" s="1535"/>
      <c r="R105" s="42"/>
      <c r="S105" s="290"/>
      <c r="T105" s="337">
        <f t="shared" si="9"/>
        <v>0</v>
      </c>
    </row>
    <row r="106" spans="1:20" hidden="1">
      <c r="B106" s="761" t="s">
        <v>942</v>
      </c>
      <c r="C106" s="683" t="str">
        <f t="shared" si="7"/>
        <v>-</v>
      </c>
      <c r="D106" s="50" t="str">
        <f t="shared" si="8"/>
        <v>0</v>
      </c>
      <c r="E106" s="50" t="str">
        <f t="shared" si="8"/>
        <v>0</v>
      </c>
      <c r="F106" s="757"/>
      <c r="G106" s="56"/>
      <c r="H106" s="1530"/>
      <c r="I106" s="1531"/>
      <c r="J106" s="1531"/>
      <c r="K106" s="1531"/>
      <c r="L106" s="239"/>
      <c r="M106" s="240"/>
      <c r="N106" s="1531"/>
      <c r="O106" s="1531"/>
      <c r="P106" s="1535" t="str">
        <f>IF('Conc DL'!R37="","",-'Conc DL'!R37)</f>
        <v/>
      </c>
      <c r="Q106" s="1535"/>
      <c r="R106" s="42"/>
      <c r="S106" s="290"/>
      <c r="T106" s="337">
        <f t="shared" si="9"/>
        <v>0</v>
      </c>
    </row>
    <row r="107" spans="1:20" hidden="1">
      <c r="B107" s="761" t="s">
        <v>943</v>
      </c>
      <c r="C107" s="683" t="str">
        <f t="shared" si="7"/>
        <v>-</v>
      </c>
      <c r="D107" s="50" t="str">
        <f t="shared" si="8"/>
        <v>0</v>
      </c>
      <c r="E107" s="50" t="str">
        <f t="shared" si="8"/>
        <v>0</v>
      </c>
      <c r="F107" s="757"/>
      <c r="G107" s="56"/>
      <c r="H107" s="1530"/>
      <c r="I107" s="1531"/>
      <c r="J107" s="1531"/>
      <c r="K107" s="1531"/>
      <c r="L107" s="239"/>
      <c r="M107" s="240"/>
      <c r="N107" s="1531"/>
      <c r="O107" s="1531"/>
      <c r="P107" s="1535" t="str">
        <f>IF('Conc DL'!R38="","",-'Conc DL'!R38)</f>
        <v/>
      </c>
      <c r="Q107" s="1535"/>
      <c r="R107" s="42"/>
      <c r="S107" s="290"/>
      <c r="T107" s="337">
        <f t="shared" si="9"/>
        <v>0</v>
      </c>
    </row>
    <row r="108" spans="1:20" hidden="1">
      <c r="B108" s="761" t="s">
        <v>944</v>
      </c>
      <c r="C108" s="683" t="str">
        <f t="shared" si="7"/>
        <v>-</v>
      </c>
      <c r="D108" s="50" t="str">
        <f t="shared" si="8"/>
        <v>0</v>
      </c>
      <c r="E108" s="50" t="str">
        <f t="shared" si="8"/>
        <v>0</v>
      </c>
      <c r="F108" s="757"/>
      <c r="G108" s="56"/>
      <c r="H108" s="1530"/>
      <c r="I108" s="1531"/>
      <c r="J108" s="1531"/>
      <c r="K108" s="1531"/>
      <c r="L108" s="239"/>
      <c r="M108" s="240"/>
      <c r="N108" s="1531"/>
      <c r="O108" s="1531"/>
      <c r="P108" s="1535" t="str">
        <f>IF('Conc DL'!R39="","",-'Conc DL'!R39)</f>
        <v/>
      </c>
      <c r="Q108" s="1535"/>
      <c r="R108" s="42"/>
      <c r="S108" s="290"/>
      <c r="T108" s="337">
        <f t="shared" si="9"/>
        <v>0</v>
      </c>
    </row>
    <row r="109" spans="1:20" hidden="1">
      <c r="B109" s="761" t="s">
        <v>945</v>
      </c>
      <c r="C109" s="683" t="str">
        <f t="shared" si="7"/>
        <v>-</v>
      </c>
      <c r="D109" s="50" t="str">
        <f t="shared" si="8"/>
        <v>0</v>
      </c>
      <c r="E109" s="50" t="str">
        <f t="shared" si="8"/>
        <v>0</v>
      </c>
      <c r="F109" s="757"/>
      <c r="G109" s="56"/>
      <c r="H109" s="1530"/>
      <c r="I109" s="1531"/>
      <c r="J109" s="1531"/>
      <c r="K109" s="1531"/>
      <c r="L109" s="239"/>
      <c r="M109" s="240"/>
      <c r="N109" s="1531"/>
      <c r="O109" s="1531"/>
      <c r="P109" s="1535" t="str">
        <f>IF('Conc DL'!R40="","",-'Conc DL'!R40)</f>
        <v/>
      </c>
      <c r="Q109" s="1535"/>
      <c r="R109" s="42"/>
      <c r="S109" s="290"/>
      <c r="T109" s="337">
        <f t="shared" si="9"/>
        <v>0</v>
      </c>
    </row>
    <row r="110" spans="1:20" hidden="1">
      <c r="B110" s="761" t="s">
        <v>946</v>
      </c>
      <c r="C110" s="683" t="str">
        <f t="shared" si="7"/>
        <v>-</v>
      </c>
      <c r="D110" s="50" t="str">
        <f t="shared" si="8"/>
        <v>0</v>
      </c>
      <c r="E110" s="50" t="str">
        <f t="shared" si="8"/>
        <v>0</v>
      </c>
      <c r="F110" s="757"/>
      <c r="G110" s="56"/>
      <c r="H110" s="1530"/>
      <c r="I110" s="1531"/>
      <c r="J110" s="1531"/>
      <c r="K110" s="1531"/>
      <c r="L110" s="239"/>
      <c r="M110" s="240"/>
      <c r="N110" s="1531"/>
      <c r="O110" s="1531"/>
      <c r="P110" s="1535" t="str">
        <f>IF('Conc DL'!R41="","",-'Conc DL'!R41)</f>
        <v/>
      </c>
      <c r="Q110" s="1535"/>
      <c r="R110" s="42"/>
      <c r="S110" s="290"/>
      <c r="T110" s="337">
        <f t="shared" si="9"/>
        <v>0</v>
      </c>
    </row>
    <row r="111" spans="1:20" hidden="1">
      <c r="B111" s="761" t="s">
        <v>947</v>
      </c>
      <c r="C111" s="683" t="str">
        <f t="shared" si="7"/>
        <v>-</v>
      </c>
      <c r="D111" s="50" t="str">
        <f t="shared" si="8"/>
        <v>0</v>
      </c>
      <c r="E111" s="50" t="str">
        <f t="shared" si="8"/>
        <v>0</v>
      </c>
      <c r="F111" s="757"/>
      <c r="G111" s="56"/>
      <c r="H111" s="1530"/>
      <c r="I111" s="1531"/>
      <c r="J111" s="1531"/>
      <c r="K111" s="1531"/>
      <c r="L111" s="239"/>
      <c r="M111" s="240"/>
      <c r="N111" s="1531"/>
      <c r="O111" s="1531"/>
      <c r="P111" s="1535" t="str">
        <f>IF('Conc DL'!R42="","",-'Conc DL'!R42)</f>
        <v/>
      </c>
      <c r="Q111" s="1535"/>
      <c r="R111" s="42"/>
      <c r="S111" s="290"/>
      <c r="T111" s="337">
        <f t="shared" si="9"/>
        <v>0</v>
      </c>
    </row>
    <row r="112" spans="1:20" hidden="1">
      <c r="B112" s="761" t="s">
        <v>948</v>
      </c>
      <c r="C112" s="683" t="str">
        <f t="shared" si="7"/>
        <v>-</v>
      </c>
      <c r="D112" s="50" t="str">
        <f t="shared" si="8"/>
        <v>0</v>
      </c>
      <c r="E112" s="50" t="str">
        <f t="shared" si="8"/>
        <v>0</v>
      </c>
      <c r="F112" s="757"/>
      <c r="G112" s="56"/>
      <c r="H112" s="1530"/>
      <c r="I112" s="1531"/>
      <c r="J112" s="1531"/>
      <c r="K112" s="1531"/>
      <c r="L112" s="239"/>
      <c r="M112" s="240"/>
      <c r="N112" s="1531"/>
      <c r="O112" s="1531"/>
      <c r="P112" s="1535" t="str">
        <f>IF('Conc DL'!R43="","",-'Conc DL'!R43)</f>
        <v/>
      </c>
      <c r="Q112" s="1535"/>
      <c r="R112" s="42"/>
      <c r="S112" s="290"/>
      <c r="T112" s="337">
        <f t="shared" si="9"/>
        <v>0</v>
      </c>
    </row>
    <row r="113" spans="2:20" hidden="1">
      <c r="B113" s="761" t="s">
        <v>949</v>
      </c>
      <c r="C113" s="683" t="str">
        <f t="shared" si="7"/>
        <v>-</v>
      </c>
      <c r="D113" s="50" t="str">
        <f t="shared" si="8"/>
        <v>0</v>
      </c>
      <c r="E113" s="50" t="str">
        <f t="shared" si="8"/>
        <v>0</v>
      </c>
      <c r="F113" s="757"/>
      <c r="G113" s="56"/>
      <c r="H113" s="1530"/>
      <c r="I113" s="1531"/>
      <c r="J113" s="1531"/>
      <c r="K113" s="1531"/>
      <c r="L113" s="239"/>
      <c r="M113" s="240"/>
      <c r="N113" s="1531"/>
      <c r="O113" s="1531"/>
      <c r="P113" s="1535" t="str">
        <f>IF('Conc DL'!R44="","",-'Conc DL'!R44)</f>
        <v/>
      </c>
      <c r="Q113" s="1535"/>
      <c r="R113" s="42"/>
      <c r="S113" s="290"/>
      <c r="T113" s="337">
        <f t="shared" si="9"/>
        <v>0</v>
      </c>
    </row>
    <row r="114" spans="2:20" hidden="1">
      <c r="B114" s="761" t="s">
        <v>950</v>
      </c>
      <c r="C114" s="683" t="str">
        <f t="shared" si="7"/>
        <v>-</v>
      </c>
      <c r="D114" s="50" t="str">
        <f t="shared" si="8"/>
        <v>0</v>
      </c>
      <c r="E114" s="50" t="str">
        <f t="shared" si="8"/>
        <v>0</v>
      </c>
      <c r="F114" s="757"/>
      <c r="G114" s="56"/>
      <c r="H114" s="1530"/>
      <c r="I114" s="1531"/>
      <c r="J114" s="1531"/>
      <c r="K114" s="1531"/>
      <c r="L114" s="239"/>
      <c r="M114" s="240"/>
      <c r="N114" s="1531"/>
      <c r="O114" s="1531"/>
      <c r="P114" s="1535" t="str">
        <f>IF('Conc DL'!R45="","",-'Conc DL'!R45)</f>
        <v/>
      </c>
      <c r="Q114" s="1535"/>
      <c r="R114" s="42"/>
      <c r="S114" s="290"/>
      <c r="T114" s="337">
        <f t="shared" si="9"/>
        <v>0</v>
      </c>
    </row>
    <row r="115" spans="2:20" hidden="1">
      <c r="B115" s="761" t="s">
        <v>951</v>
      </c>
      <c r="C115" s="683" t="str">
        <f t="shared" si="7"/>
        <v>-</v>
      </c>
      <c r="D115" s="50" t="str">
        <f t="shared" si="8"/>
        <v>0</v>
      </c>
      <c r="E115" s="50" t="str">
        <f t="shared" si="8"/>
        <v>0</v>
      </c>
      <c r="F115" s="757"/>
      <c r="G115" s="56"/>
      <c r="H115" s="1530"/>
      <c r="I115" s="1531"/>
      <c r="J115" s="1531"/>
      <c r="K115" s="1531"/>
      <c r="L115" s="239"/>
      <c r="M115" s="240"/>
      <c r="N115" s="1531"/>
      <c r="O115" s="1531"/>
      <c r="P115" s="1535" t="str">
        <f>IF('Conc DL'!R46="","",-'Conc DL'!R46)</f>
        <v/>
      </c>
      <c r="Q115" s="1535"/>
      <c r="R115" s="42"/>
      <c r="S115" s="290"/>
      <c r="T115" s="337">
        <f t="shared" si="9"/>
        <v>0</v>
      </c>
    </row>
    <row r="116" spans="2:20" hidden="1">
      <c r="B116" s="761" t="s">
        <v>952</v>
      </c>
      <c r="C116" s="683" t="str">
        <f t="shared" si="7"/>
        <v>-</v>
      </c>
      <c r="D116" s="50" t="str">
        <f t="shared" si="8"/>
        <v>0</v>
      </c>
      <c r="E116" s="50" t="str">
        <f t="shared" si="8"/>
        <v>0</v>
      </c>
      <c r="F116" s="757"/>
      <c r="G116" s="56"/>
      <c r="H116" s="1530"/>
      <c r="I116" s="1531"/>
      <c r="J116" s="1531"/>
      <c r="K116" s="1531"/>
      <c r="L116" s="239"/>
      <c r="M116" s="240"/>
      <c r="N116" s="1531"/>
      <c r="O116" s="1531"/>
      <c r="P116" s="1535" t="str">
        <f>IF('Conc DL'!R47="","",-'Conc DL'!R47)</f>
        <v/>
      </c>
      <c r="Q116" s="1535"/>
      <c r="R116" s="42"/>
      <c r="S116" s="290"/>
      <c r="T116" s="337">
        <f t="shared" si="9"/>
        <v>0</v>
      </c>
    </row>
    <row r="117" spans="2:20" hidden="1">
      <c r="B117" s="761" t="s">
        <v>953</v>
      </c>
      <c r="C117" s="683" t="str">
        <f t="shared" si="7"/>
        <v>-</v>
      </c>
      <c r="D117" s="50" t="str">
        <f t="shared" si="8"/>
        <v>0</v>
      </c>
      <c r="E117" s="50" t="str">
        <f t="shared" si="8"/>
        <v>0</v>
      </c>
      <c r="F117" s="757"/>
      <c r="G117" s="56"/>
      <c r="H117" s="1530"/>
      <c r="I117" s="1531"/>
      <c r="J117" s="1531"/>
      <c r="K117" s="1531"/>
      <c r="L117" s="239"/>
      <c r="M117" s="240"/>
      <c r="N117" s="1531"/>
      <c r="O117" s="1531"/>
      <c r="P117" s="1535" t="str">
        <f>IF('Conc DL'!R48="","",-'Conc DL'!R48)</f>
        <v/>
      </c>
      <c r="Q117" s="1535"/>
      <c r="R117" s="42"/>
      <c r="S117" s="290"/>
      <c r="T117" s="337">
        <f t="shared" si="9"/>
        <v>0</v>
      </c>
    </row>
    <row r="118" spans="2:20" hidden="1">
      <c r="B118" s="761" t="s">
        <v>954</v>
      </c>
      <c r="C118" s="683" t="str">
        <f t="shared" si="7"/>
        <v>-</v>
      </c>
      <c r="D118" s="50" t="str">
        <f t="shared" si="8"/>
        <v>0</v>
      </c>
      <c r="E118" s="50" t="str">
        <f t="shared" si="8"/>
        <v>0</v>
      </c>
      <c r="F118" s="757"/>
      <c r="G118" s="56"/>
      <c r="H118" s="1530"/>
      <c r="I118" s="1531"/>
      <c r="J118" s="1531"/>
      <c r="K118" s="1531"/>
      <c r="L118" s="239"/>
      <c r="M118" s="240"/>
      <c r="N118" s="1531"/>
      <c r="O118" s="1531"/>
      <c r="P118" s="1535" t="str">
        <f>IF('Conc DL'!R49="","",-'Conc DL'!R49)</f>
        <v/>
      </c>
      <c r="Q118" s="1535"/>
      <c r="R118" s="42"/>
      <c r="S118" s="290"/>
      <c r="T118" s="337">
        <f t="shared" si="9"/>
        <v>0</v>
      </c>
    </row>
    <row r="119" spans="2:20" hidden="1">
      <c r="B119" s="761" t="s">
        <v>955</v>
      </c>
      <c r="C119" s="683" t="str">
        <f t="shared" si="7"/>
        <v>-</v>
      </c>
      <c r="D119" s="50" t="str">
        <f t="shared" si="8"/>
        <v>0</v>
      </c>
      <c r="E119" s="50" t="str">
        <f t="shared" si="8"/>
        <v>0</v>
      </c>
      <c r="F119" s="757"/>
      <c r="G119" s="56"/>
      <c r="H119" s="1530"/>
      <c r="I119" s="1531"/>
      <c r="J119" s="1531"/>
      <c r="K119" s="1531"/>
      <c r="L119" s="239"/>
      <c r="M119" s="240"/>
      <c r="N119" s="1531"/>
      <c r="O119" s="1531"/>
      <c r="P119" s="1535" t="str">
        <f>IF('Conc DL'!R50="","",-'Conc DL'!R50)</f>
        <v/>
      </c>
      <c r="Q119" s="1535"/>
      <c r="R119" s="42"/>
      <c r="S119" s="290"/>
      <c r="T119" s="337">
        <f t="shared" si="9"/>
        <v>0</v>
      </c>
    </row>
    <row r="120" spans="2:20">
      <c r="B120" s="761" t="s">
        <v>956</v>
      </c>
      <c r="C120" s="683" t="str">
        <f t="shared" si="7"/>
        <v>*</v>
      </c>
      <c r="D120" s="50" t="str">
        <f t="shared" ref="D120:E139" si="10">D80</f>
        <v>6</v>
      </c>
      <c r="E120" s="50" t="str">
        <f t="shared" si="10"/>
        <v>6</v>
      </c>
      <c r="F120" s="757"/>
      <c r="G120" s="56"/>
      <c r="H120" s="1530"/>
      <c r="I120" s="1531"/>
      <c r="J120" s="1531"/>
      <c r="K120" s="1531"/>
      <c r="L120" s="239"/>
      <c r="M120" s="240"/>
      <c r="N120" s="1531"/>
      <c r="O120" s="1531"/>
      <c r="P120" s="1535">
        <f>IF('Conc DL'!R82="","",-'Conc DL'!R82)</f>
        <v>-2.25</v>
      </c>
      <c r="Q120" s="1535"/>
      <c r="R120" s="42"/>
      <c r="S120" s="290"/>
      <c r="T120" s="337">
        <f t="shared" si="9"/>
        <v>1</v>
      </c>
    </row>
    <row r="121" spans="2:20">
      <c r="B121" s="761" t="s">
        <v>957</v>
      </c>
      <c r="C121" s="683" t="str">
        <f t="shared" si="7"/>
        <v>*</v>
      </c>
      <c r="D121" s="50" t="str">
        <f t="shared" si="10"/>
        <v>35</v>
      </c>
      <c r="E121" s="50" t="str">
        <f t="shared" si="10"/>
        <v>35</v>
      </c>
      <c r="F121" s="757"/>
      <c r="G121" s="56"/>
      <c r="H121" s="1530"/>
      <c r="I121" s="1531"/>
      <c r="J121" s="1531"/>
      <c r="K121" s="1531"/>
      <c r="L121" s="239"/>
      <c r="M121" s="240"/>
      <c r="N121" s="1531"/>
      <c r="O121" s="1531"/>
      <c r="P121" s="1535">
        <f>IF('Conc DL'!R83="","",-'Conc DL'!R83)</f>
        <v>-2.25</v>
      </c>
      <c r="Q121" s="1535"/>
      <c r="R121" s="42"/>
      <c r="S121" s="290"/>
      <c r="T121" s="337">
        <f t="shared" si="9"/>
        <v>1</v>
      </c>
    </row>
    <row r="122" spans="2:20">
      <c r="B122" s="761" t="s">
        <v>958</v>
      </c>
      <c r="C122" s="683" t="str">
        <f t="shared" si="7"/>
        <v>*</v>
      </c>
      <c r="D122" s="50" t="str">
        <f t="shared" si="10"/>
        <v>65</v>
      </c>
      <c r="E122" s="50" t="str">
        <f t="shared" si="10"/>
        <v>65</v>
      </c>
      <c r="F122" s="757"/>
      <c r="G122" s="56"/>
      <c r="H122" s="1530"/>
      <c r="I122" s="1531"/>
      <c r="J122" s="1531"/>
      <c r="K122" s="1531"/>
      <c r="L122" s="239"/>
      <c r="M122" s="240"/>
      <c r="N122" s="1531"/>
      <c r="O122" s="1531"/>
      <c r="P122" s="1535">
        <f>IF('Conc DL'!R84="","",-'Conc DL'!R84)</f>
        <v>-2.25</v>
      </c>
      <c r="Q122" s="1535"/>
      <c r="R122" s="42"/>
      <c r="S122" s="290"/>
      <c r="T122" s="337">
        <f t="shared" si="9"/>
        <v>1</v>
      </c>
    </row>
    <row r="123" spans="2:20">
      <c r="B123" s="761" t="s">
        <v>959</v>
      </c>
      <c r="C123" s="683" t="str">
        <f t="shared" si="7"/>
        <v>*</v>
      </c>
      <c r="D123" s="50" t="str">
        <f t="shared" si="10"/>
        <v>94</v>
      </c>
      <c r="E123" s="50" t="str">
        <f t="shared" si="10"/>
        <v>94</v>
      </c>
      <c r="F123" s="757"/>
      <c r="G123" s="56"/>
      <c r="H123" s="1530"/>
      <c r="I123" s="1531"/>
      <c r="J123" s="1531"/>
      <c r="K123" s="1531"/>
      <c r="L123" s="239"/>
      <c r="M123" s="240"/>
      <c r="N123" s="1531"/>
      <c r="O123" s="1531"/>
      <c r="P123" s="1535">
        <f>IF('Conc DL'!R85="","",-'Conc DL'!R85)</f>
        <v>-2.25</v>
      </c>
      <c r="Q123" s="1535"/>
      <c r="R123" s="42"/>
      <c r="S123" s="290"/>
      <c r="T123" s="337">
        <f t="shared" si="9"/>
        <v>1</v>
      </c>
    </row>
    <row r="124" spans="2:20">
      <c r="B124" s="761" t="s">
        <v>960</v>
      </c>
      <c r="C124" s="683" t="str">
        <f t="shared" si="7"/>
        <v>-</v>
      </c>
      <c r="D124" s="50" t="str">
        <f t="shared" si="10"/>
        <v>0</v>
      </c>
      <c r="E124" s="50" t="str">
        <f t="shared" si="10"/>
        <v>0</v>
      </c>
      <c r="F124" s="757"/>
      <c r="G124" s="56"/>
      <c r="H124" s="1530"/>
      <c r="I124" s="1531"/>
      <c r="J124" s="1531"/>
      <c r="K124" s="1531"/>
      <c r="L124" s="239"/>
      <c r="M124" s="240"/>
      <c r="N124" s="1531"/>
      <c r="O124" s="1531"/>
      <c r="P124" s="1535" t="str">
        <f>IF('Conc DL'!R86="","",-'Conc DL'!R86)</f>
        <v/>
      </c>
      <c r="Q124" s="1535"/>
      <c r="R124" s="42"/>
      <c r="S124" s="290"/>
      <c r="T124" s="337">
        <f t="shared" si="9"/>
        <v>0</v>
      </c>
    </row>
    <row r="125" spans="2:20">
      <c r="B125" s="761" t="s">
        <v>961</v>
      </c>
      <c r="C125" s="683" t="str">
        <f t="shared" si="7"/>
        <v>-</v>
      </c>
      <c r="D125" s="50" t="str">
        <f t="shared" si="10"/>
        <v>0</v>
      </c>
      <c r="E125" s="50" t="str">
        <f t="shared" si="10"/>
        <v>0</v>
      </c>
      <c r="F125" s="757"/>
      <c r="G125" s="56"/>
      <c r="H125" s="1530"/>
      <c r="I125" s="1531"/>
      <c r="J125" s="1531"/>
      <c r="K125" s="1531"/>
      <c r="L125" s="239"/>
      <c r="M125" s="240"/>
      <c r="N125" s="1531"/>
      <c r="O125" s="1531"/>
      <c r="P125" s="1535" t="str">
        <f>IF('Conc DL'!R87="","",-'Conc DL'!R87)</f>
        <v/>
      </c>
      <c r="Q125" s="1535"/>
      <c r="R125" s="42"/>
      <c r="S125" s="290"/>
      <c r="T125" s="337">
        <f t="shared" si="9"/>
        <v>0</v>
      </c>
    </row>
    <row r="126" spans="2:20" hidden="1">
      <c r="B126" s="761" t="s">
        <v>962</v>
      </c>
      <c r="C126" s="683" t="str">
        <f t="shared" si="7"/>
        <v>-</v>
      </c>
      <c r="D126" s="50" t="str">
        <f t="shared" si="10"/>
        <v>0</v>
      </c>
      <c r="E126" s="50" t="str">
        <f t="shared" si="10"/>
        <v>0</v>
      </c>
      <c r="F126" s="757"/>
      <c r="G126" s="56"/>
      <c r="H126" s="1530"/>
      <c r="I126" s="1531"/>
      <c r="J126" s="1531"/>
      <c r="K126" s="1531"/>
      <c r="L126" s="239"/>
      <c r="M126" s="240"/>
      <c r="N126" s="1531"/>
      <c r="O126" s="1531"/>
      <c r="P126" s="1535" t="str">
        <f>IF('Conc DL'!R88="","",-'Conc DL'!R88)</f>
        <v/>
      </c>
      <c r="Q126" s="1535"/>
      <c r="R126" s="42"/>
      <c r="S126" s="290"/>
      <c r="T126" s="337">
        <f t="shared" si="9"/>
        <v>0</v>
      </c>
    </row>
    <row r="127" spans="2:20" hidden="1">
      <c r="B127" s="761" t="s">
        <v>963</v>
      </c>
      <c r="C127" s="683" t="str">
        <f t="shared" si="7"/>
        <v>-</v>
      </c>
      <c r="D127" s="50" t="str">
        <f t="shared" si="10"/>
        <v>0</v>
      </c>
      <c r="E127" s="50" t="str">
        <f t="shared" si="10"/>
        <v>0</v>
      </c>
      <c r="F127" s="757"/>
      <c r="G127" s="56"/>
      <c r="H127" s="1530"/>
      <c r="I127" s="1531"/>
      <c r="J127" s="1531"/>
      <c r="K127" s="1531"/>
      <c r="L127" s="239"/>
      <c r="M127" s="240"/>
      <c r="N127" s="1531"/>
      <c r="O127" s="1531"/>
      <c r="P127" s="1535" t="str">
        <f>IF('Conc DL'!R89="","",-'Conc DL'!R89)</f>
        <v/>
      </c>
      <c r="Q127" s="1535"/>
      <c r="R127" s="42"/>
      <c r="S127" s="290"/>
      <c r="T127" s="337">
        <f t="shared" si="9"/>
        <v>0</v>
      </c>
    </row>
    <row r="128" spans="2:20" hidden="1">
      <c r="B128" s="761" t="s">
        <v>964</v>
      </c>
      <c r="C128" s="683" t="str">
        <f t="shared" si="7"/>
        <v>-</v>
      </c>
      <c r="D128" s="50" t="str">
        <f t="shared" si="10"/>
        <v>0</v>
      </c>
      <c r="E128" s="50" t="str">
        <f t="shared" si="10"/>
        <v>0</v>
      </c>
      <c r="F128" s="757"/>
      <c r="G128" s="56"/>
      <c r="H128" s="1530"/>
      <c r="I128" s="1531"/>
      <c r="J128" s="1531"/>
      <c r="K128" s="1531"/>
      <c r="L128" s="239"/>
      <c r="M128" s="240"/>
      <c r="N128" s="1531"/>
      <c r="O128" s="1531"/>
      <c r="P128" s="1535" t="str">
        <f>IF('Conc DL'!R90="","",-'Conc DL'!R90)</f>
        <v/>
      </c>
      <c r="Q128" s="1535"/>
      <c r="R128" s="42"/>
      <c r="S128" s="290"/>
      <c r="T128" s="337">
        <f t="shared" si="9"/>
        <v>0</v>
      </c>
    </row>
    <row r="129" spans="2:20" hidden="1">
      <c r="B129" s="761" t="s">
        <v>965</v>
      </c>
      <c r="C129" s="683" t="str">
        <f t="shared" si="7"/>
        <v>-</v>
      </c>
      <c r="D129" s="50" t="str">
        <f t="shared" si="10"/>
        <v>0</v>
      </c>
      <c r="E129" s="50" t="str">
        <f t="shared" si="10"/>
        <v>0</v>
      </c>
      <c r="F129" s="757"/>
      <c r="G129" s="56"/>
      <c r="H129" s="1530"/>
      <c r="I129" s="1531"/>
      <c r="J129" s="1531"/>
      <c r="K129" s="1531"/>
      <c r="L129" s="239"/>
      <c r="M129" s="240"/>
      <c r="N129" s="1531"/>
      <c r="O129" s="1531"/>
      <c r="P129" s="1535" t="str">
        <f>IF('Conc DL'!R91="","",-'Conc DL'!R91)</f>
        <v/>
      </c>
      <c r="Q129" s="1535"/>
      <c r="R129" s="42"/>
      <c r="S129" s="290"/>
      <c r="T129" s="337">
        <f t="shared" si="9"/>
        <v>0</v>
      </c>
    </row>
    <row r="130" spans="2:20" hidden="1">
      <c r="B130" s="761" t="s">
        <v>966</v>
      </c>
      <c r="C130" s="683" t="str">
        <f t="shared" si="7"/>
        <v>-</v>
      </c>
      <c r="D130" s="50" t="str">
        <f t="shared" si="10"/>
        <v>0</v>
      </c>
      <c r="E130" s="50" t="str">
        <f t="shared" si="10"/>
        <v>0</v>
      </c>
      <c r="F130" s="757"/>
      <c r="G130" s="56"/>
      <c r="H130" s="1530"/>
      <c r="I130" s="1531"/>
      <c r="J130" s="1531"/>
      <c r="K130" s="1531"/>
      <c r="L130" s="239"/>
      <c r="M130" s="240"/>
      <c r="N130" s="1531"/>
      <c r="O130" s="1531"/>
      <c r="P130" s="1535" t="str">
        <f>IF('Conc DL'!R92="","",-'Conc DL'!R92)</f>
        <v/>
      </c>
      <c r="Q130" s="1535"/>
      <c r="R130" s="42"/>
      <c r="S130" s="290"/>
      <c r="T130" s="337">
        <f t="shared" si="9"/>
        <v>0</v>
      </c>
    </row>
    <row r="131" spans="2:20" hidden="1">
      <c r="B131" s="761" t="s">
        <v>967</v>
      </c>
      <c r="C131" s="683" t="str">
        <f t="shared" si="7"/>
        <v>-</v>
      </c>
      <c r="D131" s="50" t="str">
        <f t="shared" si="10"/>
        <v>0</v>
      </c>
      <c r="E131" s="50" t="str">
        <f t="shared" si="10"/>
        <v>0</v>
      </c>
      <c r="F131" s="757"/>
      <c r="G131" s="56"/>
      <c r="H131" s="1530"/>
      <c r="I131" s="1531"/>
      <c r="J131" s="1531"/>
      <c r="K131" s="1531"/>
      <c r="L131" s="239"/>
      <c r="M131" s="240"/>
      <c r="N131" s="1531"/>
      <c r="O131" s="1531"/>
      <c r="P131" s="1535" t="str">
        <f>IF('Conc DL'!R93="","",-'Conc DL'!R93)</f>
        <v/>
      </c>
      <c r="Q131" s="1535"/>
      <c r="R131" s="42"/>
      <c r="S131" s="290"/>
      <c r="T131" s="337">
        <f t="shared" si="9"/>
        <v>0</v>
      </c>
    </row>
    <row r="132" spans="2:20" hidden="1">
      <c r="B132" s="761" t="s">
        <v>968</v>
      </c>
      <c r="C132" s="683" t="str">
        <f t="shared" si="7"/>
        <v>-</v>
      </c>
      <c r="D132" s="50" t="str">
        <f t="shared" si="10"/>
        <v>0</v>
      </c>
      <c r="E132" s="50" t="str">
        <f t="shared" si="10"/>
        <v>0</v>
      </c>
      <c r="F132" s="757"/>
      <c r="G132" s="56"/>
      <c r="H132" s="1530"/>
      <c r="I132" s="1531"/>
      <c r="J132" s="1531"/>
      <c r="K132" s="1531"/>
      <c r="L132" s="239"/>
      <c r="M132" s="240"/>
      <c r="N132" s="1531"/>
      <c r="O132" s="1531"/>
      <c r="P132" s="1535" t="str">
        <f>IF('Conc DL'!R94="","",-'Conc DL'!R94)</f>
        <v/>
      </c>
      <c r="Q132" s="1535"/>
      <c r="R132" s="42"/>
      <c r="S132" s="290"/>
      <c r="T132" s="337">
        <f t="shared" si="9"/>
        <v>0</v>
      </c>
    </row>
    <row r="133" spans="2:20" hidden="1">
      <c r="B133" s="761" t="s">
        <v>969</v>
      </c>
      <c r="C133" s="683" t="str">
        <f t="shared" si="7"/>
        <v>-</v>
      </c>
      <c r="D133" s="50" t="str">
        <f t="shared" si="10"/>
        <v>0</v>
      </c>
      <c r="E133" s="50" t="str">
        <f t="shared" si="10"/>
        <v>0</v>
      </c>
      <c r="F133" s="757"/>
      <c r="G133" s="56"/>
      <c r="H133" s="1530"/>
      <c r="I133" s="1531"/>
      <c r="J133" s="1531"/>
      <c r="K133" s="1531"/>
      <c r="L133" s="239"/>
      <c r="M133" s="240"/>
      <c r="N133" s="1531"/>
      <c r="O133" s="1531"/>
      <c r="P133" s="1535" t="str">
        <f>IF('Conc DL'!R95="","",-'Conc DL'!R95)</f>
        <v/>
      </c>
      <c r="Q133" s="1535"/>
      <c r="R133" s="42"/>
      <c r="S133" s="290"/>
      <c r="T133" s="337">
        <f t="shared" si="9"/>
        <v>0</v>
      </c>
    </row>
    <row r="134" spans="2:20" hidden="1">
      <c r="B134" s="761" t="s">
        <v>970</v>
      </c>
      <c r="C134" s="683" t="str">
        <f t="shared" si="7"/>
        <v>-</v>
      </c>
      <c r="D134" s="50" t="str">
        <f t="shared" si="10"/>
        <v>0</v>
      </c>
      <c r="E134" s="50" t="str">
        <f t="shared" si="10"/>
        <v>0</v>
      </c>
      <c r="F134" s="757"/>
      <c r="G134" s="56"/>
      <c r="H134" s="1530"/>
      <c r="I134" s="1531"/>
      <c r="J134" s="1531"/>
      <c r="K134" s="1531"/>
      <c r="L134" s="239"/>
      <c r="M134" s="240"/>
      <c r="N134" s="1531"/>
      <c r="O134" s="1531"/>
      <c r="P134" s="1535" t="str">
        <f>IF('Conc DL'!R96="","",-'Conc DL'!R96)</f>
        <v/>
      </c>
      <c r="Q134" s="1535"/>
      <c r="R134" s="42"/>
      <c r="S134" s="290"/>
      <c r="T134" s="337">
        <f t="shared" si="9"/>
        <v>0</v>
      </c>
    </row>
    <row r="135" spans="2:20" hidden="1">
      <c r="B135" s="761" t="s">
        <v>971</v>
      </c>
      <c r="C135" s="683" t="str">
        <f t="shared" si="7"/>
        <v>-</v>
      </c>
      <c r="D135" s="50" t="str">
        <f t="shared" si="10"/>
        <v>0</v>
      </c>
      <c r="E135" s="50" t="str">
        <f t="shared" si="10"/>
        <v>0</v>
      </c>
      <c r="F135" s="757"/>
      <c r="G135" s="56"/>
      <c r="H135" s="1530"/>
      <c r="I135" s="1531"/>
      <c r="J135" s="1531"/>
      <c r="K135" s="1531"/>
      <c r="L135" s="239"/>
      <c r="M135" s="240"/>
      <c r="N135" s="1531"/>
      <c r="O135" s="1531"/>
      <c r="P135" s="1535" t="str">
        <f>IF('Conc DL'!R97="","",-'Conc DL'!R97)</f>
        <v/>
      </c>
      <c r="Q135" s="1535"/>
      <c r="R135" s="42"/>
      <c r="S135" s="290"/>
      <c r="T135" s="337">
        <f t="shared" si="9"/>
        <v>0</v>
      </c>
    </row>
    <row r="136" spans="2:20" hidden="1">
      <c r="B136" s="761" t="s">
        <v>972</v>
      </c>
      <c r="C136" s="683" t="str">
        <f t="shared" si="7"/>
        <v>-</v>
      </c>
      <c r="D136" s="50" t="str">
        <f t="shared" si="10"/>
        <v>0</v>
      </c>
      <c r="E136" s="50" t="str">
        <f t="shared" si="10"/>
        <v>0</v>
      </c>
      <c r="F136" s="757"/>
      <c r="G136" s="56"/>
      <c r="H136" s="1530"/>
      <c r="I136" s="1531"/>
      <c r="J136" s="1531"/>
      <c r="K136" s="1531"/>
      <c r="L136" s="239"/>
      <c r="M136" s="240"/>
      <c r="N136" s="1531"/>
      <c r="O136" s="1531"/>
      <c r="P136" s="1535" t="str">
        <f>IF('Conc DL'!R98="","",-'Conc DL'!R98)</f>
        <v/>
      </c>
      <c r="Q136" s="1535"/>
      <c r="R136" s="42"/>
      <c r="S136" s="290"/>
      <c r="T136" s="337">
        <f t="shared" si="9"/>
        <v>0</v>
      </c>
    </row>
    <row r="137" spans="2:20" hidden="1">
      <c r="B137" s="761" t="s">
        <v>973</v>
      </c>
      <c r="C137" s="683" t="str">
        <f t="shared" si="7"/>
        <v>-</v>
      </c>
      <c r="D137" s="50" t="str">
        <f t="shared" si="10"/>
        <v>0</v>
      </c>
      <c r="E137" s="50" t="str">
        <f t="shared" si="10"/>
        <v>0</v>
      </c>
      <c r="F137" s="757"/>
      <c r="G137" s="56"/>
      <c r="H137" s="1530"/>
      <c r="I137" s="1531"/>
      <c r="J137" s="1531"/>
      <c r="K137" s="1531"/>
      <c r="L137" s="239"/>
      <c r="M137" s="240"/>
      <c r="N137" s="1531"/>
      <c r="O137" s="1531"/>
      <c r="P137" s="1535" t="str">
        <f>IF('Conc DL'!R99="","",-'Conc DL'!R99)</f>
        <v/>
      </c>
      <c r="Q137" s="1535"/>
      <c r="R137" s="42"/>
      <c r="S137" s="290"/>
      <c r="T137" s="337">
        <f t="shared" si="9"/>
        <v>0</v>
      </c>
    </row>
    <row r="138" spans="2:20" hidden="1">
      <c r="B138" s="761" t="s">
        <v>974</v>
      </c>
      <c r="C138" s="683" t="str">
        <f t="shared" si="7"/>
        <v>-</v>
      </c>
      <c r="D138" s="50" t="str">
        <f t="shared" si="10"/>
        <v>0</v>
      </c>
      <c r="E138" s="50" t="str">
        <f t="shared" si="10"/>
        <v>0</v>
      </c>
      <c r="F138" s="757"/>
      <c r="G138" s="56"/>
      <c r="H138" s="1530"/>
      <c r="I138" s="1531"/>
      <c r="J138" s="1531"/>
      <c r="K138" s="1531"/>
      <c r="L138" s="239"/>
      <c r="M138" s="240"/>
      <c r="N138" s="1531"/>
      <c r="O138" s="1531"/>
      <c r="P138" s="1535" t="str">
        <f>IF('Conc DL'!R100="","",-'Conc DL'!R100)</f>
        <v/>
      </c>
      <c r="Q138" s="1535"/>
      <c r="R138" s="42"/>
      <c r="S138" s="290"/>
      <c r="T138" s="337">
        <f t="shared" si="9"/>
        <v>0</v>
      </c>
    </row>
    <row r="139" spans="2:20" hidden="1">
      <c r="B139" s="761" t="s">
        <v>975</v>
      </c>
      <c r="C139" s="683" t="str">
        <f t="shared" si="7"/>
        <v>-</v>
      </c>
      <c r="D139" s="50" t="str">
        <f t="shared" si="10"/>
        <v>0</v>
      </c>
      <c r="E139" s="50" t="str">
        <f t="shared" si="10"/>
        <v>0</v>
      </c>
      <c r="F139" s="757"/>
      <c r="G139" s="56"/>
      <c r="H139" s="1530"/>
      <c r="I139" s="1531"/>
      <c r="J139" s="1531"/>
      <c r="K139" s="1531"/>
      <c r="L139" s="239"/>
      <c r="M139" s="240"/>
      <c r="N139" s="1531"/>
      <c r="O139" s="1531"/>
      <c r="P139" s="1535" t="str">
        <f>IF('Conc DL'!R101="","",-'Conc DL'!R101)</f>
        <v/>
      </c>
      <c r="Q139" s="1535"/>
      <c r="R139" s="42"/>
      <c r="S139" s="290"/>
      <c r="T139" s="337">
        <f t="shared" si="9"/>
        <v>0</v>
      </c>
    </row>
    <row r="140" spans="2:20">
      <c r="B140" s="55" t="s">
        <v>367</v>
      </c>
      <c r="C140" s="683" t="str">
        <f t="shared" si="3"/>
        <v>*</v>
      </c>
      <c r="D140" s="50">
        <v>0</v>
      </c>
      <c r="E140" s="53">
        <f>H25</f>
        <v>20</v>
      </c>
      <c r="F140" s="757"/>
      <c r="G140" s="56"/>
      <c r="H140" s="1530"/>
      <c r="I140" s="1531"/>
      <c r="J140" s="1531"/>
      <c r="K140" s="1531"/>
      <c r="L140" s="1529"/>
      <c r="M140" s="1529"/>
      <c r="N140" s="1529">
        <f>-'Live Load'!F50</f>
        <v>-5.8572533333333325</v>
      </c>
      <c r="O140" s="1529"/>
      <c r="P140" s="1575"/>
      <c r="Q140" s="1575"/>
      <c r="R140" s="42"/>
      <c r="S140" s="290"/>
      <c r="T140" s="337">
        <f t="shared" si="4"/>
        <v>1</v>
      </c>
    </row>
    <row r="141" spans="2:20">
      <c r="B141" s="55" t="s">
        <v>368</v>
      </c>
      <c r="C141" s="683" t="str">
        <f t="shared" si="3"/>
        <v>*</v>
      </c>
      <c r="D141" s="54">
        <f>ROUND(2/COS(RADIANS(BentSkew))/E22,0)</f>
        <v>4</v>
      </c>
      <c r="E141" s="51">
        <f>D141</f>
        <v>4</v>
      </c>
      <c r="F141" s="757"/>
      <c r="G141" s="56"/>
      <c r="H141" s="1530"/>
      <c r="I141" s="1531"/>
      <c r="J141" s="1531"/>
      <c r="K141" s="1531"/>
      <c r="L141" s="1529"/>
      <c r="M141" s="1529"/>
      <c r="N141" s="1529">
        <f>-'Live Load'!F33</f>
        <v>-21.28</v>
      </c>
      <c r="O141" s="1529"/>
      <c r="P141" s="1575"/>
      <c r="Q141" s="1575"/>
      <c r="R141" s="42"/>
      <c r="S141" s="290"/>
      <c r="T141" s="337">
        <f t="shared" si="4"/>
        <v>1</v>
      </c>
    </row>
    <row r="142" spans="2:20">
      <c r="B142" s="55" t="s">
        <v>368</v>
      </c>
      <c r="C142" s="683" t="str">
        <f t="shared" si="3"/>
        <v>*</v>
      </c>
      <c r="D142" s="50">
        <f>E140-D141</f>
        <v>16</v>
      </c>
      <c r="E142" s="51">
        <f>D142</f>
        <v>16</v>
      </c>
      <c r="F142" s="757"/>
      <c r="G142" s="56"/>
      <c r="H142" s="1530"/>
      <c r="I142" s="1531"/>
      <c r="J142" s="1531"/>
      <c r="K142" s="1531"/>
      <c r="L142" s="1529"/>
      <c r="M142" s="1529"/>
      <c r="N142" s="1529">
        <f>-'Live Load'!F33</f>
        <v>-21.28</v>
      </c>
      <c r="O142" s="1529"/>
      <c r="P142" s="1575"/>
      <c r="Q142" s="1575"/>
      <c r="R142" s="42"/>
      <c r="S142" s="290"/>
      <c r="T142" s="337">
        <f t="shared" si="4"/>
        <v>1</v>
      </c>
    </row>
    <row r="143" spans="2:20">
      <c r="B143" s="55" t="s">
        <v>374</v>
      </c>
      <c r="C143" s="290"/>
      <c r="D143" s="290"/>
      <c r="E143" s="290"/>
      <c r="F143" s="290"/>
      <c r="G143" s="42"/>
      <c r="H143" s="290"/>
      <c r="I143" s="290"/>
      <c r="J143" s="290"/>
      <c r="K143" s="290"/>
      <c r="L143" s="290"/>
      <c r="M143" s="290"/>
      <c r="N143" s="290"/>
      <c r="O143" s="290"/>
      <c r="P143" s="290"/>
      <c r="Q143" s="290"/>
      <c r="R143" s="290"/>
      <c r="S143" s="290"/>
    </row>
    <row r="144" spans="2:20" ht="2.25" customHeight="1">
      <c r="B144" s="290"/>
      <c r="C144" s="290"/>
      <c r="D144" s="290"/>
      <c r="E144" s="290"/>
      <c r="F144" s="290"/>
      <c r="G144" s="290"/>
      <c r="H144" s="290"/>
      <c r="I144" s="290"/>
      <c r="J144" s="290"/>
      <c r="K144" s="290"/>
      <c r="L144" s="290"/>
      <c r="M144" s="290"/>
      <c r="N144" s="290"/>
      <c r="O144" s="290"/>
      <c r="P144" s="290"/>
      <c r="Q144" s="290"/>
      <c r="R144" s="290"/>
      <c r="S144" s="290"/>
    </row>
    <row r="145" spans="2:21" ht="12" customHeight="1">
      <c r="B145" s="290" t="str">
        <f>IF(condition=1,"CEASE","")</f>
        <v>CEASE</v>
      </c>
      <c r="C145" s="290" t="str">
        <f>IF(condition=1,"CEASE","")</f>
        <v>CEASE</v>
      </c>
      <c r="D145" s="290"/>
      <c r="E145" s="290"/>
      <c r="F145" s="290"/>
      <c r="G145" s="290"/>
      <c r="H145" s="290"/>
      <c r="I145" s="290"/>
      <c r="J145" s="290"/>
      <c r="K145" s="290"/>
      <c r="L145" s="290"/>
      <c r="M145" s="290"/>
      <c r="N145" s="290"/>
      <c r="O145" s="290"/>
      <c r="P145" s="290"/>
      <c r="Q145" s="290"/>
      <c r="R145" s="290"/>
      <c r="S145" s="290"/>
    </row>
    <row r="146" spans="2:21" ht="3.75" hidden="1" customHeight="1">
      <c r="B146" s="290"/>
      <c r="C146" s="290"/>
      <c r="D146" s="290"/>
      <c r="E146" s="290"/>
      <c r="F146" s="290"/>
      <c r="G146" s="290"/>
      <c r="H146" s="290"/>
      <c r="I146" s="290"/>
      <c r="J146" s="290"/>
      <c r="K146" s="290"/>
      <c r="L146" s="290"/>
      <c r="M146" s="290"/>
      <c r="N146" s="290"/>
      <c r="O146" s="290"/>
      <c r="P146" s="290"/>
      <c r="Q146" s="290"/>
      <c r="R146" s="290"/>
      <c r="S146" s="290"/>
    </row>
    <row r="147" spans="2:21" hidden="1">
      <c r="B147" s="55"/>
      <c r="C147" s="742"/>
      <c r="D147" s="735" t="s">
        <v>277</v>
      </c>
      <c r="E147" s="736"/>
      <c r="F147" s="735" t="s">
        <v>278</v>
      </c>
      <c r="G147" s="736"/>
      <c r="H147" s="741" t="s">
        <v>279</v>
      </c>
      <c r="I147" s="736"/>
      <c r="J147" s="736"/>
      <c r="K147" s="736"/>
      <c r="L147" s="736"/>
      <c r="M147" s="736"/>
      <c r="N147" s="736"/>
      <c r="O147" s="736"/>
      <c r="P147" s="736"/>
      <c r="Q147" s="736"/>
      <c r="R147" s="736"/>
      <c r="S147" s="290"/>
    </row>
    <row r="148" spans="2:21" hidden="1">
      <c r="B148" s="709" t="s">
        <v>387</v>
      </c>
      <c r="C148" s="683" t="str">
        <f>IF(T148=1,"*","-")</f>
        <v>*</v>
      </c>
      <c r="D148" s="30" t="s">
        <v>386</v>
      </c>
      <c r="E148" s="743"/>
      <c r="F148" s="50" t="str">
        <f>ProbI2</f>
        <v>E</v>
      </c>
      <c r="G148" s="743"/>
      <c r="H148" s="1542" t="s">
        <v>1101</v>
      </c>
      <c r="I148" s="1543"/>
      <c r="J148" s="1543"/>
      <c r="K148" s="1543"/>
      <c r="L148" s="1543"/>
      <c r="M148" s="1543"/>
      <c r="N148" s="1543"/>
      <c r="O148" s="1543"/>
      <c r="P148" s="1543"/>
      <c r="Q148" s="1543"/>
      <c r="R148" s="1544"/>
      <c r="S148" s="290"/>
      <c r="T148" s="337">
        <v>1</v>
      </c>
    </row>
    <row r="149" spans="2:21" hidden="1">
      <c r="B149" s="55" t="s">
        <v>300</v>
      </c>
      <c r="C149" s="742"/>
      <c r="D149" s="744"/>
      <c r="E149" s="117"/>
      <c r="F149" s="117"/>
      <c r="G149" s="117"/>
      <c r="H149" s="117"/>
      <c r="I149" s="736"/>
      <c r="J149" s="736"/>
      <c r="K149" s="736"/>
      <c r="L149" s="736"/>
      <c r="M149" s="736"/>
      <c r="N149" s="736"/>
      <c r="O149" s="736"/>
      <c r="P149" s="736"/>
      <c r="Q149" s="736"/>
      <c r="R149" s="736"/>
      <c r="S149" s="290"/>
    </row>
    <row r="150" spans="2:21" hidden="1">
      <c r="B150" s="55"/>
      <c r="C150" s="742"/>
      <c r="D150" s="1537" t="s">
        <v>284</v>
      </c>
      <c r="E150" s="1538"/>
      <c r="F150" s="1538"/>
      <c r="G150" s="1539"/>
      <c r="H150" s="736"/>
      <c r="I150" s="1537" t="s">
        <v>283</v>
      </c>
      <c r="J150" s="1538"/>
      <c r="K150" s="1539"/>
      <c r="L150" s="736"/>
      <c r="M150" s="1537" t="s">
        <v>285</v>
      </c>
      <c r="N150" s="1538"/>
      <c r="O150" s="1539"/>
      <c r="P150" s="736"/>
      <c r="Q150" s="736"/>
      <c r="R150" s="736"/>
      <c r="S150" s="290"/>
    </row>
    <row r="151" spans="2:21" ht="12.75" hidden="1" customHeight="1">
      <c r="B151" s="55"/>
      <c r="C151" s="742"/>
      <c r="D151" s="751" t="s">
        <v>388</v>
      </c>
      <c r="E151" s="1537" t="s">
        <v>282</v>
      </c>
      <c r="F151" s="1538"/>
      <c r="G151" s="1539"/>
      <c r="H151" s="736"/>
      <c r="I151" s="1537" t="s">
        <v>289</v>
      </c>
      <c r="J151" s="1538"/>
      <c r="K151" s="1539"/>
      <c r="L151" s="736"/>
      <c r="M151" s="1540" t="s">
        <v>281</v>
      </c>
      <c r="N151" s="745"/>
      <c r="O151" s="746"/>
      <c r="P151" s="736"/>
      <c r="Q151" s="736"/>
      <c r="R151" s="736"/>
      <c r="S151" s="290"/>
    </row>
    <row r="152" spans="2:21" ht="12.75" hidden="1" customHeight="1">
      <c r="B152" s="747"/>
      <c r="C152" s="747"/>
      <c r="D152" s="752" t="s">
        <v>389</v>
      </c>
      <c r="E152" s="748">
        <v>2</v>
      </c>
      <c r="F152" s="749">
        <v>3</v>
      </c>
      <c r="G152" s="750">
        <v>4</v>
      </c>
      <c r="H152" s="736"/>
      <c r="I152" s="748">
        <v>2</v>
      </c>
      <c r="J152" s="749">
        <v>3</v>
      </c>
      <c r="K152" s="750">
        <v>4</v>
      </c>
      <c r="L152" s="736"/>
      <c r="M152" s="1541"/>
      <c r="N152" s="749" t="s">
        <v>286</v>
      </c>
      <c r="O152" s="750" t="s">
        <v>287</v>
      </c>
      <c r="P152" s="736"/>
      <c r="Q152" s="1548" t="s">
        <v>288</v>
      </c>
      <c r="R152" s="1548"/>
      <c r="S152" s="290"/>
    </row>
    <row r="153" spans="2:21" hidden="1">
      <c r="B153" s="747"/>
      <c r="C153" s="683" t="str">
        <f>IF(T153=1,"*","-")</f>
        <v>*</v>
      </c>
      <c r="D153" s="50"/>
      <c r="E153" s="50">
        <v>1</v>
      </c>
      <c r="F153" s="50"/>
      <c r="G153" s="50"/>
      <c r="H153" s="740"/>
      <c r="I153" s="50"/>
      <c r="J153" s="50">
        <f>COUNTIF(T157:T175,"=1")</f>
        <v>7</v>
      </c>
      <c r="K153" s="50">
        <f>COUNTIF(T180:T266,"=1")</f>
        <v>21</v>
      </c>
      <c r="L153" s="740"/>
      <c r="M153" s="50"/>
      <c r="N153" s="50">
        <f>IPlot</f>
        <v>3</v>
      </c>
      <c r="O153" s="50"/>
      <c r="P153" s="740"/>
      <c r="Q153" s="1565">
        <v>0</v>
      </c>
      <c r="R153" s="1566"/>
      <c r="S153" s="290"/>
      <c r="T153" s="337">
        <v>1</v>
      </c>
    </row>
    <row r="154" spans="2:21" hidden="1">
      <c r="B154" s="973" t="s">
        <v>1316</v>
      </c>
      <c r="C154" s="290"/>
      <c r="D154" s="290"/>
      <c r="E154" s="290"/>
      <c r="F154" s="290"/>
      <c r="G154" s="290"/>
      <c r="H154" s="290"/>
      <c r="I154" s="290"/>
      <c r="J154" s="290"/>
      <c r="K154" s="290"/>
      <c r="L154" s="290"/>
      <c r="M154" s="290"/>
      <c r="N154" s="290"/>
      <c r="O154" s="290"/>
      <c r="P154" s="290"/>
      <c r="Q154" s="290"/>
      <c r="R154" s="290"/>
      <c r="S154" s="290"/>
    </row>
    <row r="155" spans="2:21" hidden="1">
      <c r="B155" s="290"/>
      <c r="C155" s="290"/>
      <c r="D155" s="290"/>
      <c r="E155" s="1569" t="s">
        <v>305</v>
      </c>
      <c r="F155" s="1570"/>
      <c r="G155" s="1570"/>
      <c r="H155" s="1570"/>
      <c r="I155" s="1571"/>
      <c r="J155" s="745"/>
      <c r="K155" s="745"/>
      <c r="L155" s="745"/>
      <c r="M155" s="745"/>
      <c r="N155" s="42"/>
      <c r="O155" s="42"/>
      <c r="P155" s="42"/>
      <c r="Q155" s="42"/>
      <c r="R155" s="42"/>
      <c r="S155" s="290"/>
    </row>
    <row r="156" spans="2:21" hidden="1">
      <c r="B156" s="55"/>
      <c r="C156" s="290"/>
      <c r="D156" s="290"/>
      <c r="E156" s="675" t="s">
        <v>301</v>
      </c>
      <c r="F156" s="57" t="s">
        <v>302</v>
      </c>
      <c r="G156" s="57" t="s">
        <v>373</v>
      </c>
      <c r="H156" s="57" t="s">
        <v>303</v>
      </c>
      <c r="I156" s="676" t="s">
        <v>304</v>
      </c>
      <c r="J156" s="42"/>
      <c r="K156" s="42"/>
      <c r="L156" s="42"/>
      <c r="M156" s="42"/>
      <c r="N156" s="42"/>
      <c r="O156" s="42"/>
      <c r="P156" s="42"/>
      <c r="Q156" s="42"/>
      <c r="R156" s="42"/>
      <c r="S156" s="290"/>
    </row>
    <row r="157" spans="2:21" hidden="1">
      <c r="B157" s="290"/>
      <c r="C157" s="683" t="str">
        <f>IF(T157=1,"*","-")</f>
        <v>*</v>
      </c>
      <c r="D157" s="698"/>
      <c r="E157" s="49">
        <f>NumLanes</f>
        <v>4</v>
      </c>
      <c r="F157" s="50">
        <f>FdBms</f>
        <v>4</v>
      </c>
      <c r="G157" s="50">
        <f>G33</f>
        <v>1</v>
      </c>
      <c r="H157" s="50">
        <f>COUNTIF(E169:N171,"&gt;0")</f>
        <v>8</v>
      </c>
      <c r="I157" s="50">
        <f>COUNTIF(E173:N175,"&gt;0")</f>
        <v>4</v>
      </c>
      <c r="J157" s="698"/>
      <c r="K157" s="698"/>
      <c r="L157" s="698"/>
      <c r="M157" s="698"/>
      <c r="N157" s="698"/>
      <c r="O157" s="698"/>
      <c r="P157" s="698"/>
      <c r="Q157" s="698"/>
      <c r="R157" s="698"/>
      <c r="S157" s="290"/>
      <c r="T157" s="337">
        <v>1</v>
      </c>
    </row>
    <row r="158" spans="2:21" hidden="1">
      <c r="B158" s="290"/>
      <c r="C158" s="683"/>
      <c r="D158" s="290"/>
      <c r="E158" s="680" t="s">
        <v>326</v>
      </c>
      <c r="F158" s="290"/>
      <c r="G158" s="290"/>
      <c r="H158" s="290"/>
      <c r="I158" s="290"/>
      <c r="J158" s="290"/>
      <c r="K158" s="290"/>
      <c r="L158" s="290"/>
      <c r="M158" s="290"/>
      <c r="N158" s="290"/>
      <c r="O158" s="290"/>
      <c r="P158" s="290"/>
      <c r="Q158" s="290"/>
      <c r="R158" s="290"/>
      <c r="S158" s="290"/>
    </row>
    <row r="159" spans="2:21" s="579" customFormat="1" ht="3" hidden="1" customHeight="1">
      <c r="B159" s="754"/>
      <c r="C159" s="683"/>
      <c r="D159" s="754" t="s">
        <v>385</v>
      </c>
      <c r="E159" s="755">
        <v>1</v>
      </c>
      <c r="F159" s="755">
        <v>2</v>
      </c>
      <c r="G159" s="755">
        <v>3</v>
      </c>
      <c r="H159" s="755">
        <v>4</v>
      </c>
      <c r="I159" s="755">
        <v>5</v>
      </c>
      <c r="J159" s="755">
        <v>6</v>
      </c>
      <c r="K159" s="755">
        <v>7</v>
      </c>
      <c r="L159" s="755">
        <v>8</v>
      </c>
      <c r="M159" s="755">
        <v>9</v>
      </c>
      <c r="N159" s="755">
        <v>10</v>
      </c>
      <c r="O159" s="754"/>
      <c r="P159" s="754"/>
      <c r="Q159" s="754"/>
      <c r="R159" s="754"/>
      <c r="S159" s="754"/>
      <c r="U159" s="337"/>
    </row>
    <row r="160" spans="2:21" hidden="1">
      <c r="B160" s="290"/>
      <c r="C160" s="683" t="str">
        <f>IF(T160=1,"*","-")</f>
        <v>*</v>
      </c>
      <c r="D160" s="698"/>
      <c r="E160" s="49" t="str">
        <f>E36</f>
        <v>2</v>
      </c>
      <c r="F160" s="49" t="str">
        <f t="shared" ref="F160:N160" si="11">F36</f>
        <v>26</v>
      </c>
      <c r="G160" s="49" t="str">
        <f t="shared" si="11"/>
        <v>50</v>
      </c>
      <c r="H160" s="49" t="str">
        <f t="shared" si="11"/>
        <v>74</v>
      </c>
      <c r="I160" s="49" t="str">
        <f t="shared" si="11"/>
        <v/>
      </c>
      <c r="J160" s="49" t="str">
        <f t="shared" si="11"/>
        <v/>
      </c>
      <c r="K160" s="49" t="str">
        <f t="shared" si="11"/>
        <v/>
      </c>
      <c r="L160" s="49" t="str">
        <f t="shared" si="11"/>
        <v/>
      </c>
      <c r="M160" s="49" t="str">
        <f t="shared" si="11"/>
        <v/>
      </c>
      <c r="N160" s="49" t="str">
        <f t="shared" si="11"/>
        <v/>
      </c>
      <c r="O160" s="698"/>
      <c r="P160" s="698"/>
      <c r="Q160" s="698"/>
      <c r="R160" s="698"/>
      <c r="S160" s="290"/>
      <c r="T160" s="337">
        <v>1</v>
      </c>
    </row>
    <row r="161" spans="2:31" hidden="1">
      <c r="B161" s="290"/>
      <c r="C161" s="683"/>
      <c r="D161" s="290"/>
      <c r="E161" s="680" t="s">
        <v>308</v>
      </c>
      <c r="F161" s="290"/>
      <c r="G161" s="290"/>
      <c r="H161" s="290"/>
      <c r="I161" s="290"/>
      <c r="J161" s="290"/>
      <c r="K161" s="290"/>
      <c r="L161" s="290"/>
      <c r="M161" s="290"/>
      <c r="N161" s="290"/>
      <c r="O161" s="290"/>
      <c r="P161" s="290"/>
      <c r="Q161" s="290"/>
      <c r="R161" s="290"/>
      <c r="S161" s="290"/>
    </row>
    <row r="162" spans="2:31" hidden="1">
      <c r="B162" s="290"/>
      <c r="C162" s="683" t="str">
        <f>IF(T162=1,"*","-")</f>
        <v>*</v>
      </c>
      <c r="D162" s="698"/>
      <c r="E162" s="50" t="str">
        <f>E38</f>
        <v>26</v>
      </c>
      <c r="F162" s="50" t="str">
        <f t="shared" ref="F162:N162" si="12">F38</f>
        <v>50</v>
      </c>
      <c r="G162" s="50" t="str">
        <f t="shared" si="12"/>
        <v>74</v>
      </c>
      <c r="H162" s="50">
        <f t="shared" si="12"/>
        <v>98</v>
      </c>
      <c r="I162" s="50" t="str">
        <f t="shared" si="12"/>
        <v/>
      </c>
      <c r="J162" s="50" t="str">
        <f t="shared" si="12"/>
        <v/>
      </c>
      <c r="K162" s="50" t="str">
        <f t="shared" si="12"/>
        <v/>
      </c>
      <c r="L162" s="50" t="str">
        <f t="shared" si="12"/>
        <v/>
      </c>
      <c r="M162" s="50" t="str">
        <f t="shared" si="12"/>
        <v/>
      </c>
      <c r="N162" s="50" t="str">
        <f t="shared" si="12"/>
        <v/>
      </c>
      <c r="O162" s="698"/>
      <c r="P162" s="698"/>
      <c r="Q162" s="698"/>
      <c r="R162" s="698"/>
      <c r="S162" s="290"/>
      <c r="T162" s="337">
        <v>1</v>
      </c>
    </row>
    <row r="163" spans="2:31" hidden="1">
      <c r="B163" s="290"/>
      <c r="C163" s="683"/>
      <c r="D163" s="290"/>
      <c r="E163" s="680" t="s">
        <v>307</v>
      </c>
      <c r="F163" s="290"/>
      <c r="G163" s="290"/>
      <c r="H163" s="290"/>
      <c r="I163" s="290"/>
      <c r="J163" s="290"/>
      <c r="K163" s="290"/>
      <c r="L163" s="290"/>
      <c r="M163" s="290"/>
      <c r="N163" s="290"/>
      <c r="O163" s="290"/>
      <c r="P163" s="290"/>
      <c r="Q163" s="290"/>
      <c r="R163" s="290"/>
      <c r="S163" s="290"/>
    </row>
    <row r="164" spans="2:31" hidden="1">
      <c r="B164" s="290"/>
      <c r="C164" s="683" t="str">
        <f>IF(T164=1,"*","-")</f>
        <v>*</v>
      </c>
      <c r="D164" s="756"/>
      <c r="E164" s="30">
        <f>IF(MAX(Geometry!I156,Geometry!J156)=0,"",ROUND(MAX(Geometry!I156,Geometry!J156)/Incr,0))</f>
        <v>6</v>
      </c>
      <c r="F164" s="30">
        <f>IF(MAX(Geometry!I157,Geometry!J157)=0,"",ROUND(MAX(Geometry!I157,Geometry!J157)/Incr,0))</f>
        <v>35</v>
      </c>
      <c r="G164" s="30">
        <f>IF(MAX(Geometry!I158,Geometry!J158)=0,"",ROUND(MAX(Geometry!I158,Geometry!J158)/Incr,0))</f>
        <v>65</v>
      </c>
      <c r="H164" s="30">
        <f>IF(MAX(Geometry!I159,Geometry!J159)=0,"",ROUND(MAX(Geometry!I159,Geometry!J159)/Incr,0))</f>
        <v>94</v>
      </c>
      <c r="I164" s="30" t="str">
        <f>IF(MAX(Geometry!I160,Geometry!J160)=0,"",ROUND(MAX(Geometry!I160,Geometry!J160)/Incr,0))</f>
        <v/>
      </c>
      <c r="J164" s="30" t="str">
        <f>IF(MAX(Geometry!I161,Geometry!J161)=0,"",ROUND(MAX(Geometry!I161,Geometry!J161)/Incr,0))</f>
        <v/>
      </c>
      <c r="K164" s="30" t="str">
        <f>IF(MAX(Geometry!I162,Geometry!J162)=0,"",ROUND(MAX(Geometry!I162,Geometry!J162)/Incr,0))</f>
        <v/>
      </c>
      <c r="L164" s="30" t="str">
        <f>IF(MAX(Geometry!I163,Geometry!J163)=0,"",ROUND(MAX(Geometry!I163,Geometry!J163)/Incr,0))</f>
        <v/>
      </c>
      <c r="M164" s="30" t="str">
        <f>IF(MAX(Geometry!I164,Geometry!J164)=0,"",ROUND(MAX(Geometry!I164,Geometry!J164)/Incr,0))</f>
        <v/>
      </c>
      <c r="N164" s="30" t="str">
        <f>IF(MAX(Geometry!I165,Geometry!J165)=0,"",ROUND(MAX(Geometry!I165,Geometry!J165)/Incr,0))</f>
        <v/>
      </c>
      <c r="O164" s="757"/>
      <c r="P164" s="42"/>
      <c r="Q164" s="42"/>
      <c r="R164" s="42"/>
      <c r="S164" s="290"/>
      <c r="T164" s="337">
        <f>IF(IIBM1="",0,1)</f>
        <v>1</v>
      </c>
      <c r="V164" s="338"/>
      <c r="W164" s="338"/>
      <c r="X164" s="338"/>
      <c r="Y164" s="338"/>
      <c r="Z164" s="338"/>
      <c r="AA164" s="338"/>
      <c r="AB164" s="338"/>
      <c r="AC164" s="338"/>
      <c r="AD164" s="338"/>
      <c r="AE164" s="338"/>
    </row>
    <row r="165" spans="2:31" hidden="1">
      <c r="B165" s="290"/>
      <c r="C165" s="683" t="str">
        <f>IF(T165=1,"*","-")</f>
        <v>-</v>
      </c>
      <c r="D165" s="737"/>
      <c r="E165" s="30" t="str">
        <f>IF(MAX(Geometry!I166,Geometry!J166)=0,"",ROUND(MAX(Geometry!I166,Geometry!J166)/Incr,0))</f>
        <v/>
      </c>
      <c r="F165" s="30" t="str">
        <f>IF(MAX(Geometry!I167,Geometry!J167)=0,"",ROUND(MAX(Geometry!I167,Geometry!J167)/Incr,0))</f>
        <v/>
      </c>
      <c r="G165" s="30" t="str">
        <f>IF(MAX(Geometry!I168,Geometry!J168)=0,"",ROUND(MAX(Geometry!I168,Geometry!J168)/Incr,0))</f>
        <v/>
      </c>
      <c r="H165" s="30" t="str">
        <f>IF(MAX(Geometry!I169,Geometry!J169)=0,"",ROUND(MAX(Geometry!I169,Geometry!J169)/Incr,0))</f>
        <v/>
      </c>
      <c r="I165" s="30" t="str">
        <f>IF(MAX(Geometry!I170,Geometry!J170)=0,"",ROUND(MAX(Geometry!I170,Geometry!J170)/Incr,0))</f>
        <v/>
      </c>
      <c r="J165" s="30" t="str">
        <f>IF(MAX(Geometry!I171,Geometry!J171)=0,"",ROUND(MAX(Geometry!I171,Geometry!J171)/Incr,0))</f>
        <v/>
      </c>
      <c r="K165" s="30" t="str">
        <f>IF(MAX(Geometry!I172,Geometry!J172)=0,"",ROUND(MAX(Geometry!I172,Geometry!J172)/Incr,0))</f>
        <v/>
      </c>
      <c r="L165" s="30" t="str">
        <f>IF(MAX(Geometry!I173,Geometry!J173)=0,"",ROUND(MAX(Geometry!I173,Geometry!J173)/Incr,0))</f>
        <v/>
      </c>
      <c r="M165" s="30" t="str">
        <f>IF(MAX(Geometry!I174,Geometry!J174)=0,"",ROUND(MAX(Geometry!I174,Geometry!J174)/Incr,0))</f>
        <v/>
      </c>
      <c r="N165" s="30" t="str">
        <f>IF(MAX(Geometry!I175,Geometry!J175)=0,"",ROUND(MAX(Geometry!I175,Geometry!J175)/Incr,0))</f>
        <v/>
      </c>
      <c r="O165" s="758"/>
      <c r="P165" s="698"/>
      <c r="Q165" s="698"/>
      <c r="R165" s="698"/>
      <c r="S165" s="290"/>
      <c r="T165" s="337">
        <f>IF(IIBM11="",0,1)</f>
        <v>0</v>
      </c>
      <c r="V165" s="390"/>
      <c r="W165" s="340"/>
      <c r="X165" s="340"/>
      <c r="Y165" s="340"/>
      <c r="Z165" s="340"/>
      <c r="AA165" s="340"/>
      <c r="AB165" s="340"/>
      <c r="AC165" s="340"/>
      <c r="AD165" s="340"/>
      <c r="AE165" s="338"/>
    </row>
    <row r="166" spans="2:31" hidden="1">
      <c r="B166" s="290"/>
      <c r="C166" s="683"/>
      <c r="D166" s="290"/>
      <c r="E166" s="680" t="s">
        <v>306</v>
      </c>
      <c r="F166" s="290"/>
      <c r="G166" s="290"/>
      <c r="H166" s="290"/>
      <c r="I166" s="290"/>
      <c r="J166" s="290"/>
      <c r="K166" s="290"/>
      <c r="L166" s="290"/>
      <c r="M166" s="290"/>
      <c r="N166" s="290"/>
      <c r="O166" s="290"/>
      <c r="P166" s="290"/>
      <c r="Q166" s="290"/>
      <c r="R166" s="290"/>
      <c r="S166" s="290"/>
      <c r="V166" s="340"/>
      <c r="W166" s="340"/>
      <c r="X166" s="340"/>
      <c r="Y166" s="340"/>
      <c r="Z166" s="340"/>
      <c r="AA166" s="340"/>
      <c r="AB166" s="340"/>
      <c r="AC166" s="340"/>
      <c r="AD166" s="340"/>
      <c r="AE166" s="338"/>
    </row>
    <row r="167" spans="2:31" hidden="1">
      <c r="B167" s="290"/>
      <c r="C167" s="683" t="str">
        <f>IF(T167=1,"*","-")</f>
        <v>*</v>
      </c>
      <c r="D167" s="698"/>
      <c r="E167" s="50">
        <f>_ISP1</f>
        <v>50</v>
      </c>
      <c r="F167" s="50" t="str">
        <f>_ISP2</f>
        <v/>
      </c>
      <c r="G167" s="50" t="str">
        <f>_ISP3</f>
        <v/>
      </c>
      <c r="H167" s="50" t="str">
        <f>_ISP4</f>
        <v/>
      </c>
      <c r="I167" s="50" t="str">
        <f>_ISP5</f>
        <v/>
      </c>
      <c r="J167" s="50" t="str">
        <f>_ISP6</f>
        <v/>
      </c>
      <c r="K167" s="50" t="str">
        <f>_ISP7</f>
        <v/>
      </c>
      <c r="L167" s="50" t="str">
        <f>_ISP8</f>
        <v/>
      </c>
      <c r="M167" s="50" t="str">
        <f>_ISP9</f>
        <v/>
      </c>
      <c r="N167" s="50" t="str">
        <f>_ISP10</f>
        <v/>
      </c>
      <c r="O167" s="698"/>
      <c r="P167" s="698"/>
      <c r="Q167" s="698"/>
      <c r="R167" s="698"/>
      <c r="S167" s="290"/>
      <c r="T167" s="337">
        <v>1</v>
      </c>
      <c r="V167" s="340"/>
      <c r="W167" s="340"/>
      <c r="X167" s="340"/>
      <c r="Y167" s="340"/>
      <c r="Z167" s="340"/>
      <c r="AA167" s="340"/>
      <c r="AB167" s="340"/>
      <c r="AC167" s="340"/>
      <c r="AD167" s="340"/>
      <c r="AE167" s="338"/>
    </row>
    <row r="168" spans="2:31" hidden="1">
      <c r="B168" s="290"/>
      <c r="C168" s="683"/>
      <c r="D168" s="290"/>
      <c r="E168" s="680" t="s">
        <v>327</v>
      </c>
      <c r="F168" s="290"/>
      <c r="G168" s="290"/>
      <c r="H168" s="290"/>
      <c r="I168" s="290"/>
      <c r="J168" s="290"/>
      <c r="K168" s="290"/>
      <c r="L168" s="290"/>
      <c r="M168" s="290"/>
      <c r="N168" s="290"/>
      <c r="O168" s="290"/>
      <c r="P168" s="290"/>
      <c r="Q168" s="290"/>
      <c r="R168" s="290"/>
      <c r="S168" s="290"/>
      <c r="V168" s="338"/>
      <c r="W168" s="338"/>
      <c r="X168" s="338"/>
      <c r="Y168" s="338"/>
      <c r="Z168" s="338"/>
      <c r="AA168" s="338"/>
      <c r="AB168" s="338"/>
      <c r="AC168" s="338"/>
      <c r="AD168" s="338"/>
      <c r="AE168" s="338"/>
    </row>
    <row r="169" spans="2:31" hidden="1">
      <c r="B169" s="290"/>
      <c r="C169" s="683" t="str">
        <f t="shared" ref="C169:C173" si="13">IF(T169=1,"*","")</f>
        <v>*</v>
      </c>
      <c r="D169" s="756"/>
      <c r="E169" s="574">
        <v>6</v>
      </c>
      <c r="F169" s="574">
        <v>22</v>
      </c>
      <c r="G169" s="574">
        <v>24</v>
      </c>
      <c r="H169" s="574">
        <v>41</v>
      </c>
      <c r="I169" s="574">
        <v>59</v>
      </c>
      <c r="J169" s="574">
        <v>76</v>
      </c>
      <c r="K169" s="574">
        <v>78</v>
      </c>
      <c r="L169" s="574">
        <v>94</v>
      </c>
      <c r="M169" s="574"/>
      <c r="N169" s="574"/>
      <c r="O169" s="757"/>
      <c r="P169" s="42"/>
      <c r="Q169" s="42"/>
      <c r="R169" s="42"/>
      <c r="S169" s="290"/>
      <c r="T169" s="337">
        <f>IF(IIMC1="",0,1)</f>
        <v>1</v>
      </c>
      <c r="V169" s="340"/>
      <c r="W169" s="340"/>
      <c r="X169" s="340"/>
      <c r="Y169" s="340"/>
      <c r="Z169" s="340"/>
      <c r="AA169" s="340"/>
      <c r="AB169" s="340"/>
      <c r="AC169" s="340"/>
      <c r="AD169" s="340"/>
      <c r="AE169" s="338"/>
    </row>
    <row r="170" spans="2:31" hidden="1">
      <c r="B170" s="290"/>
      <c r="C170" s="683" t="str">
        <f>IF(T170=1,"*","-")</f>
        <v>-</v>
      </c>
      <c r="D170" s="756"/>
      <c r="E170" s="574"/>
      <c r="F170" s="574"/>
      <c r="G170" s="574"/>
      <c r="H170" s="574"/>
      <c r="I170" s="574"/>
      <c r="J170" s="574"/>
      <c r="K170" s="574"/>
      <c r="L170" s="574"/>
      <c r="M170" s="574"/>
      <c r="N170" s="574"/>
      <c r="O170" s="757"/>
      <c r="P170" s="42"/>
      <c r="Q170" s="42"/>
      <c r="R170" s="42"/>
      <c r="S170" s="290"/>
      <c r="T170" s="337">
        <f>IF(IIMC11="",0,1)</f>
        <v>0</v>
      </c>
      <c r="V170" s="340"/>
    </row>
    <row r="171" spans="2:31" hidden="1">
      <c r="B171" s="290"/>
      <c r="C171" s="683" t="str">
        <f>IF(T171=1,"*","-")</f>
        <v>-</v>
      </c>
      <c r="D171" s="737"/>
      <c r="E171" s="574"/>
      <c r="F171" s="574"/>
      <c r="G171" s="574"/>
      <c r="H171" s="574"/>
      <c r="I171" s="574"/>
      <c r="J171" s="574"/>
      <c r="K171" s="574"/>
      <c r="L171" s="574"/>
      <c r="M171" s="574"/>
      <c r="N171" s="574"/>
      <c r="O171" s="758"/>
      <c r="P171" s="698"/>
      <c r="Q171" s="698"/>
      <c r="R171" s="698"/>
      <c r="S171" s="290"/>
      <c r="T171" s="337">
        <f>IF(IIMC21="",0,1)</f>
        <v>0</v>
      </c>
      <c r="V171" s="340"/>
    </row>
    <row r="172" spans="2:31" hidden="1">
      <c r="B172" s="290"/>
      <c r="C172" s="683"/>
      <c r="D172" s="290"/>
      <c r="E172" s="680" t="s">
        <v>329</v>
      </c>
      <c r="F172" s="290"/>
      <c r="G172" s="290"/>
      <c r="H172" s="290"/>
      <c r="I172" s="290"/>
      <c r="J172" s="290"/>
      <c r="K172" s="290"/>
      <c r="L172" s="290"/>
      <c r="M172" s="290"/>
      <c r="N172" s="290"/>
      <c r="O172" s="290"/>
      <c r="P172" s="290"/>
      <c r="Q172" s="290"/>
      <c r="R172" s="290"/>
      <c r="S172" s="290"/>
    </row>
    <row r="173" spans="2:31" hidden="1">
      <c r="B173" s="290"/>
      <c r="C173" s="683" t="str">
        <f t="shared" si="13"/>
        <v>*</v>
      </c>
      <c r="D173" s="756"/>
      <c r="E173" s="574">
        <v>20</v>
      </c>
      <c r="F173" s="574">
        <v>26</v>
      </c>
      <c r="G173" s="574">
        <v>74</v>
      </c>
      <c r="H173" s="574">
        <v>80</v>
      </c>
      <c r="I173" s="574"/>
      <c r="J173" s="574"/>
      <c r="K173" s="574"/>
      <c r="L173" s="574"/>
      <c r="M173" s="574"/>
      <c r="N173" s="574"/>
      <c r="O173" s="757"/>
      <c r="P173" s="42"/>
      <c r="Q173" s="42"/>
      <c r="R173" s="42"/>
      <c r="S173" s="290"/>
      <c r="T173" s="337">
        <f>IF(IIVC1="",0,1)</f>
        <v>1</v>
      </c>
      <c r="V173" s="340"/>
    </row>
    <row r="174" spans="2:31" hidden="1">
      <c r="B174" s="290"/>
      <c r="C174" s="683" t="str">
        <f>IF(T174=1,"*","-")</f>
        <v>-</v>
      </c>
      <c r="D174" s="756"/>
      <c r="E174" s="574"/>
      <c r="F174" s="574"/>
      <c r="G174" s="574"/>
      <c r="H174" s="574"/>
      <c r="I174" s="574"/>
      <c r="J174" s="574"/>
      <c r="K174" s="574"/>
      <c r="L174" s="574"/>
      <c r="M174" s="574"/>
      <c r="N174" s="574"/>
      <c r="O174" s="757"/>
      <c r="P174" s="42"/>
      <c r="Q174" s="42"/>
      <c r="R174" s="42"/>
      <c r="S174" s="290"/>
      <c r="T174" s="337">
        <f>IF(IIVC11="",0,1)</f>
        <v>0</v>
      </c>
      <c r="V174" s="340"/>
    </row>
    <row r="175" spans="2:31" hidden="1">
      <c r="B175" s="290"/>
      <c r="C175" s="683" t="str">
        <f>IF(T175=1,"*","-")</f>
        <v>-</v>
      </c>
      <c r="D175" s="737"/>
      <c r="E175" s="574"/>
      <c r="F175" s="574"/>
      <c r="G175" s="574"/>
      <c r="H175" s="574"/>
      <c r="I175" s="574"/>
      <c r="J175" s="574"/>
      <c r="K175" s="574"/>
      <c r="L175" s="574"/>
      <c r="M175" s="574"/>
      <c r="N175" s="574"/>
      <c r="O175" s="758"/>
      <c r="P175" s="698"/>
      <c r="Q175" s="698"/>
      <c r="R175" s="698"/>
      <c r="S175" s="290"/>
      <c r="T175" s="337">
        <f>IF(IIVC21="",0,1)</f>
        <v>0</v>
      </c>
      <c r="V175" s="340"/>
    </row>
    <row r="176" spans="2:31" hidden="1">
      <c r="B176" s="55" t="s">
        <v>330</v>
      </c>
      <c r="C176" s="290"/>
      <c r="D176" s="290"/>
      <c r="E176" s="290"/>
      <c r="F176" s="290"/>
      <c r="G176" s="290"/>
      <c r="H176" s="290"/>
      <c r="I176" s="290"/>
      <c r="J176" s="290"/>
      <c r="K176" s="290"/>
      <c r="L176" s="290"/>
      <c r="M176" s="290"/>
      <c r="N176" s="290"/>
      <c r="O176" s="290"/>
      <c r="P176" s="290"/>
      <c r="Q176" s="290"/>
      <c r="R176" s="290"/>
      <c r="S176" s="290"/>
    </row>
    <row r="177" spans="1:20" hidden="1">
      <c r="B177" s="55"/>
      <c r="C177" s="290"/>
      <c r="D177" s="60"/>
      <c r="E177" s="60"/>
      <c r="F177" s="60"/>
      <c r="G177" s="60"/>
      <c r="H177" s="1572" t="s">
        <v>891</v>
      </c>
      <c r="I177" s="1573"/>
      <c r="J177" s="1573"/>
      <c r="K177" s="1573"/>
      <c r="L177" s="1573"/>
      <c r="M177" s="1573"/>
      <c r="N177" s="1573"/>
      <c r="O177" s="1573"/>
      <c r="P177" s="1573"/>
      <c r="Q177" s="1574"/>
      <c r="R177" s="290"/>
      <c r="S177" s="290"/>
    </row>
    <row r="178" spans="1:20" hidden="1">
      <c r="B178" s="55"/>
      <c r="C178" s="290"/>
      <c r="D178" s="59" t="s">
        <v>331</v>
      </c>
      <c r="E178" s="59" t="s">
        <v>331</v>
      </c>
      <c r="F178" s="60"/>
      <c r="G178" s="59"/>
      <c r="H178" s="1546" t="s">
        <v>332</v>
      </c>
      <c r="I178" s="1546"/>
      <c r="J178" s="1546" t="s">
        <v>333</v>
      </c>
      <c r="K178" s="1546"/>
      <c r="L178" s="1546" t="s">
        <v>335</v>
      </c>
      <c r="M178" s="1546"/>
      <c r="N178" s="1546" t="s">
        <v>337</v>
      </c>
      <c r="O178" s="1546"/>
      <c r="P178" s="1546" t="s">
        <v>335</v>
      </c>
      <c r="Q178" s="1546"/>
      <c r="R178" s="290"/>
      <c r="S178" s="290"/>
    </row>
    <row r="179" spans="1:20" hidden="1">
      <c r="B179" s="55"/>
      <c r="C179" s="290"/>
      <c r="D179" s="59" t="s">
        <v>237</v>
      </c>
      <c r="E179" s="59" t="s">
        <v>238</v>
      </c>
      <c r="F179" s="60"/>
      <c r="G179" s="759"/>
      <c r="H179" s="1546" t="s">
        <v>270</v>
      </c>
      <c r="I179" s="1546"/>
      <c r="J179" s="1546" t="s">
        <v>334</v>
      </c>
      <c r="K179" s="1546"/>
      <c r="L179" s="1546" t="s">
        <v>336</v>
      </c>
      <c r="M179" s="1546"/>
      <c r="N179" s="1546" t="s">
        <v>334</v>
      </c>
      <c r="O179" s="1546"/>
      <c r="P179" s="1546" t="s">
        <v>893</v>
      </c>
      <c r="Q179" s="1546"/>
      <c r="R179" s="290"/>
      <c r="S179" s="290"/>
    </row>
    <row r="180" spans="1:20" hidden="1">
      <c r="B180" s="55" t="s">
        <v>332</v>
      </c>
      <c r="C180" s="683" t="str">
        <f>IF(T180=1,"*","-")</f>
        <v>*</v>
      </c>
      <c r="D180" s="50" t="str">
        <f>D56</f>
        <v>2</v>
      </c>
      <c r="E180" s="51" t="str">
        <f>E56</f>
        <v>98</v>
      </c>
      <c r="F180" s="757"/>
      <c r="G180" s="56"/>
      <c r="H180" s="1545">
        <f>H56</f>
        <v>25989674.994286671</v>
      </c>
      <c r="I180" s="1535"/>
      <c r="J180" s="1536"/>
      <c r="K180" s="1536"/>
      <c r="L180" s="1535">
        <f>L56</f>
        <v>-1.6875</v>
      </c>
      <c r="M180" s="1535"/>
      <c r="N180" s="1536"/>
      <c r="O180" s="1536"/>
      <c r="P180" s="1575"/>
      <c r="Q180" s="1575"/>
      <c r="R180" s="42"/>
      <c r="S180" s="290"/>
      <c r="T180" s="337">
        <f>IF(SUM(G180:O180)&lt;&gt;0,1,0)</f>
        <v>1</v>
      </c>
    </row>
    <row r="181" spans="1:20" ht="13.5" hidden="1">
      <c r="B181" s="760" t="s">
        <v>539</v>
      </c>
      <c r="C181" s="683" t="str">
        <f>IF(T181=1,"*","-")</f>
        <v>*</v>
      </c>
      <c r="D181" s="50" t="str">
        <f>D57</f>
        <v>2</v>
      </c>
      <c r="E181" s="50" t="str">
        <f>E57</f>
        <v>98</v>
      </c>
      <c r="F181" s="757"/>
      <c r="G181" s="56"/>
      <c r="H181" s="1530"/>
      <c r="I181" s="1531"/>
      <c r="J181" s="1531"/>
      <c r="K181" s="1531"/>
      <c r="L181" s="1535">
        <f t="shared" ref="L181:L223" si="14">L57</f>
        <v>-0.10000000000000002</v>
      </c>
      <c r="M181" s="1535"/>
      <c r="N181" s="1536"/>
      <c r="O181" s="1536"/>
      <c r="P181" s="1575"/>
      <c r="Q181" s="1575"/>
      <c r="R181" s="42"/>
      <c r="S181" s="290"/>
      <c r="T181" s="337">
        <f>IF(SUM(G181:O181)&lt;&gt;0,1,0)</f>
        <v>1</v>
      </c>
    </row>
    <row r="182" spans="1:20" hidden="1">
      <c r="B182" s="55" t="s">
        <v>375</v>
      </c>
      <c r="C182" s="683" t="str">
        <f t="shared" ref="C182:C203" si="15">IF(T182=1,"*","-")</f>
        <v>-</v>
      </c>
      <c r="D182" s="50" t="str">
        <f t="shared" ref="D182:E200" si="16">D58</f>
        <v>2</v>
      </c>
      <c r="E182" s="51" t="str">
        <f t="shared" si="16"/>
        <v>2</v>
      </c>
      <c r="F182" s="757"/>
      <c r="G182" s="56"/>
      <c r="H182" s="1530"/>
      <c r="I182" s="1531"/>
      <c r="J182" s="1531"/>
      <c r="K182" s="1531"/>
      <c r="L182" s="1535">
        <f t="shared" si="14"/>
        <v>0</v>
      </c>
      <c r="M182" s="1535"/>
      <c r="N182" s="1536"/>
      <c r="O182" s="1536"/>
      <c r="P182" s="1575"/>
      <c r="Q182" s="1575"/>
      <c r="R182" s="42"/>
      <c r="S182" s="290"/>
      <c r="T182" s="337">
        <f t="shared" ref="T182:T266" si="17">IF(SUM(G182:O182)&lt;&gt;0,1,0)</f>
        <v>0</v>
      </c>
    </row>
    <row r="183" spans="1:20" hidden="1">
      <c r="B183" s="55" t="s">
        <v>376</v>
      </c>
      <c r="C183" s="683" t="str">
        <f t="shared" si="15"/>
        <v>-</v>
      </c>
      <c r="D183" s="50" t="str">
        <f t="shared" si="16"/>
        <v>98</v>
      </c>
      <c r="E183" s="51" t="str">
        <f t="shared" si="16"/>
        <v>98</v>
      </c>
      <c r="F183" s="757"/>
      <c r="G183" s="56"/>
      <c r="H183" s="1530"/>
      <c r="I183" s="1531"/>
      <c r="J183" s="1531"/>
      <c r="K183" s="1531"/>
      <c r="L183" s="1535">
        <f t="shared" si="14"/>
        <v>0</v>
      </c>
      <c r="M183" s="1535"/>
      <c r="N183" s="1536"/>
      <c r="O183" s="1536"/>
      <c r="P183" s="1575"/>
      <c r="Q183" s="1575"/>
      <c r="R183" s="42"/>
      <c r="S183" s="290"/>
      <c r="T183" s="337">
        <f t="shared" si="17"/>
        <v>0</v>
      </c>
    </row>
    <row r="184" spans="1:20" hidden="1">
      <c r="A184" s="337">
        <v>1</v>
      </c>
      <c r="B184" s="761" t="s">
        <v>894</v>
      </c>
      <c r="C184" s="683" t="str">
        <f t="shared" si="15"/>
        <v>*</v>
      </c>
      <c r="D184" s="50" t="str">
        <f t="shared" si="16"/>
        <v>6</v>
      </c>
      <c r="E184" s="51" t="str">
        <f t="shared" si="16"/>
        <v>6</v>
      </c>
      <c r="F184" s="757"/>
      <c r="G184" s="56"/>
      <c r="H184" s="1530"/>
      <c r="I184" s="1531"/>
      <c r="J184" s="1531"/>
      <c r="K184" s="1531"/>
      <c r="L184" s="1529">
        <f t="shared" si="14"/>
        <v>-110.82062499999999</v>
      </c>
      <c r="M184" s="1529"/>
      <c r="N184" s="1531"/>
      <c r="O184" s="1531"/>
      <c r="P184" s="1575"/>
      <c r="Q184" s="1575"/>
      <c r="R184" s="42"/>
      <c r="S184" s="290"/>
      <c r="T184" s="337">
        <f t="shared" si="17"/>
        <v>1</v>
      </c>
    </row>
    <row r="185" spans="1:20" hidden="1">
      <c r="A185" s="337">
        <v>2</v>
      </c>
      <c r="B185" s="761" t="s">
        <v>895</v>
      </c>
      <c r="C185" s="683" t="str">
        <f t="shared" si="15"/>
        <v>*</v>
      </c>
      <c r="D185" s="50" t="str">
        <f t="shared" si="16"/>
        <v>35</v>
      </c>
      <c r="E185" s="51" t="str">
        <f t="shared" si="16"/>
        <v>35</v>
      </c>
      <c r="F185" s="757"/>
      <c r="G185" s="56"/>
      <c r="H185" s="1530"/>
      <c r="I185" s="1531"/>
      <c r="J185" s="1531"/>
      <c r="K185" s="1531"/>
      <c r="L185" s="1529">
        <f t="shared" si="14"/>
        <v>-146.9425</v>
      </c>
      <c r="M185" s="1529"/>
      <c r="N185" s="1531"/>
      <c r="O185" s="1531"/>
      <c r="P185" s="1575"/>
      <c r="Q185" s="1575"/>
      <c r="R185" s="42"/>
      <c r="S185" s="290"/>
      <c r="T185" s="337">
        <f t="shared" si="17"/>
        <v>1</v>
      </c>
    </row>
    <row r="186" spans="1:20" hidden="1">
      <c r="A186" s="337">
        <v>3</v>
      </c>
      <c r="B186" s="761" t="s">
        <v>896</v>
      </c>
      <c r="C186" s="683" t="str">
        <f t="shared" si="15"/>
        <v>*</v>
      </c>
      <c r="D186" s="50" t="str">
        <f t="shared" si="16"/>
        <v>65</v>
      </c>
      <c r="E186" s="51" t="str">
        <f t="shared" si="16"/>
        <v>65</v>
      </c>
      <c r="F186" s="757"/>
      <c r="G186" s="56"/>
      <c r="H186" s="1530"/>
      <c r="I186" s="1531"/>
      <c r="J186" s="1531"/>
      <c r="K186" s="1531"/>
      <c r="L186" s="1529">
        <f t="shared" si="14"/>
        <v>-146.9425</v>
      </c>
      <c r="M186" s="1529"/>
      <c r="N186" s="1531"/>
      <c r="O186" s="1531"/>
      <c r="P186" s="1575"/>
      <c r="Q186" s="1575"/>
      <c r="R186" s="42"/>
      <c r="S186" s="290"/>
      <c r="T186" s="337">
        <f t="shared" si="17"/>
        <v>1</v>
      </c>
    </row>
    <row r="187" spans="1:20" hidden="1">
      <c r="A187" s="337">
        <v>4</v>
      </c>
      <c r="B187" s="761" t="s">
        <v>897</v>
      </c>
      <c r="C187" s="683" t="str">
        <f t="shared" si="15"/>
        <v>*</v>
      </c>
      <c r="D187" s="50" t="str">
        <f t="shared" si="16"/>
        <v>94</v>
      </c>
      <c r="E187" s="51" t="str">
        <f t="shared" si="16"/>
        <v>94</v>
      </c>
      <c r="F187" s="757"/>
      <c r="G187" s="56"/>
      <c r="H187" s="1530"/>
      <c r="I187" s="1531"/>
      <c r="J187" s="1531"/>
      <c r="K187" s="1531"/>
      <c r="L187" s="1529">
        <f t="shared" si="14"/>
        <v>-122.77062500000001</v>
      </c>
      <c r="M187" s="1529"/>
      <c r="N187" s="1531"/>
      <c r="O187" s="1531"/>
      <c r="P187" s="1575"/>
      <c r="Q187" s="1575"/>
      <c r="R187" s="42"/>
      <c r="S187" s="290"/>
      <c r="T187" s="337">
        <f t="shared" si="17"/>
        <v>1</v>
      </c>
    </row>
    <row r="188" spans="1:20" hidden="1">
      <c r="A188" s="337">
        <v>5</v>
      </c>
      <c r="B188" s="761" t="s">
        <v>898</v>
      </c>
      <c r="C188" s="683" t="str">
        <f t="shared" si="15"/>
        <v>-</v>
      </c>
      <c r="D188" s="50" t="str">
        <f t="shared" si="16"/>
        <v>0</v>
      </c>
      <c r="E188" s="51" t="str">
        <f t="shared" si="16"/>
        <v>0</v>
      </c>
      <c r="F188" s="757"/>
      <c r="G188" s="56"/>
      <c r="H188" s="1530"/>
      <c r="I188" s="1531"/>
      <c r="J188" s="1531"/>
      <c r="K188" s="1531"/>
      <c r="L188" s="1529" t="str">
        <f t="shared" si="14"/>
        <v/>
      </c>
      <c r="M188" s="1529"/>
      <c r="N188" s="1531"/>
      <c r="O188" s="1531"/>
      <c r="P188" s="1575"/>
      <c r="Q188" s="1575"/>
      <c r="R188" s="42"/>
      <c r="S188" s="290"/>
      <c r="T188" s="337">
        <f t="shared" si="17"/>
        <v>0</v>
      </c>
    </row>
    <row r="189" spans="1:20" hidden="1">
      <c r="A189" s="337">
        <v>6</v>
      </c>
      <c r="B189" s="761" t="s">
        <v>899</v>
      </c>
      <c r="C189" s="683" t="str">
        <f t="shared" si="15"/>
        <v>-</v>
      </c>
      <c r="D189" s="50" t="str">
        <f t="shared" si="16"/>
        <v>0</v>
      </c>
      <c r="E189" s="51" t="str">
        <f t="shared" si="16"/>
        <v>0</v>
      </c>
      <c r="F189" s="757"/>
      <c r="G189" s="56"/>
      <c r="H189" s="1530"/>
      <c r="I189" s="1531"/>
      <c r="J189" s="1531"/>
      <c r="K189" s="1531"/>
      <c r="L189" s="1529" t="str">
        <f t="shared" si="14"/>
        <v/>
      </c>
      <c r="M189" s="1529"/>
      <c r="N189" s="1531"/>
      <c r="O189" s="1531"/>
      <c r="P189" s="1575"/>
      <c r="Q189" s="1575"/>
      <c r="R189" s="42"/>
      <c r="S189" s="290"/>
      <c r="T189" s="337">
        <f t="shared" si="17"/>
        <v>0</v>
      </c>
    </row>
    <row r="190" spans="1:20" hidden="1">
      <c r="A190" s="337">
        <v>7</v>
      </c>
      <c r="B190" s="761" t="s">
        <v>900</v>
      </c>
      <c r="C190" s="683" t="str">
        <f t="shared" si="15"/>
        <v>-</v>
      </c>
      <c r="D190" s="50" t="str">
        <f t="shared" si="16"/>
        <v>0</v>
      </c>
      <c r="E190" s="51" t="str">
        <f t="shared" si="16"/>
        <v>0</v>
      </c>
      <c r="F190" s="757"/>
      <c r="G190" s="56"/>
      <c r="H190" s="1530"/>
      <c r="I190" s="1531"/>
      <c r="J190" s="1531"/>
      <c r="K190" s="1531"/>
      <c r="L190" s="1529" t="str">
        <f t="shared" si="14"/>
        <v/>
      </c>
      <c r="M190" s="1529"/>
      <c r="N190" s="1531"/>
      <c r="O190" s="1531"/>
      <c r="P190" s="1575"/>
      <c r="Q190" s="1575"/>
      <c r="R190" s="42"/>
      <c r="S190" s="290"/>
      <c r="T190" s="337">
        <f t="shared" si="17"/>
        <v>0</v>
      </c>
    </row>
    <row r="191" spans="1:20" hidden="1">
      <c r="A191" s="337">
        <v>8</v>
      </c>
      <c r="B191" s="761" t="s">
        <v>901</v>
      </c>
      <c r="C191" s="683" t="str">
        <f t="shared" si="15"/>
        <v>-</v>
      </c>
      <c r="D191" s="50" t="str">
        <f t="shared" si="16"/>
        <v>0</v>
      </c>
      <c r="E191" s="51" t="str">
        <f t="shared" si="16"/>
        <v>0</v>
      </c>
      <c r="F191" s="757"/>
      <c r="G191" s="56"/>
      <c r="H191" s="1530"/>
      <c r="I191" s="1531"/>
      <c r="J191" s="1531"/>
      <c r="K191" s="1531"/>
      <c r="L191" s="1529" t="str">
        <f t="shared" si="14"/>
        <v/>
      </c>
      <c r="M191" s="1529"/>
      <c r="N191" s="1531"/>
      <c r="O191" s="1531"/>
      <c r="P191" s="1575"/>
      <c r="Q191" s="1575"/>
      <c r="R191" s="42"/>
      <c r="S191" s="290"/>
      <c r="T191" s="337">
        <f t="shared" si="17"/>
        <v>0</v>
      </c>
    </row>
    <row r="192" spans="1:20" hidden="1">
      <c r="A192" s="337">
        <v>9</v>
      </c>
      <c r="B192" s="761" t="s">
        <v>902</v>
      </c>
      <c r="C192" s="683" t="str">
        <f t="shared" si="15"/>
        <v>-</v>
      </c>
      <c r="D192" s="50" t="str">
        <f t="shared" si="16"/>
        <v>0</v>
      </c>
      <c r="E192" s="51" t="str">
        <f t="shared" si="16"/>
        <v>0</v>
      </c>
      <c r="F192" s="757"/>
      <c r="G192" s="56"/>
      <c r="H192" s="1530"/>
      <c r="I192" s="1531"/>
      <c r="J192" s="1531"/>
      <c r="K192" s="1531"/>
      <c r="L192" s="1529" t="str">
        <f t="shared" si="14"/>
        <v/>
      </c>
      <c r="M192" s="1529"/>
      <c r="N192" s="1531"/>
      <c r="O192" s="1531"/>
      <c r="P192" s="1575"/>
      <c r="Q192" s="1575"/>
      <c r="R192" s="42"/>
      <c r="S192" s="290"/>
      <c r="T192" s="337">
        <f t="shared" si="17"/>
        <v>0</v>
      </c>
    </row>
    <row r="193" spans="1:20" hidden="1">
      <c r="A193" s="337">
        <v>10</v>
      </c>
      <c r="B193" s="761" t="s">
        <v>903</v>
      </c>
      <c r="C193" s="683" t="str">
        <f t="shared" si="15"/>
        <v>-</v>
      </c>
      <c r="D193" s="50" t="str">
        <f t="shared" si="16"/>
        <v>0</v>
      </c>
      <c r="E193" s="51" t="str">
        <f t="shared" si="16"/>
        <v>0</v>
      </c>
      <c r="F193" s="757"/>
      <c r="G193" s="56"/>
      <c r="H193" s="1530"/>
      <c r="I193" s="1531"/>
      <c r="J193" s="1531"/>
      <c r="K193" s="1531"/>
      <c r="L193" s="1529" t="str">
        <f t="shared" si="14"/>
        <v/>
      </c>
      <c r="M193" s="1529"/>
      <c r="N193" s="1531"/>
      <c r="O193" s="1531"/>
      <c r="P193" s="1575"/>
      <c r="Q193" s="1575"/>
      <c r="R193" s="42"/>
      <c r="S193" s="290"/>
      <c r="T193" s="337">
        <f t="shared" si="17"/>
        <v>0</v>
      </c>
    </row>
    <row r="194" spans="1:20" hidden="1">
      <c r="A194" s="337">
        <v>11</v>
      </c>
      <c r="B194" s="761" t="s">
        <v>904</v>
      </c>
      <c r="C194" s="683" t="str">
        <f t="shared" si="15"/>
        <v>-</v>
      </c>
      <c r="D194" s="50" t="str">
        <f t="shared" si="16"/>
        <v>0</v>
      </c>
      <c r="E194" s="51" t="str">
        <f t="shared" si="16"/>
        <v>0</v>
      </c>
      <c r="F194" s="757"/>
      <c r="G194" s="56"/>
      <c r="H194" s="1530"/>
      <c r="I194" s="1531"/>
      <c r="J194" s="1531"/>
      <c r="K194" s="1531"/>
      <c r="L194" s="1529" t="str">
        <f t="shared" si="14"/>
        <v/>
      </c>
      <c r="M194" s="1529"/>
      <c r="N194" s="1531"/>
      <c r="O194" s="1531"/>
      <c r="P194" s="1575"/>
      <c r="Q194" s="1575"/>
      <c r="R194" s="42"/>
      <c r="S194" s="290"/>
      <c r="T194" s="337">
        <f t="shared" si="17"/>
        <v>0</v>
      </c>
    </row>
    <row r="195" spans="1:20" hidden="1">
      <c r="A195" s="337">
        <v>12</v>
      </c>
      <c r="B195" s="761" t="s">
        <v>905</v>
      </c>
      <c r="C195" s="683" t="str">
        <f t="shared" si="15"/>
        <v>-</v>
      </c>
      <c r="D195" s="50" t="str">
        <f t="shared" si="16"/>
        <v>0</v>
      </c>
      <c r="E195" s="51" t="str">
        <f t="shared" si="16"/>
        <v>0</v>
      </c>
      <c r="F195" s="757"/>
      <c r="G195" s="56"/>
      <c r="H195" s="1530"/>
      <c r="I195" s="1531"/>
      <c r="J195" s="1531"/>
      <c r="K195" s="1531"/>
      <c r="L195" s="1529" t="str">
        <f t="shared" si="14"/>
        <v/>
      </c>
      <c r="M195" s="1529"/>
      <c r="N195" s="1531"/>
      <c r="O195" s="1531"/>
      <c r="P195" s="1575"/>
      <c r="Q195" s="1575"/>
      <c r="R195" s="42"/>
      <c r="S195" s="290"/>
      <c r="T195" s="337">
        <f t="shared" si="17"/>
        <v>0</v>
      </c>
    </row>
    <row r="196" spans="1:20" hidden="1">
      <c r="A196" s="337">
        <v>13</v>
      </c>
      <c r="B196" s="761" t="s">
        <v>906</v>
      </c>
      <c r="C196" s="683" t="str">
        <f t="shared" si="15"/>
        <v>-</v>
      </c>
      <c r="D196" s="50" t="str">
        <f t="shared" si="16"/>
        <v>0</v>
      </c>
      <c r="E196" s="51" t="str">
        <f t="shared" si="16"/>
        <v>0</v>
      </c>
      <c r="F196" s="757"/>
      <c r="G196" s="56"/>
      <c r="H196" s="1530"/>
      <c r="I196" s="1531"/>
      <c r="J196" s="1531"/>
      <c r="K196" s="1531"/>
      <c r="L196" s="1529" t="str">
        <f t="shared" si="14"/>
        <v/>
      </c>
      <c r="M196" s="1529"/>
      <c r="N196" s="1531"/>
      <c r="O196" s="1531"/>
      <c r="P196" s="1575"/>
      <c r="Q196" s="1575"/>
      <c r="R196" s="42"/>
      <c r="S196" s="290"/>
      <c r="T196" s="337">
        <f t="shared" si="17"/>
        <v>0</v>
      </c>
    </row>
    <row r="197" spans="1:20" hidden="1">
      <c r="A197" s="337">
        <v>14</v>
      </c>
      <c r="B197" s="761" t="s">
        <v>907</v>
      </c>
      <c r="C197" s="683" t="str">
        <f t="shared" si="15"/>
        <v>-</v>
      </c>
      <c r="D197" s="50" t="str">
        <f t="shared" si="16"/>
        <v>0</v>
      </c>
      <c r="E197" s="51" t="str">
        <f t="shared" si="16"/>
        <v>0</v>
      </c>
      <c r="F197" s="757"/>
      <c r="G197" s="56"/>
      <c r="H197" s="1530"/>
      <c r="I197" s="1531"/>
      <c r="J197" s="1531"/>
      <c r="K197" s="1531"/>
      <c r="L197" s="1529" t="str">
        <f t="shared" si="14"/>
        <v/>
      </c>
      <c r="M197" s="1529"/>
      <c r="N197" s="1531"/>
      <c r="O197" s="1531"/>
      <c r="P197" s="1575"/>
      <c r="Q197" s="1575"/>
      <c r="R197" s="42"/>
      <c r="S197" s="290"/>
      <c r="T197" s="337">
        <f t="shared" si="17"/>
        <v>0</v>
      </c>
    </row>
    <row r="198" spans="1:20" hidden="1">
      <c r="A198" s="337">
        <v>15</v>
      </c>
      <c r="B198" s="761" t="s">
        <v>908</v>
      </c>
      <c r="C198" s="683" t="str">
        <f t="shared" si="15"/>
        <v>-</v>
      </c>
      <c r="D198" s="50" t="str">
        <f t="shared" si="16"/>
        <v>0</v>
      </c>
      <c r="E198" s="51" t="str">
        <f t="shared" si="16"/>
        <v>0</v>
      </c>
      <c r="F198" s="757"/>
      <c r="G198" s="56"/>
      <c r="H198" s="1530"/>
      <c r="I198" s="1531"/>
      <c r="J198" s="1531"/>
      <c r="K198" s="1531"/>
      <c r="L198" s="1529" t="str">
        <f t="shared" si="14"/>
        <v/>
      </c>
      <c r="M198" s="1529"/>
      <c r="N198" s="1531"/>
      <c r="O198" s="1531"/>
      <c r="P198" s="1575"/>
      <c r="Q198" s="1575"/>
      <c r="R198" s="42"/>
      <c r="S198" s="290"/>
      <c r="T198" s="337">
        <f t="shared" si="17"/>
        <v>0</v>
      </c>
    </row>
    <row r="199" spans="1:20" hidden="1">
      <c r="A199" s="337">
        <v>16</v>
      </c>
      <c r="B199" s="761" t="s">
        <v>909</v>
      </c>
      <c r="C199" s="683" t="str">
        <f t="shared" si="15"/>
        <v>-</v>
      </c>
      <c r="D199" s="50" t="str">
        <f t="shared" si="16"/>
        <v>0</v>
      </c>
      <c r="E199" s="51" t="str">
        <f t="shared" si="16"/>
        <v>0</v>
      </c>
      <c r="F199" s="757"/>
      <c r="G199" s="56"/>
      <c r="H199" s="1530"/>
      <c r="I199" s="1531"/>
      <c r="J199" s="1531"/>
      <c r="K199" s="1531"/>
      <c r="L199" s="1529" t="str">
        <f t="shared" si="14"/>
        <v/>
      </c>
      <c r="M199" s="1529"/>
      <c r="N199" s="1531"/>
      <c r="O199" s="1531"/>
      <c r="P199" s="1575"/>
      <c r="Q199" s="1575"/>
      <c r="R199" s="42"/>
      <c r="S199" s="290"/>
      <c r="T199" s="337">
        <f t="shared" si="17"/>
        <v>0</v>
      </c>
    </row>
    <row r="200" spans="1:20" hidden="1">
      <c r="A200" s="337">
        <v>17</v>
      </c>
      <c r="B200" s="761" t="s">
        <v>910</v>
      </c>
      <c r="C200" s="683" t="str">
        <f t="shared" si="15"/>
        <v>-</v>
      </c>
      <c r="D200" s="50" t="str">
        <f t="shared" si="16"/>
        <v>0</v>
      </c>
      <c r="E200" s="51" t="str">
        <f t="shared" si="16"/>
        <v>0</v>
      </c>
      <c r="F200" s="757"/>
      <c r="G200" s="56"/>
      <c r="H200" s="1530"/>
      <c r="I200" s="1531"/>
      <c r="J200" s="1531"/>
      <c r="K200" s="1531"/>
      <c r="L200" s="1529" t="str">
        <f t="shared" si="14"/>
        <v/>
      </c>
      <c r="M200" s="1529"/>
      <c r="N200" s="1531"/>
      <c r="O200" s="1531"/>
      <c r="P200" s="1575"/>
      <c r="Q200" s="1575"/>
      <c r="R200" s="42"/>
      <c r="S200" s="290"/>
      <c r="T200" s="337">
        <f t="shared" si="17"/>
        <v>0</v>
      </c>
    </row>
    <row r="201" spans="1:20" hidden="1">
      <c r="A201" s="337">
        <v>18</v>
      </c>
      <c r="B201" s="761" t="s">
        <v>911</v>
      </c>
      <c r="C201" s="683" t="str">
        <f t="shared" si="15"/>
        <v>-</v>
      </c>
      <c r="D201" s="50" t="str">
        <f t="shared" ref="D201:E220" si="18">D77</f>
        <v>0</v>
      </c>
      <c r="E201" s="51" t="str">
        <f t="shared" si="18"/>
        <v>0</v>
      </c>
      <c r="F201" s="757"/>
      <c r="G201" s="56"/>
      <c r="H201" s="1530"/>
      <c r="I201" s="1531"/>
      <c r="J201" s="1531"/>
      <c r="K201" s="1531"/>
      <c r="L201" s="1529" t="str">
        <f t="shared" si="14"/>
        <v/>
      </c>
      <c r="M201" s="1529"/>
      <c r="N201" s="1531"/>
      <c r="O201" s="1531"/>
      <c r="P201" s="1575"/>
      <c r="Q201" s="1575"/>
      <c r="R201" s="42"/>
      <c r="S201" s="290"/>
      <c r="T201" s="337">
        <f t="shared" si="17"/>
        <v>0</v>
      </c>
    </row>
    <row r="202" spans="1:20" hidden="1">
      <c r="A202" s="337">
        <v>19</v>
      </c>
      <c r="B202" s="761" t="s">
        <v>912</v>
      </c>
      <c r="C202" s="683" t="str">
        <f t="shared" si="15"/>
        <v>-</v>
      </c>
      <c r="D202" s="50" t="str">
        <f t="shared" si="18"/>
        <v>0</v>
      </c>
      <c r="E202" s="51" t="str">
        <f t="shared" si="18"/>
        <v>0</v>
      </c>
      <c r="F202" s="757"/>
      <c r="G202" s="56"/>
      <c r="H202" s="1530"/>
      <c r="I202" s="1531"/>
      <c r="J202" s="1531"/>
      <c r="K202" s="1531"/>
      <c r="L202" s="1529" t="str">
        <f t="shared" si="14"/>
        <v/>
      </c>
      <c r="M202" s="1529"/>
      <c r="N202" s="1531"/>
      <c r="O202" s="1531"/>
      <c r="P202" s="1575"/>
      <c r="Q202" s="1575"/>
      <c r="R202" s="42"/>
      <c r="S202" s="290"/>
      <c r="T202" s="337">
        <f t="shared" si="17"/>
        <v>0</v>
      </c>
    </row>
    <row r="203" spans="1:20" hidden="1">
      <c r="A203" s="337">
        <v>20</v>
      </c>
      <c r="B203" s="761" t="s">
        <v>913</v>
      </c>
      <c r="C203" s="683" t="str">
        <f t="shared" si="15"/>
        <v>-</v>
      </c>
      <c r="D203" s="50" t="str">
        <f t="shared" si="18"/>
        <v>0</v>
      </c>
      <c r="E203" s="51" t="str">
        <f t="shared" si="18"/>
        <v>0</v>
      </c>
      <c r="F203" s="757"/>
      <c r="G203" s="56"/>
      <c r="H203" s="1530"/>
      <c r="I203" s="1531"/>
      <c r="J203" s="1531"/>
      <c r="K203" s="1531"/>
      <c r="L203" s="1529" t="str">
        <f t="shared" si="14"/>
        <v/>
      </c>
      <c r="M203" s="1529"/>
      <c r="N203" s="1531"/>
      <c r="O203" s="1531"/>
      <c r="P203" s="1575"/>
      <c r="Q203" s="1575"/>
      <c r="R203" s="42"/>
      <c r="S203" s="290"/>
      <c r="T203" s="337">
        <f t="shared" si="17"/>
        <v>0</v>
      </c>
    </row>
    <row r="204" spans="1:20" hidden="1">
      <c r="A204" s="337">
        <v>1</v>
      </c>
      <c r="B204" s="761" t="s">
        <v>914</v>
      </c>
      <c r="C204" s="683" t="str">
        <f>IF(T204=1,"*","-")</f>
        <v>*</v>
      </c>
      <c r="D204" s="50" t="str">
        <f t="shared" si="18"/>
        <v>6</v>
      </c>
      <c r="E204" s="51" t="str">
        <f t="shared" si="18"/>
        <v>6</v>
      </c>
      <c r="F204" s="757"/>
      <c r="G204" s="56"/>
      <c r="H204" s="1530"/>
      <c r="I204" s="1531"/>
      <c r="J204" s="1531"/>
      <c r="K204" s="1531"/>
      <c r="L204" s="1529">
        <f t="shared" si="14"/>
        <v>-133.02875</v>
      </c>
      <c r="M204" s="1529"/>
      <c r="N204" s="1531"/>
      <c r="O204" s="1531"/>
      <c r="P204" s="1575"/>
      <c r="Q204" s="1575"/>
      <c r="R204" s="42"/>
      <c r="S204" s="290"/>
      <c r="T204" s="337">
        <f t="shared" si="17"/>
        <v>1</v>
      </c>
    </row>
    <row r="205" spans="1:20" hidden="1">
      <c r="A205" s="337">
        <v>2</v>
      </c>
      <c r="B205" s="761" t="s">
        <v>915</v>
      </c>
      <c r="C205" s="683" t="str">
        <f t="shared" ref="C205:C266" si="19">IF(T205=1,"*","-")</f>
        <v>*</v>
      </c>
      <c r="D205" s="50" t="str">
        <f t="shared" si="18"/>
        <v>35</v>
      </c>
      <c r="E205" s="51" t="str">
        <f t="shared" si="18"/>
        <v>35</v>
      </c>
      <c r="F205" s="757"/>
      <c r="G205" s="56"/>
      <c r="H205" s="1530"/>
      <c r="I205" s="1531"/>
      <c r="J205" s="1531"/>
      <c r="K205" s="1531"/>
      <c r="L205" s="1533">
        <f t="shared" si="14"/>
        <v>-172.79</v>
      </c>
      <c r="M205" s="1534"/>
      <c r="N205" s="1531"/>
      <c r="O205" s="1531"/>
      <c r="P205" s="1575"/>
      <c r="Q205" s="1575"/>
      <c r="R205" s="42"/>
      <c r="S205" s="290"/>
      <c r="T205" s="337">
        <f t="shared" si="17"/>
        <v>1</v>
      </c>
    </row>
    <row r="206" spans="1:20" hidden="1">
      <c r="A206" s="337">
        <v>3</v>
      </c>
      <c r="B206" s="761" t="s">
        <v>916</v>
      </c>
      <c r="C206" s="683" t="str">
        <f t="shared" si="19"/>
        <v>*</v>
      </c>
      <c r="D206" s="50" t="str">
        <f t="shared" si="18"/>
        <v>65</v>
      </c>
      <c r="E206" s="51" t="str">
        <f t="shared" si="18"/>
        <v>65</v>
      </c>
      <c r="F206" s="757"/>
      <c r="G206" s="56"/>
      <c r="H206" s="1530"/>
      <c r="I206" s="1531"/>
      <c r="J206" s="1531"/>
      <c r="K206" s="1531"/>
      <c r="L206" s="1533">
        <f t="shared" si="14"/>
        <v>-172.79</v>
      </c>
      <c r="M206" s="1534"/>
      <c r="N206" s="1531"/>
      <c r="O206" s="1531"/>
      <c r="P206" s="1575"/>
      <c r="Q206" s="1575"/>
      <c r="R206" s="42"/>
      <c r="S206" s="290"/>
      <c r="T206" s="337">
        <f t="shared" si="17"/>
        <v>1</v>
      </c>
    </row>
    <row r="207" spans="1:20" hidden="1">
      <c r="A207" s="337">
        <v>4</v>
      </c>
      <c r="B207" s="761" t="s">
        <v>917</v>
      </c>
      <c r="C207" s="683" t="str">
        <f t="shared" si="19"/>
        <v>*</v>
      </c>
      <c r="D207" s="50" t="str">
        <f t="shared" si="18"/>
        <v>94</v>
      </c>
      <c r="E207" s="51" t="str">
        <f t="shared" si="18"/>
        <v>94</v>
      </c>
      <c r="F207" s="757"/>
      <c r="G207" s="56"/>
      <c r="H207" s="1530"/>
      <c r="I207" s="1531"/>
      <c r="J207" s="1531"/>
      <c r="K207" s="1531"/>
      <c r="L207" s="1533">
        <f t="shared" si="14"/>
        <v>-143.78375</v>
      </c>
      <c r="M207" s="1534"/>
      <c r="N207" s="1531"/>
      <c r="O207" s="1531"/>
      <c r="P207" s="1575"/>
      <c r="Q207" s="1575"/>
      <c r="R207" s="42"/>
      <c r="S207" s="290"/>
      <c r="T207" s="337">
        <f t="shared" si="17"/>
        <v>1</v>
      </c>
    </row>
    <row r="208" spans="1:20" hidden="1">
      <c r="A208" s="337">
        <v>5</v>
      </c>
      <c r="B208" s="761" t="s">
        <v>918</v>
      </c>
      <c r="C208" s="683" t="str">
        <f t="shared" si="19"/>
        <v>-</v>
      </c>
      <c r="D208" s="50" t="str">
        <f t="shared" si="18"/>
        <v>0</v>
      </c>
      <c r="E208" s="51" t="str">
        <f t="shared" si="18"/>
        <v>0</v>
      </c>
      <c r="F208" s="757"/>
      <c r="G208" s="56"/>
      <c r="H208" s="1530"/>
      <c r="I208" s="1531"/>
      <c r="J208" s="1531"/>
      <c r="K208" s="1531"/>
      <c r="L208" s="1533" t="str">
        <f t="shared" si="14"/>
        <v/>
      </c>
      <c r="M208" s="1534"/>
      <c r="N208" s="1531"/>
      <c r="O208" s="1531"/>
      <c r="P208" s="1575"/>
      <c r="Q208" s="1575"/>
      <c r="R208" s="42"/>
      <c r="S208" s="290"/>
      <c r="T208" s="337">
        <f t="shared" si="17"/>
        <v>0</v>
      </c>
    </row>
    <row r="209" spans="1:20" hidden="1">
      <c r="A209" s="337">
        <v>6</v>
      </c>
      <c r="B209" s="761" t="s">
        <v>919</v>
      </c>
      <c r="C209" s="683" t="str">
        <f t="shared" si="19"/>
        <v>-</v>
      </c>
      <c r="D209" s="50" t="str">
        <f t="shared" si="18"/>
        <v>0</v>
      </c>
      <c r="E209" s="51" t="str">
        <f t="shared" si="18"/>
        <v>0</v>
      </c>
      <c r="F209" s="757"/>
      <c r="G209" s="56"/>
      <c r="H209" s="1530"/>
      <c r="I209" s="1531"/>
      <c r="J209" s="1531"/>
      <c r="K209" s="1531"/>
      <c r="L209" s="1533" t="str">
        <f t="shared" si="14"/>
        <v/>
      </c>
      <c r="M209" s="1534"/>
      <c r="N209" s="1531"/>
      <c r="O209" s="1531"/>
      <c r="P209" s="1575"/>
      <c r="Q209" s="1575"/>
      <c r="R209" s="42"/>
      <c r="S209" s="290"/>
      <c r="T209" s="337">
        <f t="shared" si="17"/>
        <v>0</v>
      </c>
    </row>
    <row r="210" spans="1:20" hidden="1">
      <c r="A210" s="337">
        <v>7</v>
      </c>
      <c r="B210" s="761" t="s">
        <v>920</v>
      </c>
      <c r="C210" s="683" t="str">
        <f t="shared" si="19"/>
        <v>-</v>
      </c>
      <c r="D210" s="50" t="str">
        <f t="shared" si="18"/>
        <v>0</v>
      </c>
      <c r="E210" s="51" t="str">
        <f t="shared" si="18"/>
        <v>0</v>
      </c>
      <c r="F210" s="757"/>
      <c r="G210" s="56"/>
      <c r="H210" s="1530"/>
      <c r="I210" s="1531"/>
      <c r="J210" s="1531"/>
      <c r="K210" s="1531"/>
      <c r="L210" s="1533" t="str">
        <f t="shared" si="14"/>
        <v/>
      </c>
      <c r="M210" s="1534"/>
      <c r="N210" s="1531"/>
      <c r="O210" s="1531"/>
      <c r="P210" s="1575"/>
      <c r="Q210" s="1575"/>
      <c r="R210" s="42"/>
      <c r="S210" s="290"/>
      <c r="T210" s="337">
        <f t="shared" si="17"/>
        <v>0</v>
      </c>
    </row>
    <row r="211" spans="1:20" hidden="1">
      <c r="A211" s="337">
        <v>8</v>
      </c>
      <c r="B211" s="761" t="s">
        <v>921</v>
      </c>
      <c r="C211" s="683" t="str">
        <f t="shared" si="19"/>
        <v>-</v>
      </c>
      <c r="D211" s="50" t="str">
        <f t="shared" si="18"/>
        <v>0</v>
      </c>
      <c r="E211" s="51" t="str">
        <f t="shared" si="18"/>
        <v>0</v>
      </c>
      <c r="F211" s="757"/>
      <c r="G211" s="56"/>
      <c r="H211" s="1530"/>
      <c r="I211" s="1531"/>
      <c r="J211" s="1531"/>
      <c r="K211" s="1531"/>
      <c r="L211" s="1533" t="str">
        <f t="shared" si="14"/>
        <v/>
      </c>
      <c r="M211" s="1534"/>
      <c r="N211" s="1531"/>
      <c r="O211" s="1531"/>
      <c r="P211" s="1575"/>
      <c r="Q211" s="1575"/>
      <c r="R211" s="42"/>
      <c r="S211" s="290"/>
      <c r="T211" s="337">
        <f t="shared" si="17"/>
        <v>0</v>
      </c>
    </row>
    <row r="212" spans="1:20" hidden="1">
      <c r="A212" s="337">
        <v>9</v>
      </c>
      <c r="B212" s="761" t="s">
        <v>922</v>
      </c>
      <c r="C212" s="683" t="str">
        <f t="shared" si="19"/>
        <v>-</v>
      </c>
      <c r="D212" s="50" t="str">
        <f t="shared" si="18"/>
        <v>0</v>
      </c>
      <c r="E212" s="51" t="str">
        <f t="shared" si="18"/>
        <v>0</v>
      </c>
      <c r="F212" s="757"/>
      <c r="G212" s="56"/>
      <c r="H212" s="1530"/>
      <c r="I212" s="1531"/>
      <c r="J212" s="1531"/>
      <c r="K212" s="1531"/>
      <c r="L212" s="1533" t="str">
        <f t="shared" si="14"/>
        <v/>
      </c>
      <c r="M212" s="1534"/>
      <c r="N212" s="1531"/>
      <c r="O212" s="1531"/>
      <c r="P212" s="1575"/>
      <c r="Q212" s="1575"/>
      <c r="R212" s="42"/>
      <c r="S212" s="290"/>
      <c r="T212" s="337">
        <f t="shared" si="17"/>
        <v>0</v>
      </c>
    </row>
    <row r="213" spans="1:20" hidden="1">
      <c r="A213" s="337">
        <v>10</v>
      </c>
      <c r="B213" s="761" t="s">
        <v>923</v>
      </c>
      <c r="C213" s="683" t="str">
        <f t="shared" si="19"/>
        <v>-</v>
      </c>
      <c r="D213" s="50" t="str">
        <f t="shared" si="18"/>
        <v>0</v>
      </c>
      <c r="E213" s="51" t="str">
        <f t="shared" si="18"/>
        <v>0</v>
      </c>
      <c r="F213" s="757"/>
      <c r="G213" s="56"/>
      <c r="H213" s="1530"/>
      <c r="I213" s="1531"/>
      <c r="J213" s="1531"/>
      <c r="K213" s="1531"/>
      <c r="L213" s="1533" t="str">
        <f t="shared" si="14"/>
        <v/>
      </c>
      <c r="M213" s="1534"/>
      <c r="N213" s="1531"/>
      <c r="O213" s="1531"/>
      <c r="P213" s="1575"/>
      <c r="Q213" s="1575"/>
      <c r="R213" s="42"/>
      <c r="S213" s="290"/>
      <c r="T213" s="337">
        <f t="shared" si="17"/>
        <v>0</v>
      </c>
    </row>
    <row r="214" spans="1:20" hidden="1">
      <c r="A214" s="337">
        <v>11</v>
      </c>
      <c r="B214" s="761" t="s">
        <v>924</v>
      </c>
      <c r="C214" s="683" t="str">
        <f t="shared" si="19"/>
        <v>-</v>
      </c>
      <c r="D214" s="50" t="str">
        <f t="shared" si="18"/>
        <v>0</v>
      </c>
      <c r="E214" s="51" t="str">
        <f t="shared" si="18"/>
        <v>0</v>
      </c>
      <c r="F214" s="757"/>
      <c r="G214" s="56"/>
      <c r="H214" s="1530"/>
      <c r="I214" s="1531"/>
      <c r="J214" s="1531"/>
      <c r="K214" s="1531"/>
      <c r="L214" s="1533" t="str">
        <f t="shared" si="14"/>
        <v/>
      </c>
      <c r="M214" s="1534"/>
      <c r="N214" s="1531"/>
      <c r="O214" s="1531"/>
      <c r="P214" s="1575"/>
      <c r="Q214" s="1575"/>
      <c r="R214" s="42"/>
      <c r="S214" s="290"/>
      <c r="T214" s="337">
        <f t="shared" si="17"/>
        <v>0</v>
      </c>
    </row>
    <row r="215" spans="1:20" hidden="1">
      <c r="A215" s="337">
        <v>12</v>
      </c>
      <c r="B215" s="761" t="s">
        <v>925</v>
      </c>
      <c r="C215" s="683" t="str">
        <f t="shared" si="19"/>
        <v>-</v>
      </c>
      <c r="D215" s="50" t="str">
        <f t="shared" si="18"/>
        <v>0</v>
      </c>
      <c r="E215" s="51" t="str">
        <f t="shared" si="18"/>
        <v>0</v>
      </c>
      <c r="F215" s="757"/>
      <c r="G215" s="56"/>
      <c r="H215" s="1530"/>
      <c r="I215" s="1531"/>
      <c r="J215" s="1531"/>
      <c r="K215" s="1531"/>
      <c r="L215" s="1533" t="str">
        <f t="shared" si="14"/>
        <v/>
      </c>
      <c r="M215" s="1534"/>
      <c r="N215" s="1531"/>
      <c r="O215" s="1531"/>
      <c r="P215" s="1575"/>
      <c r="Q215" s="1575"/>
      <c r="R215" s="42"/>
      <c r="S215" s="290"/>
      <c r="T215" s="337">
        <f t="shared" si="17"/>
        <v>0</v>
      </c>
    </row>
    <row r="216" spans="1:20" hidden="1">
      <c r="A216" s="337">
        <v>13</v>
      </c>
      <c r="B216" s="761" t="s">
        <v>926</v>
      </c>
      <c r="C216" s="683" t="str">
        <f t="shared" si="19"/>
        <v>-</v>
      </c>
      <c r="D216" s="50" t="str">
        <f t="shared" si="18"/>
        <v>0</v>
      </c>
      <c r="E216" s="51" t="str">
        <f t="shared" si="18"/>
        <v>0</v>
      </c>
      <c r="F216" s="757"/>
      <c r="G216" s="56"/>
      <c r="H216" s="1530"/>
      <c r="I216" s="1531"/>
      <c r="J216" s="1531"/>
      <c r="K216" s="1531"/>
      <c r="L216" s="1533" t="str">
        <f t="shared" si="14"/>
        <v/>
      </c>
      <c r="M216" s="1534"/>
      <c r="N216" s="1531"/>
      <c r="O216" s="1531"/>
      <c r="P216" s="1575"/>
      <c r="Q216" s="1575"/>
      <c r="R216" s="42"/>
      <c r="S216" s="290"/>
      <c r="T216" s="337">
        <f t="shared" si="17"/>
        <v>0</v>
      </c>
    </row>
    <row r="217" spans="1:20" hidden="1">
      <c r="A217" s="337">
        <v>14</v>
      </c>
      <c r="B217" s="761" t="s">
        <v>927</v>
      </c>
      <c r="C217" s="683" t="str">
        <f t="shared" si="19"/>
        <v>-</v>
      </c>
      <c r="D217" s="50" t="str">
        <f t="shared" si="18"/>
        <v>0</v>
      </c>
      <c r="E217" s="51" t="str">
        <f t="shared" si="18"/>
        <v>0</v>
      </c>
      <c r="F217" s="757"/>
      <c r="G217" s="56"/>
      <c r="H217" s="1530"/>
      <c r="I217" s="1531"/>
      <c r="J217" s="1531"/>
      <c r="K217" s="1531"/>
      <c r="L217" s="1533" t="str">
        <f t="shared" si="14"/>
        <v/>
      </c>
      <c r="M217" s="1534"/>
      <c r="N217" s="1531"/>
      <c r="O217" s="1531"/>
      <c r="P217" s="1575"/>
      <c r="Q217" s="1575"/>
      <c r="R217" s="42"/>
      <c r="S217" s="290"/>
      <c r="T217" s="337">
        <f t="shared" si="17"/>
        <v>0</v>
      </c>
    </row>
    <row r="218" spans="1:20" hidden="1">
      <c r="A218" s="337">
        <v>15</v>
      </c>
      <c r="B218" s="761" t="s">
        <v>928</v>
      </c>
      <c r="C218" s="683" t="str">
        <f t="shared" si="19"/>
        <v>-</v>
      </c>
      <c r="D218" s="50" t="str">
        <f t="shared" si="18"/>
        <v>0</v>
      </c>
      <c r="E218" s="51" t="str">
        <f t="shared" si="18"/>
        <v>0</v>
      </c>
      <c r="F218" s="757"/>
      <c r="G218" s="56"/>
      <c r="H218" s="1530"/>
      <c r="I218" s="1531"/>
      <c r="J218" s="1531"/>
      <c r="K218" s="1531"/>
      <c r="L218" s="1533" t="str">
        <f t="shared" si="14"/>
        <v/>
      </c>
      <c r="M218" s="1534"/>
      <c r="N218" s="1531"/>
      <c r="O218" s="1531"/>
      <c r="P218" s="1575"/>
      <c r="Q218" s="1575"/>
      <c r="R218" s="42"/>
      <c r="S218" s="290"/>
      <c r="T218" s="337">
        <f t="shared" si="17"/>
        <v>0</v>
      </c>
    </row>
    <row r="219" spans="1:20" hidden="1">
      <c r="A219" s="337">
        <v>16</v>
      </c>
      <c r="B219" s="761" t="s">
        <v>929</v>
      </c>
      <c r="C219" s="683" t="str">
        <f t="shared" si="19"/>
        <v>-</v>
      </c>
      <c r="D219" s="50" t="str">
        <f t="shared" si="18"/>
        <v>0</v>
      </c>
      <c r="E219" s="51" t="str">
        <f t="shared" si="18"/>
        <v>0</v>
      </c>
      <c r="F219" s="757"/>
      <c r="G219" s="56"/>
      <c r="H219" s="1530"/>
      <c r="I219" s="1531"/>
      <c r="J219" s="1531"/>
      <c r="K219" s="1531"/>
      <c r="L219" s="1533" t="str">
        <f t="shared" si="14"/>
        <v/>
      </c>
      <c r="M219" s="1534"/>
      <c r="N219" s="1531"/>
      <c r="O219" s="1531"/>
      <c r="P219" s="1575"/>
      <c r="Q219" s="1575"/>
      <c r="R219" s="42"/>
      <c r="S219" s="290"/>
      <c r="T219" s="337">
        <f t="shared" si="17"/>
        <v>0</v>
      </c>
    </row>
    <row r="220" spans="1:20" hidden="1">
      <c r="A220" s="337">
        <v>17</v>
      </c>
      <c r="B220" s="761" t="s">
        <v>930</v>
      </c>
      <c r="C220" s="683" t="str">
        <f t="shared" si="19"/>
        <v>-</v>
      </c>
      <c r="D220" s="50" t="str">
        <f t="shared" si="18"/>
        <v>0</v>
      </c>
      <c r="E220" s="51" t="str">
        <f t="shared" si="18"/>
        <v>0</v>
      </c>
      <c r="F220" s="757"/>
      <c r="G220" s="56"/>
      <c r="H220" s="1530"/>
      <c r="I220" s="1531"/>
      <c r="J220" s="1531"/>
      <c r="K220" s="1531"/>
      <c r="L220" s="1533" t="str">
        <f t="shared" si="14"/>
        <v/>
      </c>
      <c r="M220" s="1534"/>
      <c r="N220" s="1531"/>
      <c r="O220" s="1531"/>
      <c r="P220" s="1575"/>
      <c r="Q220" s="1575"/>
      <c r="R220" s="42"/>
      <c r="S220" s="290"/>
      <c r="T220" s="337">
        <f t="shared" si="17"/>
        <v>0</v>
      </c>
    </row>
    <row r="221" spans="1:20" hidden="1">
      <c r="A221" s="337">
        <v>18</v>
      </c>
      <c r="B221" s="761" t="s">
        <v>931</v>
      </c>
      <c r="C221" s="683" t="str">
        <f t="shared" si="19"/>
        <v>-</v>
      </c>
      <c r="D221" s="50" t="str">
        <f t="shared" ref="D221:E223" si="20">D97</f>
        <v>0</v>
      </c>
      <c r="E221" s="51" t="str">
        <f t="shared" si="20"/>
        <v>0</v>
      </c>
      <c r="F221" s="757"/>
      <c r="G221" s="56"/>
      <c r="H221" s="1530"/>
      <c r="I221" s="1531"/>
      <c r="J221" s="1531"/>
      <c r="K221" s="1531"/>
      <c r="L221" s="1533" t="str">
        <f t="shared" si="14"/>
        <v/>
      </c>
      <c r="M221" s="1534"/>
      <c r="N221" s="1531"/>
      <c r="O221" s="1531"/>
      <c r="P221" s="1575"/>
      <c r="Q221" s="1575"/>
      <c r="R221" s="42"/>
      <c r="S221" s="290"/>
      <c r="T221" s="337">
        <f t="shared" si="17"/>
        <v>0</v>
      </c>
    </row>
    <row r="222" spans="1:20" hidden="1">
      <c r="A222" s="337">
        <v>19</v>
      </c>
      <c r="B222" s="761" t="s">
        <v>932</v>
      </c>
      <c r="C222" s="683" t="str">
        <f t="shared" si="19"/>
        <v>-</v>
      </c>
      <c r="D222" s="50" t="str">
        <f t="shared" si="20"/>
        <v>0</v>
      </c>
      <c r="E222" s="51" t="str">
        <f t="shared" si="20"/>
        <v>0</v>
      </c>
      <c r="F222" s="757"/>
      <c r="G222" s="56"/>
      <c r="H222" s="1530"/>
      <c r="I222" s="1531"/>
      <c r="J222" s="1531"/>
      <c r="K222" s="1531"/>
      <c r="L222" s="1533" t="str">
        <f t="shared" si="14"/>
        <v/>
      </c>
      <c r="M222" s="1534"/>
      <c r="N222" s="1531"/>
      <c r="O222" s="1531"/>
      <c r="P222" s="1575"/>
      <c r="Q222" s="1575"/>
      <c r="R222" s="42"/>
      <c r="S222" s="290"/>
      <c r="T222" s="337">
        <f t="shared" si="17"/>
        <v>0</v>
      </c>
    </row>
    <row r="223" spans="1:20" hidden="1">
      <c r="A223" s="337">
        <v>20</v>
      </c>
      <c r="B223" s="761" t="s">
        <v>933</v>
      </c>
      <c r="C223" s="683" t="str">
        <f t="shared" si="19"/>
        <v>-</v>
      </c>
      <c r="D223" s="50" t="str">
        <f t="shared" si="20"/>
        <v>0</v>
      </c>
      <c r="E223" s="51" t="str">
        <f t="shared" si="20"/>
        <v>0</v>
      </c>
      <c r="F223" s="757"/>
      <c r="G223" s="56"/>
      <c r="H223" s="1530"/>
      <c r="I223" s="1531"/>
      <c r="J223" s="1531"/>
      <c r="K223" s="1531"/>
      <c r="L223" s="1533" t="str">
        <f t="shared" si="14"/>
        <v/>
      </c>
      <c r="M223" s="1534"/>
      <c r="N223" s="1531"/>
      <c r="O223" s="1531"/>
      <c r="P223" s="1575"/>
      <c r="Q223" s="1575"/>
      <c r="R223" s="42"/>
      <c r="S223" s="290"/>
      <c r="T223" s="337">
        <f t="shared" si="17"/>
        <v>0</v>
      </c>
    </row>
    <row r="224" spans="1:20" hidden="1">
      <c r="B224" s="761" t="s">
        <v>934</v>
      </c>
      <c r="C224" s="683" t="str">
        <f t="shared" si="19"/>
        <v>*</v>
      </c>
      <c r="D224" s="50" t="str">
        <f t="shared" ref="D224:E243" si="21">D184</f>
        <v>6</v>
      </c>
      <c r="E224" s="50" t="str">
        <f t="shared" si="21"/>
        <v>6</v>
      </c>
      <c r="F224" s="757"/>
      <c r="G224" s="56"/>
      <c r="H224" s="1530"/>
      <c r="I224" s="1531"/>
      <c r="J224" s="1531"/>
      <c r="K224" s="1531"/>
      <c r="L224" s="239"/>
      <c r="M224" s="240"/>
      <c r="N224" s="1531"/>
      <c r="O224" s="1531"/>
      <c r="P224" s="1535">
        <f t="shared" ref="P224:P263" si="22">P100</f>
        <v>-1.875</v>
      </c>
      <c r="Q224" s="1535"/>
      <c r="R224" s="42"/>
      <c r="S224" s="290"/>
      <c r="T224" s="337">
        <f>IF(SUM(G224:Q224)&lt;&gt;0,1,0)</f>
        <v>1</v>
      </c>
    </row>
    <row r="225" spans="2:20" hidden="1">
      <c r="B225" s="761" t="s">
        <v>935</v>
      </c>
      <c r="C225" s="683" t="str">
        <f t="shared" si="19"/>
        <v>*</v>
      </c>
      <c r="D225" s="50" t="str">
        <f t="shared" si="21"/>
        <v>35</v>
      </c>
      <c r="E225" s="50" t="str">
        <f t="shared" si="21"/>
        <v>35</v>
      </c>
      <c r="F225" s="757"/>
      <c r="G225" s="56"/>
      <c r="H225" s="1530"/>
      <c r="I225" s="1531"/>
      <c r="J225" s="1531"/>
      <c r="K225" s="1531"/>
      <c r="L225" s="239"/>
      <c r="M225" s="240"/>
      <c r="N225" s="1531"/>
      <c r="O225" s="1531"/>
      <c r="P225" s="1535">
        <f t="shared" si="22"/>
        <v>-1.875</v>
      </c>
      <c r="Q225" s="1535"/>
      <c r="R225" s="42"/>
      <c r="S225" s="290"/>
      <c r="T225" s="337">
        <f t="shared" ref="T225:T263" si="23">IF(SUM(G225:Q225)&lt;&gt;0,1,0)</f>
        <v>1</v>
      </c>
    </row>
    <row r="226" spans="2:20" hidden="1">
      <c r="B226" s="761" t="s">
        <v>936</v>
      </c>
      <c r="C226" s="683" t="str">
        <f t="shared" si="19"/>
        <v>*</v>
      </c>
      <c r="D226" s="50" t="str">
        <f t="shared" si="21"/>
        <v>65</v>
      </c>
      <c r="E226" s="50" t="str">
        <f t="shared" si="21"/>
        <v>65</v>
      </c>
      <c r="F226" s="757"/>
      <c r="G226" s="56"/>
      <c r="H226" s="1530"/>
      <c r="I226" s="1531"/>
      <c r="J226" s="1531"/>
      <c r="K226" s="1531"/>
      <c r="L226" s="239"/>
      <c r="M226" s="240"/>
      <c r="N226" s="1531"/>
      <c r="O226" s="1531"/>
      <c r="P226" s="1535">
        <f t="shared" si="22"/>
        <v>-1.875</v>
      </c>
      <c r="Q226" s="1535"/>
      <c r="R226" s="42"/>
      <c r="S226" s="290"/>
      <c r="T226" s="337">
        <f t="shared" si="23"/>
        <v>1</v>
      </c>
    </row>
    <row r="227" spans="2:20" hidden="1">
      <c r="B227" s="761" t="s">
        <v>937</v>
      </c>
      <c r="C227" s="683" t="str">
        <f t="shared" si="19"/>
        <v>*</v>
      </c>
      <c r="D227" s="50" t="str">
        <f t="shared" si="21"/>
        <v>94</v>
      </c>
      <c r="E227" s="50" t="str">
        <f t="shared" si="21"/>
        <v>94</v>
      </c>
      <c r="F227" s="757"/>
      <c r="G227" s="56"/>
      <c r="H227" s="1530"/>
      <c r="I227" s="1531"/>
      <c r="J227" s="1531"/>
      <c r="K227" s="1531"/>
      <c r="L227" s="239"/>
      <c r="M227" s="240"/>
      <c r="N227" s="1531"/>
      <c r="O227" s="1531"/>
      <c r="P227" s="1535">
        <f t="shared" si="22"/>
        <v>-1.875</v>
      </c>
      <c r="Q227" s="1535"/>
      <c r="R227" s="42"/>
      <c r="S227" s="290"/>
      <c r="T227" s="337">
        <f t="shared" si="23"/>
        <v>1</v>
      </c>
    </row>
    <row r="228" spans="2:20" hidden="1">
      <c r="B228" s="761" t="s">
        <v>940</v>
      </c>
      <c r="C228" s="683" t="str">
        <f t="shared" si="19"/>
        <v>-</v>
      </c>
      <c r="D228" s="50" t="str">
        <f t="shared" si="21"/>
        <v>0</v>
      </c>
      <c r="E228" s="50" t="str">
        <f t="shared" si="21"/>
        <v>0</v>
      </c>
      <c r="F228" s="757"/>
      <c r="G228" s="56"/>
      <c r="H228" s="1530"/>
      <c r="I228" s="1531"/>
      <c r="J228" s="1531"/>
      <c r="K228" s="1531"/>
      <c r="L228" s="239"/>
      <c r="M228" s="240"/>
      <c r="N228" s="1531"/>
      <c r="O228" s="1531"/>
      <c r="P228" s="1535" t="str">
        <f t="shared" si="22"/>
        <v/>
      </c>
      <c r="Q228" s="1535"/>
      <c r="R228" s="42"/>
      <c r="S228" s="290"/>
      <c r="T228" s="337">
        <f t="shared" si="23"/>
        <v>0</v>
      </c>
    </row>
    <row r="229" spans="2:20" hidden="1">
      <c r="B229" s="761" t="s">
        <v>941</v>
      </c>
      <c r="C229" s="683" t="str">
        <f t="shared" si="19"/>
        <v>-</v>
      </c>
      <c r="D229" s="50" t="str">
        <f t="shared" si="21"/>
        <v>0</v>
      </c>
      <c r="E229" s="50" t="str">
        <f t="shared" si="21"/>
        <v>0</v>
      </c>
      <c r="F229" s="757"/>
      <c r="G229" s="56"/>
      <c r="H229" s="1530"/>
      <c r="I229" s="1531"/>
      <c r="J229" s="1531"/>
      <c r="K229" s="1531"/>
      <c r="L229" s="239"/>
      <c r="M229" s="240"/>
      <c r="N229" s="1531"/>
      <c r="O229" s="1531"/>
      <c r="P229" s="1535" t="str">
        <f t="shared" si="22"/>
        <v/>
      </c>
      <c r="Q229" s="1535"/>
      <c r="R229" s="42"/>
      <c r="S229" s="290"/>
      <c r="T229" s="337">
        <f t="shared" si="23"/>
        <v>0</v>
      </c>
    </row>
    <row r="230" spans="2:20" hidden="1">
      <c r="B230" s="761" t="s">
        <v>942</v>
      </c>
      <c r="C230" s="683" t="str">
        <f t="shared" si="19"/>
        <v>-</v>
      </c>
      <c r="D230" s="50" t="str">
        <f t="shared" si="21"/>
        <v>0</v>
      </c>
      <c r="E230" s="50" t="str">
        <f t="shared" si="21"/>
        <v>0</v>
      </c>
      <c r="F230" s="757"/>
      <c r="G230" s="56"/>
      <c r="H230" s="1530"/>
      <c r="I230" s="1531"/>
      <c r="J230" s="1531"/>
      <c r="K230" s="1531"/>
      <c r="L230" s="239"/>
      <c r="M230" s="240"/>
      <c r="N230" s="1531"/>
      <c r="O230" s="1531"/>
      <c r="P230" s="1535" t="str">
        <f t="shared" si="22"/>
        <v/>
      </c>
      <c r="Q230" s="1535"/>
      <c r="R230" s="42"/>
      <c r="S230" s="290"/>
      <c r="T230" s="337">
        <f t="shared" si="23"/>
        <v>0</v>
      </c>
    </row>
    <row r="231" spans="2:20" hidden="1">
      <c r="B231" s="761" t="s">
        <v>943</v>
      </c>
      <c r="C231" s="683" t="str">
        <f t="shared" si="19"/>
        <v>-</v>
      </c>
      <c r="D231" s="50" t="str">
        <f t="shared" si="21"/>
        <v>0</v>
      </c>
      <c r="E231" s="50" t="str">
        <f t="shared" si="21"/>
        <v>0</v>
      </c>
      <c r="F231" s="757"/>
      <c r="G231" s="56"/>
      <c r="H231" s="1530"/>
      <c r="I231" s="1531"/>
      <c r="J231" s="1531"/>
      <c r="K231" s="1531"/>
      <c r="L231" s="239"/>
      <c r="M231" s="240"/>
      <c r="N231" s="1531"/>
      <c r="O231" s="1531"/>
      <c r="P231" s="1535" t="str">
        <f t="shared" si="22"/>
        <v/>
      </c>
      <c r="Q231" s="1535"/>
      <c r="R231" s="42"/>
      <c r="S231" s="290"/>
      <c r="T231" s="337">
        <f t="shared" si="23"/>
        <v>0</v>
      </c>
    </row>
    <row r="232" spans="2:20" hidden="1">
      <c r="B232" s="761" t="s">
        <v>944</v>
      </c>
      <c r="C232" s="683" t="str">
        <f t="shared" si="19"/>
        <v>-</v>
      </c>
      <c r="D232" s="50" t="str">
        <f t="shared" si="21"/>
        <v>0</v>
      </c>
      <c r="E232" s="50" t="str">
        <f t="shared" si="21"/>
        <v>0</v>
      </c>
      <c r="F232" s="757"/>
      <c r="G232" s="56"/>
      <c r="H232" s="1530"/>
      <c r="I232" s="1531"/>
      <c r="J232" s="1531"/>
      <c r="K232" s="1531"/>
      <c r="L232" s="239"/>
      <c r="M232" s="240"/>
      <c r="N232" s="1531"/>
      <c r="O232" s="1531"/>
      <c r="P232" s="1535" t="str">
        <f t="shared" si="22"/>
        <v/>
      </c>
      <c r="Q232" s="1535"/>
      <c r="R232" s="42"/>
      <c r="S232" s="290"/>
      <c r="T232" s="337">
        <f t="shared" si="23"/>
        <v>0</v>
      </c>
    </row>
    <row r="233" spans="2:20" hidden="1">
      <c r="B233" s="761" t="s">
        <v>945</v>
      </c>
      <c r="C233" s="683" t="str">
        <f t="shared" si="19"/>
        <v>-</v>
      </c>
      <c r="D233" s="50" t="str">
        <f t="shared" si="21"/>
        <v>0</v>
      </c>
      <c r="E233" s="50" t="str">
        <f t="shared" si="21"/>
        <v>0</v>
      </c>
      <c r="F233" s="757"/>
      <c r="G233" s="56"/>
      <c r="H233" s="1530"/>
      <c r="I233" s="1531"/>
      <c r="J233" s="1531"/>
      <c r="K233" s="1531"/>
      <c r="L233" s="239"/>
      <c r="M233" s="240"/>
      <c r="N233" s="1531"/>
      <c r="O233" s="1531"/>
      <c r="P233" s="1535" t="str">
        <f t="shared" si="22"/>
        <v/>
      </c>
      <c r="Q233" s="1535"/>
      <c r="R233" s="42"/>
      <c r="S233" s="290"/>
      <c r="T233" s="337">
        <f t="shared" si="23"/>
        <v>0</v>
      </c>
    </row>
    <row r="234" spans="2:20" hidden="1">
      <c r="B234" s="761" t="s">
        <v>946</v>
      </c>
      <c r="C234" s="683" t="str">
        <f t="shared" si="19"/>
        <v>-</v>
      </c>
      <c r="D234" s="50" t="str">
        <f t="shared" si="21"/>
        <v>0</v>
      </c>
      <c r="E234" s="50" t="str">
        <f t="shared" si="21"/>
        <v>0</v>
      </c>
      <c r="F234" s="757"/>
      <c r="G234" s="56"/>
      <c r="H234" s="1530"/>
      <c r="I234" s="1531"/>
      <c r="J234" s="1531"/>
      <c r="K234" s="1531"/>
      <c r="L234" s="239"/>
      <c r="M234" s="240"/>
      <c r="N234" s="1531"/>
      <c r="O234" s="1531"/>
      <c r="P234" s="1535" t="str">
        <f t="shared" si="22"/>
        <v/>
      </c>
      <c r="Q234" s="1535"/>
      <c r="R234" s="42"/>
      <c r="S234" s="290"/>
      <c r="T234" s="337">
        <f t="shared" si="23"/>
        <v>0</v>
      </c>
    </row>
    <row r="235" spans="2:20" hidden="1">
      <c r="B235" s="761" t="s">
        <v>947</v>
      </c>
      <c r="C235" s="683" t="str">
        <f t="shared" si="19"/>
        <v>-</v>
      </c>
      <c r="D235" s="50" t="str">
        <f t="shared" si="21"/>
        <v>0</v>
      </c>
      <c r="E235" s="50" t="str">
        <f t="shared" si="21"/>
        <v>0</v>
      </c>
      <c r="F235" s="757"/>
      <c r="G235" s="56"/>
      <c r="H235" s="1530"/>
      <c r="I235" s="1531"/>
      <c r="J235" s="1531"/>
      <c r="K235" s="1531"/>
      <c r="L235" s="239"/>
      <c r="M235" s="240"/>
      <c r="N235" s="1531"/>
      <c r="O235" s="1531"/>
      <c r="P235" s="1535" t="str">
        <f t="shared" si="22"/>
        <v/>
      </c>
      <c r="Q235" s="1535"/>
      <c r="R235" s="42"/>
      <c r="S235" s="290"/>
      <c r="T235" s="337">
        <f t="shared" si="23"/>
        <v>0</v>
      </c>
    </row>
    <row r="236" spans="2:20" hidden="1">
      <c r="B236" s="761" t="s">
        <v>948</v>
      </c>
      <c r="C236" s="683" t="str">
        <f t="shared" si="19"/>
        <v>-</v>
      </c>
      <c r="D236" s="50" t="str">
        <f t="shared" si="21"/>
        <v>0</v>
      </c>
      <c r="E236" s="50" t="str">
        <f t="shared" si="21"/>
        <v>0</v>
      </c>
      <c r="F236" s="757"/>
      <c r="G236" s="56"/>
      <c r="H236" s="1530"/>
      <c r="I236" s="1531"/>
      <c r="J236" s="1531"/>
      <c r="K236" s="1531"/>
      <c r="L236" s="239"/>
      <c r="M236" s="240"/>
      <c r="N236" s="1531"/>
      <c r="O236" s="1531"/>
      <c r="P236" s="1535" t="str">
        <f t="shared" si="22"/>
        <v/>
      </c>
      <c r="Q236" s="1535"/>
      <c r="R236" s="42"/>
      <c r="S236" s="290"/>
      <c r="T236" s="337">
        <f t="shared" si="23"/>
        <v>0</v>
      </c>
    </row>
    <row r="237" spans="2:20" hidden="1">
      <c r="B237" s="761" t="s">
        <v>949</v>
      </c>
      <c r="C237" s="683" t="str">
        <f t="shared" si="19"/>
        <v>-</v>
      </c>
      <c r="D237" s="50" t="str">
        <f t="shared" si="21"/>
        <v>0</v>
      </c>
      <c r="E237" s="50" t="str">
        <f t="shared" si="21"/>
        <v>0</v>
      </c>
      <c r="F237" s="757"/>
      <c r="G237" s="56"/>
      <c r="H237" s="1530"/>
      <c r="I237" s="1531"/>
      <c r="J237" s="1531"/>
      <c r="K237" s="1531"/>
      <c r="L237" s="239"/>
      <c r="M237" s="240"/>
      <c r="N237" s="1531"/>
      <c r="O237" s="1531"/>
      <c r="P237" s="1535" t="str">
        <f t="shared" si="22"/>
        <v/>
      </c>
      <c r="Q237" s="1535"/>
      <c r="R237" s="42"/>
      <c r="S237" s="290"/>
      <c r="T237" s="337">
        <f t="shared" si="23"/>
        <v>0</v>
      </c>
    </row>
    <row r="238" spans="2:20" hidden="1">
      <c r="B238" s="761" t="s">
        <v>950</v>
      </c>
      <c r="C238" s="683" t="str">
        <f t="shared" si="19"/>
        <v>-</v>
      </c>
      <c r="D238" s="50" t="str">
        <f t="shared" si="21"/>
        <v>0</v>
      </c>
      <c r="E238" s="50" t="str">
        <f t="shared" si="21"/>
        <v>0</v>
      </c>
      <c r="F238" s="757"/>
      <c r="G238" s="56"/>
      <c r="H238" s="1530"/>
      <c r="I238" s="1531"/>
      <c r="J238" s="1531"/>
      <c r="K238" s="1531"/>
      <c r="L238" s="239"/>
      <c r="M238" s="240"/>
      <c r="N238" s="1531"/>
      <c r="O238" s="1531"/>
      <c r="P238" s="1535" t="str">
        <f t="shared" si="22"/>
        <v/>
      </c>
      <c r="Q238" s="1535"/>
      <c r="R238" s="42"/>
      <c r="S238" s="290"/>
      <c r="T238" s="337">
        <f t="shared" si="23"/>
        <v>0</v>
      </c>
    </row>
    <row r="239" spans="2:20" hidden="1">
      <c r="B239" s="761" t="s">
        <v>951</v>
      </c>
      <c r="C239" s="683" t="str">
        <f t="shared" si="19"/>
        <v>-</v>
      </c>
      <c r="D239" s="50" t="str">
        <f t="shared" si="21"/>
        <v>0</v>
      </c>
      <c r="E239" s="50" t="str">
        <f t="shared" si="21"/>
        <v>0</v>
      </c>
      <c r="F239" s="757"/>
      <c r="G239" s="56"/>
      <c r="H239" s="1530"/>
      <c r="I239" s="1531"/>
      <c r="J239" s="1531"/>
      <c r="K239" s="1531"/>
      <c r="L239" s="239"/>
      <c r="M239" s="240"/>
      <c r="N239" s="1531"/>
      <c r="O239" s="1531"/>
      <c r="P239" s="1535" t="str">
        <f t="shared" si="22"/>
        <v/>
      </c>
      <c r="Q239" s="1535"/>
      <c r="R239" s="42"/>
      <c r="S239" s="290"/>
      <c r="T239" s="337">
        <f t="shared" si="23"/>
        <v>0</v>
      </c>
    </row>
    <row r="240" spans="2:20" hidden="1">
      <c r="B240" s="761" t="s">
        <v>952</v>
      </c>
      <c r="C240" s="683" t="str">
        <f t="shared" si="19"/>
        <v>-</v>
      </c>
      <c r="D240" s="50" t="str">
        <f t="shared" si="21"/>
        <v>0</v>
      </c>
      <c r="E240" s="50" t="str">
        <f t="shared" si="21"/>
        <v>0</v>
      </c>
      <c r="F240" s="757"/>
      <c r="G240" s="56"/>
      <c r="H240" s="1530"/>
      <c r="I240" s="1531"/>
      <c r="J240" s="1531"/>
      <c r="K240" s="1531"/>
      <c r="L240" s="239"/>
      <c r="M240" s="240"/>
      <c r="N240" s="1531"/>
      <c r="O240" s="1531"/>
      <c r="P240" s="1535" t="str">
        <f t="shared" si="22"/>
        <v/>
      </c>
      <c r="Q240" s="1535"/>
      <c r="R240" s="42"/>
      <c r="S240" s="290"/>
      <c r="T240" s="337">
        <f t="shared" si="23"/>
        <v>0</v>
      </c>
    </row>
    <row r="241" spans="2:20" hidden="1">
      <c r="B241" s="761" t="s">
        <v>953</v>
      </c>
      <c r="C241" s="683" t="str">
        <f t="shared" si="19"/>
        <v>-</v>
      </c>
      <c r="D241" s="50" t="str">
        <f t="shared" si="21"/>
        <v>0</v>
      </c>
      <c r="E241" s="50" t="str">
        <f t="shared" si="21"/>
        <v>0</v>
      </c>
      <c r="F241" s="757"/>
      <c r="G241" s="56"/>
      <c r="H241" s="1530"/>
      <c r="I241" s="1531"/>
      <c r="J241" s="1531"/>
      <c r="K241" s="1531"/>
      <c r="L241" s="239"/>
      <c r="M241" s="240"/>
      <c r="N241" s="1531"/>
      <c r="O241" s="1531"/>
      <c r="P241" s="1535" t="str">
        <f t="shared" si="22"/>
        <v/>
      </c>
      <c r="Q241" s="1535"/>
      <c r="R241" s="42"/>
      <c r="S241" s="290"/>
      <c r="T241" s="337">
        <f t="shared" si="23"/>
        <v>0</v>
      </c>
    </row>
    <row r="242" spans="2:20" hidden="1">
      <c r="B242" s="761" t="s">
        <v>954</v>
      </c>
      <c r="C242" s="683" t="str">
        <f t="shared" si="19"/>
        <v>-</v>
      </c>
      <c r="D242" s="50" t="str">
        <f t="shared" si="21"/>
        <v>0</v>
      </c>
      <c r="E242" s="50" t="str">
        <f t="shared" si="21"/>
        <v>0</v>
      </c>
      <c r="F242" s="757"/>
      <c r="G242" s="56"/>
      <c r="H242" s="1530"/>
      <c r="I242" s="1531"/>
      <c r="J242" s="1531"/>
      <c r="K242" s="1531"/>
      <c r="L242" s="239"/>
      <c r="M242" s="240"/>
      <c r="N242" s="1531"/>
      <c r="O242" s="1531"/>
      <c r="P242" s="1535" t="str">
        <f t="shared" si="22"/>
        <v/>
      </c>
      <c r="Q242" s="1535"/>
      <c r="R242" s="42"/>
      <c r="S242" s="290"/>
      <c r="T242" s="337">
        <f t="shared" si="23"/>
        <v>0</v>
      </c>
    </row>
    <row r="243" spans="2:20" hidden="1">
      <c r="B243" s="761" t="s">
        <v>955</v>
      </c>
      <c r="C243" s="683" t="str">
        <f t="shared" si="19"/>
        <v>-</v>
      </c>
      <c r="D243" s="50" t="str">
        <f t="shared" si="21"/>
        <v>0</v>
      </c>
      <c r="E243" s="50" t="str">
        <f t="shared" si="21"/>
        <v>0</v>
      </c>
      <c r="F243" s="757"/>
      <c r="G243" s="56"/>
      <c r="H243" s="1530"/>
      <c r="I243" s="1531"/>
      <c r="J243" s="1531"/>
      <c r="K243" s="1531"/>
      <c r="L243" s="239"/>
      <c r="M243" s="240"/>
      <c r="N243" s="1531"/>
      <c r="O243" s="1531"/>
      <c r="P243" s="1535" t="str">
        <f t="shared" si="22"/>
        <v/>
      </c>
      <c r="Q243" s="1535"/>
      <c r="R243" s="42"/>
      <c r="S243" s="290"/>
      <c r="T243" s="337">
        <f t="shared" si="23"/>
        <v>0</v>
      </c>
    </row>
    <row r="244" spans="2:20" hidden="1">
      <c r="B244" s="761" t="s">
        <v>956</v>
      </c>
      <c r="C244" s="683" t="str">
        <f t="shared" si="19"/>
        <v>*</v>
      </c>
      <c r="D244" s="50" t="str">
        <f t="shared" ref="D244:E263" si="24">D204</f>
        <v>6</v>
      </c>
      <c r="E244" s="50" t="str">
        <f t="shared" si="24"/>
        <v>6</v>
      </c>
      <c r="F244" s="757"/>
      <c r="G244" s="56"/>
      <c r="H244" s="1530"/>
      <c r="I244" s="1531"/>
      <c r="J244" s="1531"/>
      <c r="K244" s="1531"/>
      <c r="L244" s="239"/>
      <c r="M244" s="240"/>
      <c r="N244" s="1531"/>
      <c r="O244" s="1531"/>
      <c r="P244" s="1535">
        <f t="shared" si="22"/>
        <v>-2.25</v>
      </c>
      <c r="Q244" s="1535"/>
      <c r="R244" s="42"/>
      <c r="S244" s="290"/>
      <c r="T244" s="337">
        <f t="shared" si="23"/>
        <v>1</v>
      </c>
    </row>
    <row r="245" spans="2:20" hidden="1">
      <c r="B245" s="761" t="s">
        <v>957</v>
      </c>
      <c r="C245" s="683" t="str">
        <f t="shared" si="19"/>
        <v>*</v>
      </c>
      <c r="D245" s="50" t="str">
        <f t="shared" si="24"/>
        <v>35</v>
      </c>
      <c r="E245" s="50" t="str">
        <f t="shared" si="24"/>
        <v>35</v>
      </c>
      <c r="F245" s="757"/>
      <c r="G245" s="56"/>
      <c r="H245" s="1530"/>
      <c r="I245" s="1531"/>
      <c r="J245" s="1531"/>
      <c r="K245" s="1531"/>
      <c r="L245" s="239"/>
      <c r="M245" s="240"/>
      <c r="N245" s="1531"/>
      <c r="O245" s="1531"/>
      <c r="P245" s="1535">
        <f t="shared" si="22"/>
        <v>-2.25</v>
      </c>
      <c r="Q245" s="1535"/>
      <c r="R245" s="42"/>
      <c r="S245" s="290"/>
      <c r="T245" s="337">
        <f t="shared" si="23"/>
        <v>1</v>
      </c>
    </row>
    <row r="246" spans="2:20" hidden="1">
      <c r="B246" s="761" t="s">
        <v>958</v>
      </c>
      <c r="C246" s="683" t="str">
        <f t="shared" si="19"/>
        <v>*</v>
      </c>
      <c r="D246" s="50" t="str">
        <f t="shared" si="24"/>
        <v>65</v>
      </c>
      <c r="E246" s="50" t="str">
        <f t="shared" si="24"/>
        <v>65</v>
      </c>
      <c r="F246" s="757"/>
      <c r="G246" s="56"/>
      <c r="H246" s="1530"/>
      <c r="I246" s="1531"/>
      <c r="J246" s="1531"/>
      <c r="K246" s="1531"/>
      <c r="L246" s="239"/>
      <c r="M246" s="240"/>
      <c r="N246" s="1531"/>
      <c r="O246" s="1531"/>
      <c r="P246" s="1535">
        <f t="shared" si="22"/>
        <v>-2.25</v>
      </c>
      <c r="Q246" s="1535"/>
      <c r="R246" s="42"/>
      <c r="S246" s="290"/>
      <c r="T246" s="337">
        <f t="shared" si="23"/>
        <v>1</v>
      </c>
    </row>
    <row r="247" spans="2:20" hidden="1">
      <c r="B247" s="761" t="s">
        <v>959</v>
      </c>
      <c r="C247" s="683" t="str">
        <f t="shared" si="19"/>
        <v>*</v>
      </c>
      <c r="D247" s="50" t="str">
        <f t="shared" si="24"/>
        <v>94</v>
      </c>
      <c r="E247" s="50" t="str">
        <f t="shared" si="24"/>
        <v>94</v>
      </c>
      <c r="F247" s="757"/>
      <c r="G247" s="56"/>
      <c r="H247" s="1530"/>
      <c r="I247" s="1531"/>
      <c r="J247" s="1531"/>
      <c r="K247" s="1531"/>
      <c r="L247" s="239"/>
      <c r="M247" s="240"/>
      <c r="N247" s="1531"/>
      <c r="O247" s="1531"/>
      <c r="P247" s="1535">
        <f t="shared" si="22"/>
        <v>-2.25</v>
      </c>
      <c r="Q247" s="1535"/>
      <c r="R247" s="42"/>
      <c r="S247" s="290"/>
      <c r="T247" s="337">
        <f t="shared" si="23"/>
        <v>1</v>
      </c>
    </row>
    <row r="248" spans="2:20" hidden="1">
      <c r="B248" s="761" t="s">
        <v>960</v>
      </c>
      <c r="C248" s="683" t="str">
        <f t="shared" si="19"/>
        <v>-</v>
      </c>
      <c r="D248" s="50" t="str">
        <f t="shared" si="24"/>
        <v>0</v>
      </c>
      <c r="E248" s="50" t="str">
        <f t="shared" si="24"/>
        <v>0</v>
      </c>
      <c r="F248" s="757"/>
      <c r="G248" s="56"/>
      <c r="H248" s="1530"/>
      <c r="I248" s="1531"/>
      <c r="J248" s="1531"/>
      <c r="K248" s="1531"/>
      <c r="L248" s="239"/>
      <c r="M248" s="240"/>
      <c r="N248" s="1531"/>
      <c r="O248" s="1531"/>
      <c r="P248" s="1535" t="str">
        <f t="shared" si="22"/>
        <v/>
      </c>
      <c r="Q248" s="1535"/>
      <c r="R248" s="42"/>
      <c r="S248" s="290"/>
      <c r="T248" s="337">
        <f t="shared" si="23"/>
        <v>0</v>
      </c>
    </row>
    <row r="249" spans="2:20" hidden="1">
      <c r="B249" s="761" t="s">
        <v>961</v>
      </c>
      <c r="C249" s="683" t="str">
        <f t="shared" si="19"/>
        <v>-</v>
      </c>
      <c r="D249" s="50" t="str">
        <f t="shared" si="24"/>
        <v>0</v>
      </c>
      <c r="E249" s="50" t="str">
        <f t="shared" si="24"/>
        <v>0</v>
      </c>
      <c r="F249" s="757"/>
      <c r="G249" s="56"/>
      <c r="H249" s="1530"/>
      <c r="I249" s="1531"/>
      <c r="J249" s="1531"/>
      <c r="K249" s="1531"/>
      <c r="L249" s="239"/>
      <c r="M249" s="240"/>
      <c r="N249" s="1531"/>
      <c r="O249" s="1531"/>
      <c r="P249" s="1535" t="str">
        <f t="shared" si="22"/>
        <v/>
      </c>
      <c r="Q249" s="1535"/>
      <c r="R249" s="42"/>
      <c r="S249" s="290"/>
      <c r="T249" s="337">
        <f t="shared" si="23"/>
        <v>0</v>
      </c>
    </row>
    <row r="250" spans="2:20" hidden="1">
      <c r="B250" s="761" t="s">
        <v>962</v>
      </c>
      <c r="C250" s="683" t="str">
        <f t="shared" si="19"/>
        <v>-</v>
      </c>
      <c r="D250" s="50" t="str">
        <f t="shared" si="24"/>
        <v>0</v>
      </c>
      <c r="E250" s="50" t="str">
        <f t="shared" si="24"/>
        <v>0</v>
      </c>
      <c r="F250" s="757"/>
      <c r="G250" s="56"/>
      <c r="H250" s="1530"/>
      <c r="I250" s="1531"/>
      <c r="J250" s="1531"/>
      <c r="K250" s="1531"/>
      <c r="L250" s="239"/>
      <c r="M250" s="240"/>
      <c r="N250" s="1531"/>
      <c r="O250" s="1531"/>
      <c r="P250" s="1535" t="str">
        <f t="shared" si="22"/>
        <v/>
      </c>
      <c r="Q250" s="1535"/>
      <c r="R250" s="42"/>
      <c r="S250" s="290"/>
      <c r="T250" s="337">
        <f t="shared" si="23"/>
        <v>0</v>
      </c>
    </row>
    <row r="251" spans="2:20" hidden="1">
      <c r="B251" s="761" t="s">
        <v>963</v>
      </c>
      <c r="C251" s="683" t="str">
        <f t="shared" si="19"/>
        <v>-</v>
      </c>
      <c r="D251" s="50" t="str">
        <f t="shared" si="24"/>
        <v>0</v>
      </c>
      <c r="E251" s="50" t="str">
        <f t="shared" si="24"/>
        <v>0</v>
      </c>
      <c r="F251" s="757"/>
      <c r="G251" s="56"/>
      <c r="H251" s="1530"/>
      <c r="I251" s="1531"/>
      <c r="J251" s="1531"/>
      <c r="K251" s="1531"/>
      <c r="L251" s="239"/>
      <c r="M251" s="240"/>
      <c r="N251" s="1531"/>
      <c r="O251" s="1531"/>
      <c r="P251" s="1535" t="str">
        <f t="shared" si="22"/>
        <v/>
      </c>
      <c r="Q251" s="1535"/>
      <c r="R251" s="42"/>
      <c r="S251" s="290"/>
      <c r="T251" s="337">
        <f t="shared" si="23"/>
        <v>0</v>
      </c>
    </row>
    <row r="252" spans="2:20" hidden="1">
      <c r="B252" s="761" t="s">
        <v>964</v>
      </c>
      <c r="C252" s="683" t="str">
        <f t="shared" si="19"/>
        <v>-</v>
      </c>
      <c r="D252" s="50" t="str">
        <f t="shared" si="24"/>
        <v>0</v>
      </c>
      <c r="E252" s="50" t="str">
        <f t="shared" si="24"/>
        <v>0</v>
      </c>
      <c r="F252" s="757"/>
      <c r="G252" s="56"/>
      <c r="H252" s="1530"/>
      <c r="I252" s="1531"/>
      <c r="J252" s="1531"/>
      <c r="K252" s="1531"/>
      <c r="L252" s="239"/>
      <c r="M252" s="240"/>
      <c r="N252" s="1531"/>
      <c r="O252" s="1531"/>
      <c r="P252" s="1535" t="str">
        <f t="shared" si="22"/>
        <v/>
      </c>
      <c r="Q252" s="1535"/>
      <c r="R252" s="42"/>
      <c r="S252" s="290"/>
      <c r="T252" s="337">
        <f t="shared" si="23"/>
        <v>0</v>
      </c>
    </row>
    <row r="253" spans="2:20" hidden="1">
      <c r="B253" s="761" t="s">
        <v>965</v>
      </c>
      <c r="C253" s="683" t="str">
        <f t="shared" si="19"/>
        <v>-</v>
      </c>
      <c r="D253" s="50" t="str">
        <f t="shared" si="24"/>
        <v>0</v>
      </c>
      <c r="E253" s="50" t="str">
        <f t="shared" si="24"/>
        <v>0</v>
      </c>
      <c r="F253" s="757"/>
      <c r="G253" s="56"/>
      <c r="H253" s="1530"/>
      <c r="I253" s="1531"/>
      <c r="J253" s="1531"/>
      <c r="K253" s="1531"/>
      <c r="L253" s="239"/>
      <c r="M253" s="240"/>
      <c r="N253" s="1531"/>
      <c r="O253" s="1531"/>
      <c r="P253" s="1535" t="str">
        <f t="shared" si="22"/>
        <v/>
      </c>
      <c r="Q253" s="1535"/>
      <c r="R253" s="42"/>
      <c r="S253" s="290"/>
      <c r="T253" s="337">
        <f t="shared" si="23"/>
        <v>0</v>
      </c>
    </row>
    <row r="254" spans="2:20" hidden="1">
      <c r="B254" s="761" t="s">
        <v>966</v>
      </c>
      <c r="C254" s="683" t="str">
        <f t="shared" si="19"/>
        <v>-</v>
      </c>
      <c r="D254" s="50" t="str">
        <f t="shared" si="24"/>
        <v>0</v>
      </c>
      <c r="E254" s="50" t="str">
        <f t="shared" si="24"/>
        <v>0</v>
      </c>
      <c r="F254" s="757"/>
      <c r="G254" s="56"/>
      <c r="H254" s="1530"/>
      <c r="I254" s="1531"/>
      <c r="J254" s="1531"/>
      <c r="K254" s="1531"/>
      <c r="L254" s="239"/>
      <c r="M254" s="240"/>
      <c r="N254" s="1531"/>
      <c r="O254" s="1531"/>
      <c r="P254" s="1535" t="str">
        <f t="shared" si="22"/>
        <v/>
      </c>
      <c r="Q254" s="1535"/>
      <c r="R254" s="42"/>
      <c r="S254" s="290"/>
      <c r="T254" s="337">
        <f t="shared" si="23"/>
        <v>0</v>
      </c>
    </row>
    <row r="255" spans="2:20" hidden="1">
      <c r="B255" s="761" t="s">
        <v>967</v>
      </c>
      <c r="C255" s="683" t="str">
        <f t="shared" si="19"/>
        <v>-</v>
      </c>
      <c r="D255" s="50" t="str">
        <f t="shared" si="24"/>
        <v>0</v>
      </c>
      <c r="E255" s="50" t="str">
        <f t="shared" si="24"/>
        <v>0</v>
      </c>
      <c r="F255" s="757"/>
      <c r="G255" s="56"/>
      <c r="H255" s="1530"/>
      <c r="I255" s="1531"/>
      <c r="J255" s="1531"/>
      <c r="K255" s="1531"/>
      <c r="L255" s="239"/>
      <c r="M255" s="240"/>
      <c r="N255" s="1531"/>
      <c r="O255" s="1531"/>
      <c r="P255" s="1535" t="str">
        <f t="shared" si="22"/>
        <v/>
      </c>
      <c r="Q255" s="1535"/>
      <c r="R255" s="42"/>
      <c r="S255" s="290"/>
      <c r="T255" s="337">
        <f t="shared" si="23"/>
        <v>0</v>
      </c>
    </row>
    <row r="256" spans="2:20" hidden="1">
      <c r="B256" s="761" t="s">
        <v>968</v>
      </c>
      <c r="C256" s="683" t="str">
        <f t="shared" si="19"/>
        <v>-</v>
      </c>
      <c r="D256" s="50" t="str">
        <f t="shared" si="24"/>
        <v>0</v>
      </c>
      <c r="E256" s="50" t="str">
        <f t="shared" si="24"/>
        <v>0</v>
      </c>
      <c r="F256" s="757"/>
      <c r="G256" s="56"/>
      <c r="H256" s="1530"/>
      <c r="I256" s="1531"/>
      <c r="J256" s="1531"/>
      <c r="K256" s="1531"/>
      <c r="L256" s="239"/>
      <c r="M256" s="240"/>
      <c r="N256" s="1531"/>
      <c r="O256" s="1531"/>
      <c r="P256" s="1535" t="str">
        <f t="shared" si="22"/>
        <v/>
      </c>
      <c r="Q256" s="1535"/>
      <c r="R256" s="42"/>
      <c r="S256" s="290"/>
      <c r="T256" s="337">
        <f t="shared" si="23"/>
        <v>0</v>
      </c>
    </row>
    <row r="257" spans="2:20" hidden="1">
      <c r="B257" s="761" t="s">
        <v>969</v>
      </c>
      <c r="C257" s="683" t="str">
        <f t="shared" si="19"/>
        <v>-</v>
      </c>
      <c r="D257" s="50" t="str">
        <f t="shared" si="24"/>
        <v>0</v>
      </c>
      <c r="E257" s="50" t="str">
        <f t="shared" si="24"/>
        <v>0</v>
      </c>
      <c r="F257" s="757"/>
      <c r="G257" s="56"/>
      <c r="H257" s="1530"/>
      <c r="I257" s="1531"/>
      <c r="J257" s="1531"/>
      <c r="K257" s="1531"/>
      <c r="L257" s="239"/>
      <c r="M257" s="240"/>
      <c r="N257" s="1531"/>
      <c r="O257" s="1531"/>
      <c r="P257" s="1535" t="str">
        <f t="shared" si="22"/>
        <v/>
      </c>
      <c r="Q257" s="1535"/>
      <c r="R257" s="42"/>
      <c r="S257" s="290"/>
      <c r="T257" s="337">
        <f t="shared" si="23"/>
        <v>0</v>
      </c>
    </row>
    <row r="258" spans="2:20" hidden="1">
      <c r="B258" s="761" t="s">
        <v>970</v>
      </c>
      <c r="C258" s="683" t="str">
        <f t="shared" si="19"/>
        <v>-</v>
      </c>
      <c r="D258" s="50" t="str">
        <f t="shared" si="24"/>
        <v>0</v>
      </c>
      <c r="E258" s="50" t="str">
        <f t="shared" si="24"/>
        <v>0</v>
      </c>
      <c r="F258" s="757"/>
      <c r="G258" s="56"/>
      <c r="H258" s="1530"/>
      <c r="I258" s="1531"/>
      <c r="J258" s="1531"/>
      <c r="K258" s="1531"/>
      <c r="L258" s="239"/>
      <c r="M258" s="240"/>
      <c r="N258" s="1531"/>
      <c r="O258" s="1531"/>
      <c r="P258" s="1535" t="str">
        <f t="shared" si="22"/>
        <v/>
      </c>
      <c r="Q258" s="1535"/>
      <c r="R258" s="42"/>
      <c r="S258" s="290"/>
      <c r="T258" s="337">
        <f t="shared" si="23"/>
        <v>0</v>
      </c>
    </row>
    <row r="259" spans="2:20" hidden="1">
      <c r="B259" s="761" t="s">
        <v>971</v>
      </c>
      <c r="C259" s="683" t="str">
        <f t="shared" si="19"/>
        <v>-</v>
      </c>
      <c r="D259" s="50" t="str">
        <f t="shared" si="24"/>
        <v>0</v>
      </c>
      <c r="E259" s="50" t="str">
        <f t="shared" si="24"/>
        <v>0</v>
      </c>
      <c r="F259" s="757"/>
      <c r="G259" s="56"/>
      <c r="H259" s="1530"/>
      <c r="I259" s="1531"/>
      <c r="J259" s="1531"/>
      <c r="K259" s="1531"/>
      <c r="L259" s="239"/>
      <c r="M259" s="240"/>
      <c r="N259" s="1531"/>
      <c r="O259" s="1531"/>
      <c r="P259" s="1535" t="str">
        <f t="shared" si="22"/>
        <v/>
      </c>
      <c r="Q259" s="1535"/>
      <c r="R259" s="42"/>
      <c r="S259" s="290"/>
      <c r="T259" s="337">
        <f t="shared" si="23"/>
        <v>0</v>
      </c>
    </row>
    <row r="260" spans="2:20" hidden="1">
      <c r="B260" s="761" t="s">
        <v>972</v>
      </c>
      <c r="C260" s="683" t="str">
        <f t="shared" si="19"/>
        <v>-</v>
      </c>
      <c r="D260" s="50" t="str">
        <f t="shared" si="24"/>
        <v>0</v>
      </c>
      <c r="E260" s="50" t="str">
        <f t="shared" si="24"/>
        <v>0</v>
      </c>
      <c r="F260" s="757"/>
      <c r="G260" s="56"/>
      <c r="H260" s="1530"/>
      <c r="I260" s="1531"/>
      <c r="J260" s="1531"/>
      <c r="K260" s="1531"/>
      <c r="L260" s="239"/>
      <c r="M260" s="240"/>
      <c r="N260" s="1531"/>
      <c r="O260" s="1531"/>
      <c r="P260" s="1535" t="str">
        <f t="shared" si="22"/>
        <v/>
      </c>
      <c r="Q260" s="1535"/>
      <c r="R260" s="42"/>
      <c r="S260" s="290"/>
      <c r="T260" s="337">
        <f t="shared" si="23"/>
        <v>0</v>
      </c>
    </row>
    <row r="261" spans="2:20" hidden="1">
      <c r="B261" s="761" t="s">
        <v>973</v>
      </c>
      <c r="C261" s="683" t="str">
        <f t="shared" si="19"/>
        <v>-</v>
      </c>
      <c r="D261" s="50" t="str">
        <f t="shared" si="24"/>
        <v>0</v>
      </c>
      <c r="E261" s="50" t="str">
        <f t="shared" si="24"/>
        <v>0</v>
      </c>
      <c r="F261" s="757"/>
      <c r="G261" s="56"/>
      <c r="H261" s="1530"/>
      <c r="I261" s="1531"/>
      <c r="J261" s="1531"/>
      <c r="K261" s="1531"/>
      <c r="L261" s="239"/>
      <c r="M261" s="240"/>
      <c r="N261" s="1531"/>
      <c r="O261" s="1531"/>
      <c r="P261" s="1535" t="str">
        <f t="shared" si="22"/>
        <v/>
      </c>
      <c r="Q261" s="1535"/>
      <c r="R261" s="42"/>
      <c r="S261" s="290"/>
      <c r="T261" s="337">
        <f t="shared" si="23"/>
        <v>0</v>
      </c>
    </row>
    <row r="262" spans="2:20" hidden="1">
      <c r="B262" s="761" t="s">
        <v>974</v>
      </c>
      <c r="C262" s="683" t="str">
        <f t="shared" si="19"/>
        <v>-</v>
      </c>
      <c r="D262" s="50" t="str">
        <f t="shared" si="24"/>
        <v>0</v>
      </c>
      <c r="E262" s="50" t="str">
        <f t="shared" si="24"/>
        <v>0</v>
      </c>
      <c r="F262" s="757"/>
      <c r="G262" s="56"/>
      <c r="H262" s="1530"/>
      <c r="I262" s="1531"/>
      <c r="J262" s="1531"/>
      <c r="K262" s="1531"/>
      <c r="L262" s="239"/>
      <c r="M262" s="240"/>
      <c r="N262" s="1531"/>
      <c r="O262" s="1531"/>
      <c r="P262" s="1535" t="str">
        <f t="shared" si="22"/>
        <v/>
      </c>
      <c r="Q262" s="1535"/>
      <c r="R262" s="42"/>
      <c r="S262" s="290"/>
      <c r="T262" s="337">
        <f t="shared" si="23"/>
        <v>0</v>
      </c>
    </row>
    <row r="263" spans="2:20" hidden="1">
      <c r="B263" s="761" t="s">
        <v>975</v>
      </c>
      <c r="C263" s="683" t="str">
        <f t="shared" si="19"/>
        <v>-</v>
      </c>
      <c r="D263" s="50" t="str">
        <f t="shared" si="24"/>
        <v>0</v>
      </c>
      <c r="E263" s="50" t="str">
        <f t="shared" si="24"/>
        <v>0</v>
      </c>
      <c r="F263" s="757"/>
      <c r="G263" s="56"/>
      <c r="H263" s="1530"/>
      <c r="I263" s="1531"/>
      <c r="J263" s="1531"/>
      <c r="K263" s="1531"/>
      <c r="L263" s="239"/>
      <c r="M263" s="240"/>
      <c r="N263" s="1531"/>
      <c r="O263" s="1531"/>
      <c r="P263" s="1535" t="str">
        <f t="shared" si="22"/>
        <v/>
      </c>
      <c r="Q263" s="1535"/>
      <c r="R263" s="42"/>
      <c r="S263" s="290"/>
      <c r="T263" s="337">
        <f t="shared" si="23"/>
        <v>0</v>
      </c>
    </row>
    <row r="264" spans="2:20" hidden="1">
      <c r="B264" s="55" t="s">
        <v>367</v>
      </c>
      <c r="C264" s="683" t="str">
        <f t="shared" si="19"/>
        <v>*</v>
      </c>
      <c r="D264" s="50">
        <f t="shared" ref="D264:E266" si="25">D140</f>
        <v>0</v>
      </c>
      <c r="E264" s="53">
        <f t="shared" si="25"/>
        <v>20</v>
      </c>
      <c r="F264" s="757"/>
      <c r="G264" s="56"/>
      <c r="H264" s="1530"/>
      <c r="I264" s="1531"/>
      <c r="J264" s="1531"/>
      <c r="K264" s="1531"/>
      <c r="L264" s="1529"/>
      <c r="M264" s="1529"/>
      <c r="N264" s="1529">
        <f>N140</f>
        <v>-5.8572533333333325</v>
      </c>
      <c r="O264" s="1529"/>
      <c r="P264" s="1529"/>
      <c r="Q264" s="1529"/>
      <c r="R264" s="42"/>
      <c r="S264" s="290"/>
      <c r="T264" s="337">
        <f t="shared" si="17"/>
        <v>1</v>
      </c>
    </row>
    <row r="265" spans="2:20" hidden="1">
      <c r="B265" s="55" t="s">
        <v>368</v>
      </c>
      <c r="C265" s="683" t="str">
        <f t="shared" si="19"/>
        <v>*</v>
      </c>
      <c r="D265" s="54">
        <f t="shared" si="25"/>
        <v>4</v>
      </c>
      <c r="E265" s="51">
        <f t="shared" si="25"/>
        <v>4</v>
      </c>
      <c r="F265" s="757"/>
      <c r="G265" s="56"/>
      <c r="H265" s="1530"/>
      <c r="I265" s="1531"/>
      <c r="J265" s="1531"/>
      <c r="K265" s="1531"/>
      <c r="L265" s="1529"/>
      <c r="M265" s="1529"/>
      <c r="N265" s="1529">
        <f>-'Live Load'!F33</f>
        <v>-21.28</v>
      </c>
      <c r="O265" s="1529"/>
      <c r="P265" s="1529"/>
      <c r="Q265" s="1529"/>
      <c r="R265" s="42"/>
      <c r="S265" s="290"/>
      <c r="T265" s="337">
        <f t="shared" si="17"/>
        <v>1</v>
      </c>
    </row>
    <row r="266" spans="2:20" hidden="1">
      <c r="B266" s="55" t="s">
        <v>368</v>
      </c>
      <c r="C266" s="683" t="str">
        <f t="shared" si="19"/>
        <v>*</v>
      </c>
      <c r="D266" s="50">
        <f t="shared" si="25"/>
        <v>16</v>
      </c>
      <c r="E266" s="51">
        <f t="shared" si="25"/>
        <v>16</v>
      </c>
      <c r="F266" s="757"/>
      <c r="G266" s="56"/>
      <c r="H266" s="1530"/>
      <c r="I266" s="1531"/>
      <c r="J266" s="1531"/>
      <c r="K266" s="1531"/>
      <c r="L266" s="1529"/>
      <c r="M266" s="1529"/>
      <c r="N266" s="1529">
        <f>-'Live Load'!F33</f>
        <v>-21.28</v>
      </c>
      <c r="O266" s="1529"/>
      <c r="P266" s="1529"/>
      <c r="Q266" s="1529"/>
      <c r="R266" s="42"/>
      <c r="S266" s="290"/>
      <c r="T266" s="337">
        <f t="shared" si="17"/>
        <v>1</v>
      </c>
    </row>
    <row r="267" spans="2:20" hidden="1">
      <c r="B267" s="55" t="s">
        <v>374</v>
      </c>
      <c r="C267" s="290"/>
      <c r="D267" s="290"/>
      <c r="E267" s="290"/>
      <c r="F267" s="290"/>
      <c r="G267" s="42"/>
      <c r="H267" s="290"/>
      <c r="I267" s="290"/>
      <c r="J267" s="290"/>
      <c r="K267" s="290"/>
      <c r="L267" s="290"/>
      <c r="M267" s="290"/>
      <c r="N267" s="290"/>
      <c r="O267" s="290"/>
      <c r="P267" s="290"/>
      <c r="Q267" s="290"/>
      <c r="R267" s="290"/>
      <c r="S267" s="290"/>
    </row>
    <row r="268" spans="2:20" ht="3.75" hidden="1" customHeight="1">
      <c r="B268" s="290"/>
      <c r="C268" s="290"/>
      <c r="D268" s="290"/>
      <c r="E268" s="290"/>
      <c r="F268" s="290"/>
      <c r="G268" s="290"/>
      <c r="H268" s="290"/>
      <c r="I268" s="290"/>
      <c r="J268" s="290"/>
      <c r="K268" s="290"/>
      <c r="L268" s="290"/>
      <c r="M268" s="290"/>
      <c r="N268" s="290"/>
      <c r="O268" s="290"/>
      <c r="P268" s="290"/>
      <c r="Q268" s="290"/>
      <c r="R268" s="290"/>
      <c r="S268" s="290"/>
    </row>
    <row r="269" spans="2:20" ht="3.75" hidden="1" customHeight="1">
      <c r="B269" s="290"/>
      <c r="C269" s="290"/>
      <c r="D269" s="290"/>
      <c r="E269" s="290"/>
      <c r="F269" s="290"/>
      <c r="G269" s="290"/>
      <c r="H269" s="290"/>
      <c r="I269" s="290"/>
      <c r="J269" s="290"/>
      <c r="K269" s="290"/>
      <c r="L269" s="290"/>
      <c r="M269" s="290"/>
      <c r="N269" s="290"/>
      <c r="O269" s="290"/>
      <c r="P269" s="290"/>
      <c r="Q269" s="290"/>
      <c r="R269" s="290"/>
      <c r="S269" s="290"/>
    </row>
    <row r="270" spans="2:20" ht="3.75" hidden="1" customHeight="1">
      <c r="B270" s="290"/>
      <c r="C270" s="290"/>
      <c r="D270" s="290"/>
      <c r="E270" s="290"/>
      <c r="F270" s="290"/>
      <c r="G270" s="290"/>
      <c r="H270" s="290"/>
      <c r="I270" s="290"/>
      <c r="J270" s="290"/>
      <c r="K270" s="290"/>
      <c r="L270" s="290"/>
      <c r="M270" s="290"/>
      <c r="N270" s="290"/>
      <c r="O270" s="290"/>
      <c r="P270" s="290"/>
      <c r="Q270" s="290"/>
      <c r="R270" s="290"/>
      <c r="S270" s="290"/>
    </row>
    <row r="271" spans="2:20" hidden="1">
      <c r="B271" s="396" t="s">
        <v>369</v>
      </c>
      <c r="C271" s="396" t="s">
        <v>369</v>
      </c>
    </row>
    <row r="272" spans="2:20" ht="4.5" customHeight="1"/>
    <row r="273" ht="4.5" customHeight="1"/>
    <row r="274" ht="4.5" customHeight="1"/>
  </sheetData>
  <sheetProtection algorithmName="SHA-512" hashValue="uDeGkp4150/w74WdE8yOyxgtldSNGnhxBD7rroDtMeHS7N8tR8C+ZZaUMF16RFpUxkvgn63njpRtWAd53EKujg==" saltValue="ULEEjXrpKm0IpnPW1hcVbQ==" spinCount="100000" sheet="1" objects="1" scenarios="1"/>
  <mergeCells count="867">
    <mergeCell ref="P248:Q248"/>
    <mergeCell ref="P249:Q249"/>
    <mergeCell ref="P250:Q250"/>
    <mergeCell ref="P251:Q251"/>
    <mergeCell ref="P252:Q252"/>
    <mergeCell ref="P253:Q253"/>
    <mergeCell ref="P242:Q242"/>
    <mergeCell ref="P243:Q243"/>
    <mergeCell ref="P244:Q244"/>
    <mergeCell ref="P245:Q245"/>
    <mergeCell ref="P246:Q246"/>
    <mergeCell ref="P247:Q247"/>
    <mergeCell ref="P264:Q264"/>
    <mergeCell ref="P265:Q265"/>
    <mergeCell ref="P266:Q266"/>
    <mergeCell ref="P260:Q260"/>
    <mergeCell ref="P261:Q261"/>
    <mergeCell ref="P262:Q262"/>
    <mergeCell ref="P263:Q263"/>
    <mergeCell ref="P254:Q254"/>
    <mergeCell ref="P255:Q255"/>
    <mergeCell ref="P256:Q256"/>
    <mergeCell ref="P257:Q257"/>
    <mergeCell ref="P258:Q258"/>
    <mergeCell ref="P259:Q259"/>
    <mergeCell ref="P236:Q236"/>
    <mergeCell ref="P237:Q237"/>
    <mergeCell ref="P238:Q238"/>
    <mergeCell ref="P239:Q239"/>
    <mergeCell ref="P240:Q240"/>
    <mergeCell ref="P241:Q241"/>
    <mergeCell ref="P230:Q230"/>
    <mergeCell ref="P231:Q231"/>
    <mergeCell ref="P232:Q232"/>
    <mergeCell ref="P233:Q233"/>
    <mergeCell ref="P234:Q234"/>
    <mergeCell ref="P235:Q235"/>
    <mergeCell ref="P224:Q224"/>
    <mergeCell ref="P225:Q225"/>
    <mergeCell ref="P226:Q226"/>
    <mergeCell ref="P227:Q227"/>
    <mergeCell ref="P228:Q228"/>
    <mergeCell ref="P229:Q229"/>
    <mergeCell ref="P218:Q218"/>
    <mergeCell ref="P219:Q219"/>
    <mergeCell ref="P220:Q220"/>
    <mergeCell ref="P221:Q221"/>
    <mergeCell ref="P222:Q222"/>
    <mergeCell ref="P223:Q223"/>
    <mergeCell ref="P213:Q213"/>
    <mergeCell ref="P214:Q214"/>
    <mergeCell ref="P215:Q215"/>
    <mergeCell ref="P216:Q216"/>
    <mergeCell ref="P217:Q217"/>
    <mergeCell ref="P206:Q206"/>
    <mergeCell ref="P207:Q207"/>
    <mergeCell ref="P208:Q208"/>
    <mergeCell ref="P209:Q209"/>
    <mergeCell ref="P210:Q210"/>
    <mergeCell ref="P211:Q211"/>
    <mergeCell ref="P203:Q203"/>
    <mergeCell ref="P204:Q204"/>
    <mergeCell ref="P205:Q205"/>
    <mergeCell ref="P195:Q195"/>
    <mergeCell ref="P196:Q196"/>
    <mergeCell ref="P197:Q197"/>
    <mergeCell ref="P198:Q198"/>
    <mergeCell ref="P199:Q199"/>
    <mergeCell ref="P212:Q212"/>
    <mergeCell ref="P190:Q190"/>
    <mergeCell ref="P191:Q191"/>
    <mergeCell ref="P192:Q192"/>
    <mergeCell ref="P193:Q193"/>
    <mergeCell ref="N261:O261"/>
    <mergeCell ref="N262:O262"/>
    <mergeCell ref="N263:O263"/>
    <mergeCell ref="N257:O257"/>
    <mergeCell ref="N258:O258"/>
    <mergeCell ref="N259:O259"/>
    <mergeCell ref="N240:O240"/>
    <mergeCell ref="N241:O241"/>
    <mergeCell ref="N260:O260"/>
    <mergeCell ref="N232:O232"/>
    <mergeCell ref="N233:O233"/>
    <mergeCell ref="N234:O234"/>
    <mergeCell ref="N235:O235"/>
    <mergeCell ref="N226:O226"/>
    <mergeCell ref="N227:O227"/>
    <mergeCell ref="N228:O228"/>
    <mergeCell ref="N229:O229"/>
    <mergeCell ref="P200:Q200"/>
    <mergeCell ref="P201:Q201"/>
    <mergeCell ref="P202:Q202"/>
    <mergeCell ref="P182:Q182"/>
    <mergeCell ref="P183:Q183"/>
    <mergeCell ref="P181:Q181"/>
    <mergeCell ref="P184:Q184"/>
    <mergeCell ref="N254:O254"/>
    <mergeCell ref="N255:O255"/>
    <mergeCell ref="N256:O256"/>
    <mergeCell ref="N248:O248"/>
    <mergeCell ref="N249:O249"/>
    <mergeCell ref="N250:O250"/>
    <mergeCell ref="N251:O251"/>
    <mergeCell ref="N252:O252"/>
    <mergeCell ref="N253:O253"/>
    <mergeCell ref="N242:O242"/>
    <mergeCell ref="N243:O243"/>
    <mergeCell ref="P194:Q194"/>
    <mergeCell ref="N246:O246"/>
    <mergeCell ref="N247:O247"/>
    <mergeCell ref="N236:O236"/>
    <mergeCell ref="N237:O237"/>
    <mergeCell ref="N238:O238"/>
    <mergeCell ref="N239:O239"/>
    <mergeCell ref="P188:Q188"/>
    <mergeCell ref="P189:Q189"/>
    <mergeCell ref="H262:I262"/>
    <mergeCell ref="J262:K262"/>
    <mergeCell ref="H263:I263"/>
    <mergeCell ref="J263:K263"/>
    <mergeCell ref="H261:I261"/>
    <mergeCell ref="J261:K261"/>
    <mergeCell ref="H251:I251"/>
    <mergeCell ref="J251:K251"/>
    <mergeCell ref="H252:I252"/>
    <mergeCell ref="J252:K252"/>
    <mergeCell ref="H259:I259"/>
    <mergeCell ref="J259:K259"/>
    <mergeCell ref="H260:I260"/>
    <mergeCell ref="J260:K260"/>
    <mergeCell ref="H256:I256"/>
    <mergeCell ref="J256:K256"/>
    <mergeCell ref="H257:I257"/>
    <mergeCell ref="J257:K257"/>
    <mergeCell ref="H258:I258"/>
    <mergeCell ref="J258:K258"/>
    <mergeCell ref="H253:I253"/>
    <mergeCell ref="J253:K253"/>
    <mergeCell ref="H254:I254"/>
    <mergeCell ref="J254:K254"/>
    <mergeCell ref="H247:I247"/>
    <mergeCell ref="J247:K247"/>
    <mergeCell ref="H248:I248"/>
    <mergeCell ref="J248:K248"/>
    <mergeCell ref="H249:I249"/>
    <mergeCell ref="J249:K249"/>
    <mergeCell ref="H244:I244"/>
    <mergeCell ref="J244:K244"/>
    <mergeCell ref="N244:O244"/>
    <mergeCell ref="N245:O245"/>
    <mergeCell ref="H255:I255"/>
    <mergeCell ref="J255:K255"/>
    <mergeCell ref="H250:I250"/>
    <mergeCell ref="J250:K250"/>
    <mergeCell ref="N230:O230"/>
    <mergeCell ref="N231:O231"/>
    <mergeCell ref="H245:I245"/>
    <mergeCell ref="J245:K245"/>
    <mergeCell ref="H246:I246"/>
    <mergeCell ref="J246:K246"/>
    <mergeCell ref="H241:I241"/>
    <mergeCell ref="J241:K241"/>
    <mergeCell ref="H242:I242"/>
    <mergeCell ref="J242:K242"/>
    <mergeCell ref="H243:I243"/>
    <mergeCell ref="J243:K243"/>
    <mergeCell ref="H238:I238"/>
    <mergeCell ref="J238:K238"/>
    <mergeCell ref="H239:I239"/>
    <mergeCell ref="J239:K239"/>
    <mergeCell ref="H240:I240"/>
    <mergeCell ref="J240:K240"/>
    <mergeCell ref="H235:I235"/>
    <mergeCell ref="J235:K235"/>
    <mergeCell ref="H236:I236"/>
    <mergeCell ref="J236:K236"/>
    <mergeCell ref="H237:I237"/>
    <mergeCell ref="J237:K237"/>
    <mergeCell ref="H232:I232"/>
    <mergeCell ref="J232:K232"/>
    <mergeCell ref="H233:I233"/>
    <mergeCell ref="J233:K233"/>
    <mergeCell ref="H234:I234"/>
    <mergeCell ref="J234:K234"/>
    <mergeCell ref="H229:I229"/>
    <mergeCell ref="J229:K229"/>
    <mergeCell ref="H230:I230"/>
    <mergeCell ref="J230:K230"/>
    <mergeCell ref="H231:I231"/>
    <mergeCell ref="J231:K231"/>
    <mergeCell ref="N139:O139"/>
    <mergeCell ref="P139:Q139"/>
    <mergeCell ref="J226:K226"/>
    <mergeCell ref="H227:I227"/>
    <mergeCell ref="J227:K227"/>
    <mergeCell ref="H228:I228"/>
    <mergeCell ref="J228:K228"/>
    <mergeCell ref="P185:Q185"/>
    <mergeCell ref="P186:Q186"/>
    <mergeCell ref="P187:Q187"/>
    <mergeCell ref="H139:I139"/>
    <mergeCell ref="J139:K139"/>
    <mergeCell ref="L142:M142"/>
    <mergeCell ref="N142:O142"/>
    <mergeCell ref="H141:I141"/>
    <mergeCell ref="J141:K141"/>
    <mergeCell ref="L141:M141"/>
    <mergeCell ref="N141:O141"/>
    <mergeCell ref="N180:O180"/>
    <mergeCell ref="H179:I179"/>
    <mergeCell ref="J179:K179"/>
    <mergeCell ref="L179:M179"/>
    <mergeCell ref="N179:O179"/>
    <mergeCell ref="P179:Q179"/>
    <mergeCell ref="P180:Q180"/>
    <mergeCell ref="Q152:R152"/>
    <mergeCell ref="Q153:R153"/>
    <mergeCell ref="E155:I155"/>
    <mergeCell ref="H178:I178"/>
    <mergeCell ref="J178:K178"/>
    <mergeCell ref="L178:M178"/>
    <mergeCell ref="H177:Q177"/>
    <mergeCell ref="P178:Q178"/>
    <mergeCell ref="N178:O178"/>
    <mergeCell ref="H180:I180"/>
    <mergeCell ref="J180:K180"/>
    <mergeCell ref="L180:M180"/>
    <mergeCell ref="N136:O136"/>
    <mergeCell ref="P136:Q136"/>
    <mergeCell ref="N137:O137"/>
    <mergeCell ref="P137:Q137"/>
    <mergeCell ref="N138:O138"/>
    <mergeCell ref="P138:Q138"/>
    <mergeCell ref="H137:I137"/>
    <mergeCell ref="J137:K137"/>
    <mergeCell ref="H138:I138"/>
    <mergeCell ref="J138:K138"/>
    <mergeCell ref="N133:O133"/>
    <mergeCell ref="P133:Q133"/>
    <mergeCell ref="N134:O134"/>
    <mergeCell ref="P134:Q134"/>
    <mergeCell ref="N135:O135"/>
    <mergeCell ref="P135:Q135"/>
    <mergeCell ref="N130:O130"/>
    <mergeCell ref="P130:Q130"/>
    <mergeCell ref="N131:O131"/>
    <mergeCell ref="P131:Q131"/>
    <mergeCell ref="N132:O132"/>
    <mergeCell ref="P132:Q132"/>
    <mergeCell ref="N127:O127"/>
    <mergeCell ref="P127:Q127"/>
    <mergeCell ref="N128:O128"/>
    <mergeCell ref="P128:Q128"/>
    <mergeCell ref="N129:O129"/>
    <mergeCell ref="P129:Q129"/>
    <mergeCell ref="N124:O124"/>
    <mergeCell ref="P124:Q124"/>
    <mergeCell ref="N125:O125"/>
    <mergeCell ref="P125:Q125"/>
    <mergeCell ref="N126:O126"/>
    <mergeCell ref="P126:Q126"/>
    <mergeCell ref="N121:O121"/>
    <mergeCell ref="P121:Q121"/>
    <mergeCell ref="N122:O122"/>
    <mergeCell ref="P122:Q122"/>
    <mergeCell ref="N123:O123"/>
    <mergeCell ref="P123:Q123"/>
    <mergeCell ref="N118:O118"/>
    <mergeCell ref="P118:Q118"/>
    <mergeCell ref="N119:O119"/>
    <mergeCell ref="P119:Q119"/>
    <mergeCell ref="N120:O120"/>
    <mergeCell ref="P120:Q120"/>
    <mergeCell ref="N115:O115"/>
    <mergeCell ref="P115:Q115"/>
    <mergeCell ref="N116:O116"/>
    <mergeCell ref="P116:Q116"/>
    <mergeCell ref="N117:O117"/>
    <mergeCell ref="P117:Q117"/>
    <mergeCell ref="N112:O112"/>
    <mergeCell ref="P112:Q112"/>
    <mergeCell ref="N113:O113"/>
    <mergeCell ref="P113:Q113"/>
    <mergeCell ref="N114:O114"/>
    <mergeCell ref="P114:Q114"/>
    <mergeCell ref="N109:O109"/>
    <mergeCell ref="P109:Q109"/>
    <mergeCell ref="N110:O110"/>
    <mergeCell ref="P110:Q110"/>
    <mergeCell ref="N111:O111"/>
    <mergeCell ref="P111:Q111"/>
    <mergeCell ref="N106:O106"/>
    <mergeCell ref="P106:Q106"/>
    <mergeCell ref="N107:O107"/>
    <mergeCell ref="P107:Q107"/>
    <mergeCell ref="N108:O108"/>
    <mergeCell ref="P108:Q108"/>
    <mergeCell ref="N103:O103"/>
    <mergeCell ref="P103:Q103"/>
    <mergeCell ref="N104:O104"/>
    <mergeCell ref="P104:Q104"/>
    <mergeCell ref="N105:O105"/>
    <mergeCell ref="P105:Q105"/>
    <mergeCell ref="N100:O100"/>
    <mergeCell ref="P100:Q100"/>
    <mergeCell ref="N101:O101"/>
    <mergeCell ref="P101:Q101"/>
    <mergeCell ref="N102:O102"/>
    <mergeCell ref="P102:Q102"/>
    <mergeCell ref="H134:I134"/>
    <mergeCell ref="J134:K134"/>
    <mergeCell ref="H135:I135"/>
    <mergeCell ref="J135:K135"/>
    <mergeCell ref="H136:I136"/>
    <mergeCell ref="J136:K136"/>
    <mergeCell ref="H131:I131"/>
    <mergeCell ref="J131:K131"/>
    <mergeCell ref="H132:I132"/>
    <mergeCell ref="J132:K132"/>
    <mergeCell ref="H133:I133"/>
    <mergeCell ref="J133:K133"/>
    <mergeCell ref="H128:I128"/>
    <mergeCell ref="J128:K128"/>
    <mergeCell ref="H129:I129"/>
    <mergeCell ref="J129:K129"/>
    <mergeCell ref="H130:I130"/>
    <mergeCell ref="J130:K130"/>
    <mergeCell ref="H125:I125"/>
    <mergeCell ref="J125:K125"/>
    <mergeCell ref="H126:I126"/>
    <mergeCell ref="J126:K126"/>
    <mergeCell ref="H127:I127"/>
    <mergeCell ref="J127:K127"/>
    <mergeCell ref="H122:I122"/>
    <mergeCell ref="J122:K122"/>
    <mergeCell ref="H123:I123"/>
    <mergeCell ref="J123:K123"/>
    <mergeCell ref="H124:I124"/>
    <mergeCell ref="J124:K124"/>
    <mergeCell ref="H119:I119"/>
    <mergeCell ref="J119:K119"/>
    <mergeCell ref="H120:I120"/>
    <mergeCell ref="J120:K120"/>
    <mergeCell ref="H121:I121"/>
    <mergeCell ref="J121:K121"/>
    <mergeCell ref="H116:I116"/>
    <mergeCell ref="J116:K116"/>
    <mergeCell ref="H117:I117"/>
    <mergeCell ref="J117:K117"/>
    <mergeCell ref="H118:I118"/>
    <mergeCell ref="J118:K118"/>
    <mergeCell ref="H113:I113"/>
    <mergeCell ref="J113:K113"/>
    <mergeCell ref="H114:I114"/>
    <mergeCell ref="J114:K114"/>
    <mergeCell ref="H115:I115"/>
    <mergeCell ref="J115:K115"/>
    <mergeCell ref="H111:I111"/>
    <mergeCell ref="J111:K111"/>
    <mergeCell ref="H112:I112"/>
    <mergeCell ref="J112:K112"/>
    <mergeCell ref="H107:I107"/>
    <mergeCell ref="J107:K107"/>
    <mergeCell ref="H108:I108"/>
    <mergeCell ref="J108:K108"/>
    <mergeCell ref="H109:I109"/>
    <mergeCell ref="J109:K109"/>
    <mergeCell ref="P97:Q97"/>
    <mergeCell ref="P98:Q98"/>
    <mergeCell ref="P99:Q99"/>
    <mergeCell ref="P140:Q140"/>
    <mergeCell ref="P141:Q141"/>
    <mergeCell ref="P142:Q142"/>
    <mergeCell ref="P91:Q91"/>
    <mergeCell ref="P92:Q92"/>
    <mergeCell ref="P93:Q93"/>
    <mergeCell ref="P94:Q94"/>
    <mergeCell ref="P95:Q95"/>
    <mergeCell ref="P96:Q96"/>
    <mergeCell ref="P85:Q85"/>
    <mergeCell ref="P86:Q86"/>
    <mergeCell ref="P87:Q87"/>
    <mergeCell ref="P88:Q88"/>
    <mergeCell ref="P89:Q89"/>
    <mergeCell ref="P90:Q90"/>
    <mergeCell ref="P79:Q79"/>
    <mergeCell ref="P80:Q80"/>
    <mergeCell ref="P81:Q81"/>
    <mergeCell ref="P82:Q82"/>
    <mergeCell ref="P83:Q83"/>
    <mergeCell ref="P84:Q84"/>
    <mergeCell ref="P73:Q73"/>
    <mergeCell ref="P74:Q74"/>
    <mergeCell ref="P75:Q75"/>
    <mergeCell ref="P76:Q76"/>
    <mergeCell ref="P77:Q77"/>
    <mergeCell ref="P78:Q78"/>
    <mergeCell ref="P67:Q67"/>
    <mergeCell ref="P68:Q68"/>
    <mergeCell ref="P69:Q69"/>
    <mergeCell ref="P70:Q70"/>
    <mergeCell ref="P71:Q71"/>
    <mergeCell ref="P72:Q72"/>
    <mergeCell ref="P61:Q61"/>
    <mergeCell ref="P62:Q62"/>
    <mergeCell ref="P63:Q63"/>
    <mergeCell ref="P64:Q64"/>
    <mergeCell ref="P65:Q65"/>
    <mergeCell ref="P66:Q66"/>
    <mergeCell ref="P55:Q55"/>
    <mergeCell ref="P56:Q56"/>
    <mergeCell ref="P58:Q58"/>
    <mergeCell ref="P59:Q59"/>
    <mergeCell ref="P57:Q57"/>
    <mergeCell ref="P60:Q60"/>
    <mergeCell ref="P54:Q54"/>
    <mergeCell ref="N54:O54"/>
    <mergeCell ref="G28:H28"/>
    <mergeCell ref="J54:K54"/>
    <mergeCell ref="G29:H29"/>
    <mergeCell ref="E31:I31"/>
    <mergeCell ref="D28:E28"/>
    <mergeCell ref="D29:E29"/>
    <mergeCell ref="H53:Q53"/>
    <mergeCell ref="G27:H27"/>
    <mergeCell ref="O23:R23"/>
    <mergeCell ref="O10:P10"/>
    <mergeCell ref="J11:K11"/>
    <mergeCell ref="J10:K10"/>
    <mergeCell ref="I23:I24"/>
    <mergeCell ref="K23:K24"/>
    <mergeCell ref="M23:M24"/>
    <mergeCell ref="D13:R13"/>
    <mergeCell ref="D27:E27"/>
    <mergeCell ref="Q20:R20"/>
    <mergeCell ref="M18:M19"/>
    <mergeCell ref="Q24:R24"/>
    <mergeCell ref="Q25:R25"/>
    <mergeCell ref="O25:P25"/>
    <mergeCell ref="E25:F25"/>
    <mergeCell ref="E23:F24"/>
    <mergeCell ref="H22:K22"/>
    <mergeCell ref="J23:J24"/>
    <mergeCell ref="O24:P24"/>
    <mergeCell ref="H23:H24"/>
    <mergeCell ref="H55:I55"/>
    <mergeCell ref="H54:I54"/>
    <mergeCell ref="N55:O55"/>
    <mergeCell ref="J55:K55"/>
    <mergeCell ref="L54:M54"/>
    <mergeCell ref="L55:M55"/>
    <mergeCell ref="U2:V2"/>
    <mergeCell ref="Q2:R2"/>
    <mergeCell ref="O2:P2"/>
    <mergeCell ref="Q19:R19"/>
    <mergeCell ref="M17:O17"/>
    <mergeCell ref="B8:O8"/>
    <mergeCell ref="Q8:S8"/>
    <mergeCell ref="I17:K17"/>
    <mergeCell ref="I18:K18"/>
    <mergeCell ref="E9:F9"/>
    <mergeCell ref="H15:R15"/>
    <mergeCell ref="E11:F11"/>
    <mergeCell ref="E10:F10"/>
    <mergeCell ref="O11:P11"/>
    <mergeCell ref="D17:G17"/>
    <mergeCell ref="D18:D19"/>
    <mergeCell ref="E18:G18"/>
    <mergeCell ref="J27:N27"/>
    <mergeCell ref="N59:O59"/>
    <mergeCell ref="L58:M58"/>
    <mergeCell ref="N58:O58"/>
    <mergeCell ref="L56:M56"/>
    <mergeCell ref="N56:O56"/>
    <mergeCell ref="L57:M57"/>
    <mergeCell ref="N57:O57"/>
    <mergeCell ref="H59:I59"/>
    <mergeCell ref="J59:K59"/>
    <mergeCell ref="L59:M59"/>
    <mergeCell ref="H58:I58"/>
    <mergeCell ref="J58:K58"/>
    <mergeCell ref="H56:I56"/>
    <mergeCell ref="J56:K56"/>
    <mergeCell ref="H57:I57"/>
    <mergeCell ref="J57:K57"/>
    <mergeCell ref="H60:I60"/>
    <mergeCell ref="J60:K60"/>
    <mergeCell ref="L60:M60"/>
    <mergeCell ref="N79:O79"/>
    <mergeCell ref="N60:O60"/>
    <mergeCell ref="J140:K140"/>
    <mergeCell ref="L140:M140"/>
    <mergeCell ref="N140:O140"/>
    <mergeCell ref="N80:O80"/>
    <mergeCell ref="N81:O81"/>
    <mergeCell ref="N95:O95"/>
    <mergeCell ref="L97:M97"/>
    <mergeCell ref="N99:O99"/>
    <mergeCell ref="H140:I140"/>
    <mergeCell ref="H81:I81"/>
    <mergeCell ref="J81:K81"/>
    <mergeCell ref="L81:M81"/>
    <mergeCell ref="H79:I79"/>
    <mergeCell ref="J79:K79"/>
    <mergeCell ref="L79:M79"/>
    <mergeCell ref="J103:K103"/>
    <mergeCell ref="H100:I100"/>
    <mergeCell ref="H80:I80"/>
    <mergeCell ref="J80:K80"/>
    <mergeCell ref="L80:M80"/>
    <mergeCell ref="H142:I142"/>
    <mergeCell ref="J142:K142"/>
    <mergeCell ref="H74:I74"/>
    <mergeCell ref="J74:K74"/>
    <mergeCell ref="L74:M74"/>
    <mergeCell ref="N74:O74"/>
    <mergeCell ref="H73:I73"/>
    <mergeCell ref="J73:K73"/>
    <mergeCell ref="L73:M73"/>
    <mergeCell ref="N73:O73"/>
    <mergeCell ref="H76:I76"/>
    <mergeCell ref="J76:K76"/>
    <mergeCell ref="L76:M76"/>
    <mergeCell ref="N76:O76"/>
    <mergeCell ref="H75:I75"/>
    <mergeCell ref="J75:K75"/>
    <mergeCell ref="L75:M75"/>
    <mergeCell ref="N75:O75"/>
    <mergeCell ref="H78:I78"/>
    <mergeCell ref="J78:K78"/>
    <mergeCell ref="L78:M78"/>
    <mergeCell ref="N78:O78"/>
    <mergeCell ref="H77:I77"/>
    <mergeCell ref="J77:K77"/>
    <mergeCell ref="L77:M77"/>
    <mergeCell ref="N77:O77"/>
    <mergeCell ref="H62:I62"/>
    <mergeCell ref="J62:K62"/>
    <mergeCell ref="L62:M62"/>
    <mergeCell ref="N62:O62"/>
    <mergeCell ref="H61:I61"/>
    <mergeCell ref="J61:K61"/>
    <mergeCell ref="L61:M61"/>
    <mergeCell ref="N61:O61"/>
    <mergeCell ref="H64:I64"/>
    <mergeCell ref="J64:K64"/>
    <mergeCell ref="L64:M64"/>
    <mergeCell ref="N64:O64"/>
    <mergeCell ref="H63:I63"/>
    <mergeCell ref="J63:K63"/>
    <mergeCell ref="L63:M63"/>
    <mergeCell ref="N63:O63"/>
    <mergeCell ref="H66:I66"/>
    <mergeCell ref="J66:K66"/>
    <mergeCell ref="L66:M66"/>
    <mergeCell ref="N66:O66"/>
    <mergeCell ref="H65:I65"/>
    <mergeCell ref="J65:K65"/>
    <mergeCell ref="L65:M65"/>
    <mergeCell ref="N65:O65"/>
    <mergeCell ref="H68:I68"/>
    <mergeCell ref="J68:K68"/>
    <mergeCell ref="L68:M68"/>
    <mergeCell ref="N68:O68"/>
    <mergeCell ref="H67:I67"/>
    <mergeCell ref="J67:K67"/>
    <mergeCell ref="L67:M67"/>
    <mergeCell ref="N67:O67"/>
    <mergeCell ref="H70:I70"/>
    <mergeCell ref="J70:K70"/>
    <mergeCell ref="L70:M70"/>
    <mergeCell ref="N70:O70"/>
    <mergeCell ref="H69:I69"/>
    <mergeCell ref="J69:K69"/>
    <mergeCell ref="L69:M69"/>
    <mergeCell ref="N69:O69"/>
    <mergeCell ref="H72:I72"/>
    <mergeCell ref="J72:K72"/>
    <mergeCell ref="L72:M72"/>
    <mergeCell ref="N72:O72"/>
    <mergeCell ref="H71:I71"/>
    <mergeCell ref="J71:K71"/>
    <mergeCell ref="L71:M71"/>
    <mergeCell ref="N71:O71"/>
    <mergeCell ref="H83:I83"/>
    <mergeCell ref="J83:K83"/>
    <mergeCell ref="L83:M83"/>
    <mergeCell ref="N83:O83"/>
    <mergeCell ref="H82:I82"/>
    <mergeCell ref="J82:K82"/>
    <mergeCell ref="L82:M82"/>
    <mergeCell ref="N82:O82"/>
    <mergeCell ref="H85:I85"/>
    <mergeCell ref="J85:K85"/>
    <mergeCell ref="L85:M85"/>
    <mergeCell ref="N85:O85"/>
    <mergeCell ref="H84:I84"/>
    <mergeCell ref="J84:K84"/>
    <mergeCell ref="L84:M84"/>
    <mergeCell ref="N84:O84"/>
    <mergeCell ref="H87:I87"/>
    <mergeCell ref="J87:K87"/>
    <mergeCell ref="L87:M87"/>
    <mergeCell ref="N87:O87"/>
    <mergeCell ref="H86:I86"/>
    <mergeCell ref="J86:K86"/>
    <mergeCell ref="L86:M86"/>
    <mergeCell ref="N86:O86"/>
    <mergeCell ref="H89:I89"/>
    <mergeCell ref="J89:K89"/>
    <mergeCell ref="L89:M89"/>
    <mergeCell ref="N89:O89"/>
    <mergeCell ref="H88:I88"/>
    <mergeCell ref="J88:K88"/>
    <mergeCell ref="L88:M88"/>
    <mergeCell ref="N88:O88"/>
    <mergeCell ref="H91:I91"/>
    <mergeCell ref="J91:K91"/>
    <mergeCell ref="L91:M91"/>
    <mergeCell ref="N91:O91"/>
    <mergeCell ref="H90:I90"/>
    <mergeCell ref="J90:K90"/>
    <mergeCell ref="L90:M90"/>
    <mergeCell ref="N90:O90"/>
    <mergeCell ref="H93:I93"/>
    <mergeCell ref="J93:K93"/>
    <mergeCell ref="L93:M93"/>
    <mergeCell ref="N93:O93"/>
    <mergeCell ref="H92:I92"/>
    <mergeCell ref="J92:K92"/>
    <mergeCell ref="L92:M92"/>
    <mergeCell ref="N92:O92"/>
    <mergeCell ref="L96:M96"/>
    <mergeCell ref="N96:O96"/>
    <mergeCell ref="H97:I97"/>
    <mergeCell ref="J97:K97"/>
    <mergeCell ref="H94:I94"/>
    <mergeCell ref="J94:K94"/>
    <mergeCell ref="L94:M94"/>
    <mergeCell ref="N94:O94"/>
    <mergeCell ref="H98:I98"/>
    <mergeCell ref="J98:K98"/>
    <mergeCell ref="L98:M98"/>
    <mergeCell ref="N98:O98"/>
    <mergeCell ref="H95:I95"/>
    <mergeCell ref="J95:K95"/>
    <mergeCell ref="L95:M95"/>
    <mergeCell ref="N97:O97"/>
    <mergeCell ref="H96:I96"/>
    <mergeCell ref="J96:K96"/>
    <mergeCell ref="H99:I99"/>
    <mergeCell ref="J99:K99"/>
    <mergeCell ref="L99:M99"/>
    <mergeCell ref="E151:G151"/>
    <mergeCell ref="I151:K151"/>
    <mergeCell ref="M151:M152"/>
    <mergeCell ref="H148:R148"/>
    <mergeCell ref="D150:G150"/>
    <mergeCell ref="I150:K150"/>
    <mergeCell ref="M150:O150"/>
    <mergeCell ref="H104:I104"/>
    <mergeCell ref="J104:K104"/>
    <mergeCell ref="H105:I105"/>
    <mergeCell ref="J105:K105"/>
    <mergeCell ref="H106:I106"/>
    <mergeCell ref="J106:K106"/>
    <mergeCell ref="J100:K100"/>
    <mergeCell ref="H101:I101"/>
    <mergeCell ref="J101:K101"/>
    <mergeCell ref="H102:I102"/>
    <mergeCell ref="J102:K102"/>
    <mergeCell ref="H103:I103"/>
    <mergeCell ref="H110:I110"/>
    <mergeCell ref="J110:K110"/>
    <mergeCell ref="L181:M181"/>
    <mergeCell ref="N181:O181"/>
    <mergeCell ref="H184:I184"/>
    <mergeCell ref="J184:K184"/>
    <mergeCell ref="L184:M184"/>
    <mergeCell ref="N184:O184"/>
    <mergeCell ref="H183:I183"/>
    <mergeCell ref="J183:K183"/>
    <mergeCell ref="L183:M183"/>
    <mergeCell ref="N183:O183"/>
    <mergeCell ref="H182:I182"/>
    <mergeCell ref="J182:K182"/>
    <mergeCell ref="L182:M182"/>
    <mergeCell ref="N182:O182"/>
    <mergeCell ref="H181:I181"/>
    <mergeCell ref="J181:K181"/>
    <mergeCell ref="H186:I186"/>
    <mergeCell ref="J186:K186"/>
    <mergeCell ref="L186:M186"/>
    <mergeCell ref="N186:O186"/>
    <mergeCell ref="H185:I185"/>
    <mergeCell ref="J185:K185"/>
    <mergeCell ref="L185:M185"/>
    <mergeCell ref="N185:O185"/>
    <mergeCell ref="H188:I188"/>
    <mergeCell ref="J188:K188"/>
    <mergeCell ref="L188:M188"/>
    <mergeCell ref="N188:O188"/>
    <mergeCell ref="H187:I187"/>
    <mergeCell ref="J187:K187"/>
    <mergeCell ref="L187:M187"/>
    <mergeCell ref="N187:O187"/>
    <mergeCell ref="H190:I190"/>
    <mergeCell ref="J190:K190"/>
    <mergeCell ref="L190:M190"/>
    <mergeCell ref="N190:O190"/>
    <mergeCell ref="H189:I189"/>
    <mergeCell ref="J189:K189"/>
    <mergeCell ref="L189:M189"/>
    <mergeCell ref="N189:O189"/>
    <mergeCell ref="H192:I192"/>
    <mergeCell ref="J192:K192"/>
    <mergeCell ref="L192:M192"/>
    <mergeCell ref="N192:O192"/>
    <mergeCell ref="H191:I191"/>
    <mergeCell ref="J191:K191"/>
    <mergeCell ref="L191:M191"/>
    <mergeCell ref="N191:O191"/>
    <mergeCell ref="H194:I194"/>
    <mergeCell ref="J194:K194"/>
    <mergeCell ref="L194:M194"/>
    <mergeCell ref="N194:O194"/>
    <mergeCell ref="H193:I193"/>
    <mergeCell ref="J193:K193"/>
    <mergeCell ref="L193:M193"/>
    <mergeCell ref="N193:O193"/>
    <mergeCell ref="H196:I196"/>
    <mergeCell ref="J196:K196"/>
    <mergeCell ref="L196:M196"/>
    <mergeCell ref="N196:O196"/>
    <mergeCell ref="H195:I195"/>
    <mergeCell ref="J195:K195"/>
    <mergeCell ref="L195:M195"/>
    <mergeCell ref="N195:O195"/>
    <mergeCell ref="H198:I198"/>
    <mergeCell ref="J198:K198"/>
    <mergeCell ref="L198:M198"/>
    <mergeCell ref="N198:O198"/>
    <mergeCell ref="H197:I197"/>
    <mergeCell ref="J197:K197"/>
    <mergeCell ref="L197:M197"/>
    <mergeCell ref="N197:O197"/>
    <mergeCell ref="H200:I200"/>
    <mergeCell ref="J200:K200"/>
    <mergeCell ref="L200:M200"/>
    <mergeCell ref="N200:O200"/>
    <mergeCell ref="H199:I199"/>
    <mergeCell ref="J199:K199"/>
    <mergeCell ref="L199:M199"/>
    <mergeCell ref="N199:O199"/>
    <mergeCell ref="H202:I202"/>
    <mergeCell ref="J202:K202"/>
    <mergeCell ref="L202:M202"/>
    <mergeCell ref="N202:O202"/>
    <mergeCell ref="H201:I201"/>
    <mergeCell ref="J201:K201"/>
    <mergeCell ref="L201:M201"/>
    <mergeCell ref="N201:O201"/>
    <mergeCell ref="H204:I204"/>
    <mergeCell ref="J204:K204"/>
    <mergeCell ref="L204:M204"/>
    <mergeCell ref="N204:O204"/>
    <mergeCell ref="H203:I203"/>
    <mergeCell ref="J203:K203"/>
    <mergeCell ref="L203:M203"/>
    <mergeCell ref="N203:O203"/>
    <mergeCell ref="H206:I206"/>
    <mergeCell ref="J206:K206"/>
    <mergeCell ref="L206:M206"/>
    <mergeCell ref="N206:O206"/>
    <mergeCell ref="H205:I205"/>
    <mergeCell ref="J205:K205"/>
    <mergeCell ref="L205:M205"/>
    <mergeCell ref="N205:O205"/>
    <mergeCell ref="H208:I208"/>
    <mergeCell ref="J208:K208"/>
    <mergeCell ref="L208:M208"/>
    <mergeCell ref="N208:O208"/>
    <mergeCell ref="H207:I207"/>
    <mergeCell ref="J207:K207"/>
    <mergeCell ref="L207:M207"/>
    <mergeCell ref="N207:O207"/>
    <mergeCell ref="H210:I210"/>
    <mergeCell ref="J210:K210"/>
    <mergeCell ref="L210:M210"/>
    <mergeCell ref="N210:O210"/>
    <mergeCell ref="H209:I209"/>
    <mergeCell ref="J209:K209"/>
    <mergeCell ref="L209:M209"/>
    <mergeCell ref="N209:O209"/>
    <mergeCell ref="H212:I212"/>
    <mergeCell ref="J212:K212"/>
    <mergeCell ref="L212:M212"/>
    <mergeCell ref="N212:O212"/>
    <mergeCell ref="H211:I211"/>
    <mergeCell ref="J211:K211"/>
    <mergeCell ref="L211:M211"/>
    <mergeCell ref="N211:O211"/>
    <mergeCell ref="H214:I214"/>
    <mergeCell ref="J214:K214"/>
    <mergeCell ref="L214:M214"/>
    <mergeCell ref="N214:O214"/>
    <mergeCell ref="H213:I213"/>
    <mergeCell ref="J213:K213"/>
    <mergeCell ref="L213:M213"/>
    <mergeCell ref="N213:O213"/>
    <mergeCell ref="H225:I225"/>
    <mergeCell ref="J225:K225"/>
    <mergeCell ref="H216:I216"/>
    <mergeCell ref="J216:K216"/>
    <mergeCell ref="L216:M216"/>
    <mergeCell ref="N216:O216"/>
    <mergeCell ref="H215:I215"/>
    <mergeCell ref="J215:K215"/>
    <mergeCell ref="L215:M215"/>
    <mergeCell ref="N215:O215"/>
    <mergeCell ref="H218:I218"/>
    <mergeCell ref="J218:K218"/>
    <mergeCell ref="L218:M218"/>
    <mergeCell ref="N218:O218"/>
    <mergeCell ref="H217:I217"/>
    <mergeCell ref="J217:K217"/>
    <mergeCell ref="L217:M217"/>
    <mergeCell ref="N217:O217"/>
    <mergeCell ref="N224:O224"/>
    <mergeCell ref="N225:O225"/>
    <mergeCell ref="L223:M223"/>
    <mergeCell ref="N223:O223"/>
    <mergeCell ref="H224:I224"/>
    <mergeCell ref="J224:K224"/>
    <mergeCell ref="H220:I220"/>
    <mergeCell ref="J220:K220"/>
    <mergeCell ref="L220:M220"/>
    <mergeCell ref="N220:O220"/>
    <mergeCell ref="H219:I219"/>
    <mergeCell ref="J219:K219"/>
    <mergeCell ref="L219:M219"/>
    <mergeCell ref="N219:O219"/>
    <mergeCell ref="N266:O266"/>
    <mergeCell ref="H265:I265"/>
    <mergeCell ref="J265:K265"/>
    <mergeCell ref="L265:M265"/>
    <mergeCell ref="N265:O265"/>
    <mergeCell ref="N264:O264"/>
    <mergeCell ref="A19:A25"/>
    <mergeCell ref="H266:I266"/>
    <mergeCell ref="J266:K266"/>
    <mergeCell ref="L266:M266"/>
    <mergeCell ref="H264:I264"/>
    <mergeCell ref="J264:K264"/>
    <mergeCell ref="L264:M264"/>
    <mergeCell ref="H222:I222"/>
    <mergeCell ref="J222:K222"/>
    <mergeCell ref="L222:M222"/>
    <mergeCell ref="H226:I226"/>
    <mergeCell ref="N222:O222"/>
    <mergeCell ref="H221:I221"/>
    <mergeCell ref="J221:K221"/>
    <mergeCell ref="L221:M221"/>
    <mergeCell ref="N221:O221"/>
    <mergeCell ref="H223:I223"/>
    <mergeCell ref="J223:K223"/>
  </mergeCells>
  <phoneticPr fontId="0" type="noConversion"/>
  <dataValidations xWindow="1094" yWindow="389" count="16">
    <dataValidation type="list" allowBlank="1" showInputMessage="1" showErrorMessage="1" sqref="E22" xr:uid="{00000000-0002-0000-0700-000000000000}">
      <formula1>".25,.5,1"</formula1>
    </dataValidation>
    <dataValidation type="whole" allowBlank="1" showInputMessage="1" showErrorMessage="1" promptTitle="Lane Loads" prompt="A maximum of 5 lanes may be loaded simultaneously." sqref="G29:H29" xr:uid="{00000000-0002-0000-0700-000001000000}">
      <formula1>1</formula1>
      <formula2>5</formula2>
    </dataValidation>
    <dataValidation type="textLength" allowBlank="1" showInputMessage="1" showErrorMessage="1" errorTitle="Maximum Characters" error="The maximum number of characters in the field is 10" sqref="E9" xr:uid="{00000000-0002-0000-0700-000002000000}">
      <formula1>1</formula1>
      <formula2>10</formula2>
    </dataValidation>
    <dataValidation allowBlank="1" showInputMessage="1" showErrorMessage="1" promptTitle="Plot Options" prompt="1 for working stress_x000a_2 for load factor_x000a_3 for both" sqref="N20 N153" xr:uid="{00000000-0002-0000-0700-000003000000}"/>
    <dataValidation type="whole" operator="equal" allowBlank="1" showInputMessage="1" showErrorMessage="1" promptTitle="Envelopes Option" prompt="A &quot;1&quot; here will clear values created by the random lane load prior to multiple lane loadings." sqref="M20 M153" xr:uid="{00000000-0002-0000-0700-000004000000}">
      <formula1>1</formula1>
    </dataValidation>
    <dataValidation type="textLength" allowBlank="1" showInputMessage="1" showErrorMessage="1" sqref="D15 D148" xr:uid="{00000000-0002-0000-0700-000005000000}">
      <formula1>1</formula1>
      <formula2>5</formula2>
    </dataValidation>
    <dataValidation type="list" allowBlank="1" showDropDown="1" showInputMessage="1" showErrorMessage="1" errorTitle="Unit Code" error="The System Unit Code Must be E (for English)_x000a_(Other languages are not allowed)" sqref="F15 F148" xr:uid="{00000000-0002-0000-0700-000006000000}">
      <formula1>"E"</formula1>
    </dataValidation>
    <dataValidation type="textLength" allowBlank="1" showInputMessage="1" showErrorMessage="1" sqref="H15:R15 H148:R148" xr:uid="{00000000-0002-0000-0700-000007000000}">
      <formula1>1</formula1>
      <formula2>70</formula2>
    </dataValidation>
    <dataValidation type="textLength" allowBlank="1" showInputMessage="1" showErrorMessage="1" sqref="O11:P11" xr:uid="{00000000-0002-0000-0700-000008000000}">
      <formula1>1</formula1>
      <formula2>12</formula2>
    </dataValidation>
    <dataValidation type="textLength" allowBlank="1" showInputMessage="1" showErrorMessage="1" sqref="J11:K11" xr:uid="{00000000-0002-0000-0700-000009000000}">
      <formula1>1</formula1>
      <formula2>11</formula2>
    </dataValidation>
    <dataValidation type="textLength" allowBlank="1" showInputMessage="1" showErrorMessage="1" sqref="H11" xr:uid="{00000000-0002-0000-0700-00000A000000}">
      <formula1>1</formula1>
      <formula2>6</formula2>
    </dataValidation>
    <dataValidation type="textLength" allowBlank="1" showInputMessage="1" showErrorMessage="1" sqref="E11:F11" xr:uid="{00000000-0002-0000-0700-00000B000000}">
      <formula1>1</formula1>
      <formula2>13</formula2>
    </dataValidation>
    <dataValidation type="textLength" allowBlank="1" showInputMessage="1" showErrorMessage="1" sqref="D153:G153 I153:J153" xr:uid="{00000000-0002-0000-0700-00000C000000}">
      <formula1>1</formula1>
      <formula2>1</formula2>
    </dataValidation>
    <dataValidation type="list" allowBlank="1" showDropDown="1" showInputMessage="1" showErrorMessage="1" errorTitle="Hang up and please try again." error="You can only eliminate the Multi-Lane Loading Summary." promptTitle="Print eliminate options:" prompt="&quot;-1&quot; for Dead Load_x000a_&quot;-2&quot; for Multi-Lane Loading Summary_x000a_&quot;-3&quot; for both" sqref="O153" xr:uid="{00000000-0002-0000-0700-00000D000000}">
      <formula1>"-2"</formula1>
    </dataValidation>
    <dataValidation type="list" allowBlank="1" showDropDown="1" showInputMessage="1" showErrorMessage="1" errorTitle="Hang up and please try again." error="You can only eliminate the Multi-Lane Loading Summary." promptTitle="Print eliminate options:" prompt="None of these may be used here_x000a_&quot;-1&quot; for Dead Load_x000a_&quot;-2&quot; for Multi-Lane Loading Summary_x000a_&quot;-3&quot; for both" sqref="O20" xr:uid="{00000000-0002-0000-0700-00000E000000}">
      <formula1>"-2"</formula1>
    </dataValidation>
    <dataValidation allowBlank="1" showInputMessage="1" showErrorMessage="1" prompt="This is linked to the designer's initials on the cover sheet." sqref="M11" xr:uid="{00000000-0002-0000-0700-00000F000000}"/>
  </dataValidations>
  <pageMargins left="0.75" right="0.375" top="0.25" bottom="0.25" header="0.75" footer="0.25"/>
  <pageSetup orientation="landscape" blackAndWhite="1" r:id="rId1"/>
  <headerFooter alignWithMargins="0">
    <oddHeader>&amp;L&amp;6
&amp;Z&amp;F&amp;R&amp;P                                &amp;N</oddHeader>
    <oddFooter xml:space="preserve">&amp;L&amp;D   &amp;T&amp;C&amp;8Rev. 8.0
</oddFooter>
  </headerFooter>
  <rowBreaks count="1" manualBreakCount="1">
    <brk id="47" min="1"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5166" r:id="rId4" name="Button 46">
              <controlPr defaultSize="0" print="0" autoFill="0" autoPict="0" macro="[0]!CAP18Input">
                <anchor>
                  <from>
                    <xdr:col>0</xdr:col>
                    <xdr:colOff>228600</xdr:colOff>
                    <xdr:row>7</xdr:row>
                    <xdr:rowOff>180975</xdr:rowOff>
                  </from>
                  <to>
                    <xdr:col>0</xdr:col>
                    <xdr:colOff>1447800</xdr:colOff>
                    <xdr:row>10</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tabColor indexed="47"/>
  </sheetPr>
  <dimension ref="A1:BX1288"/>
  <sheetViews>
    <sheetView showGridLines="0" view="pageBreakPreview" topLeftCell="A10" zoomScale="115" zoomScaleNormal="90" zoomScaleSheetLayoutView="115" workbookViewId="0"/>
  </sheetViews>
  <sheetFormatPr defaultRowHeight="12.75"/>
  <cols>
    <col min="1" max="1" width="20" style="337" customWidth="1"/>
    <col min="2" max="2" width="4.7109375" style="337" customWidth="1"/>
    <col min="3" max="4" width="8.7109375" style="64" customWidth="1"/>
    <col min="5" max="7" width="8.7109375" style="65" customWidth="1"/>
    <col min="8" max="8" width="8.5703125" style="65" customWidth="1"/>
    <col min="9" max="9" width="10.7109375" style="65" customWidth="1"/>
    <col min="10" max="10" width="8.7109375" style="65" customWidth="1"/>
    <col min="11" max="11" width="8.5703125" style="65" customWidth="1"/>
    <col min="12" max="12" width="7.42578125" style="65" customWidth="1"/>
    <col min="13" max="13" width="8.42578125" style="290" customWidth="1"/>
    <col min="14" max="17" width="9.140625" style="337"/>
    <col min="18" max="52" width="9.140625" style="338"/>
    <col min="53" max="76" width="9.140625" style="337"/>
  </cols>
  <sheetData>
    <row r="1" spans="1:76" s="60" customFormat="1">
      <c r="A1" s="355"/>
      <c r="B1" s="355"/>
      <c r="C1" s="63"/>
      <c r="D1" s="63"/>
      <c r="E1" s="62"/>
      <c r="F1" s="62"/>
      <c r="G1" s="62"/>
      <c r="H1" s="62"/>
      <c r="I1" s="62"/>
      <c r="J1" s="62"/>
      <c r="K1" s="62"/>
      <c r="L1" s="62"/>
      <c r="N1" s="396" t="s">
        <v>395</v>
      </c>
      <c r="O1" s="396"/>
      <c r="P1" s="396"/>
      <c r="Q1" s="396"/>
      <c r="R1" s="484"/>
      <c r="S1" s="484"/>
      <c r="T1" s="484"/>
      <c r="U1" s="484"/>
      <c r="V1" s="484"/>
      <c r="W1" s="484"/>
      <c r="X1" s="484"/>
      <c r="Y1" s="484"/>
      <c r="Z1" s="484"/>
      <c r="AA1" s="484"/>
      <c r="AB1" s="484"/>
      <c r="AC1" s="484"/>
      <c r="AD1" s="484"/>
      <c r="AE1" s="484"/>
      <c r="AF1" s="349"/>
      <c r="AG1" s="349"/>
      <c r="AH1" s="349"/>
      <c r="AI1" s="349"/>
      <c r="AJ1" s="349"/>
      <c r="AK1" s="349"/>
      <c r="AL1" s="349"/>
      <c r="AM1" s="349"/>
      <c r="AN1" s="484"/>
      <c r="AO1" s="484"/>
      <c r="AP1" s="484"/>
      <c r="AQ1" s="484"/>
      <c r="AR1" s="484"/>
      <c r="AS1" s="484"/>
      <c r="AT1" s="484"/>
      <c r="AU1" s="484"/>
      <c r="AV1" s="484"/>
      <c r="AW1" s="484"/>
      <c r="AX1" s="484"/>
      <c r="AY1" s="484"/>
      <c r="AZ1" s="484"/>
      <c r="BA1" s="396"/>
      <c r="BB1" s="396"/>
      <c r="BC1" s="396"/>
      <c r="BD1" s="396"/>
      <c r="BE1" s="396"/>
      <c r="BF1" s="396"/>
      <c r="BG1" s="396"/>
      <c r="BH1" s="396"/>
      <c r="BI1" s="396"/>
      <c r="BJ1" s="396"/>
      <c r="BK1" s="396"/>
      <c r="BL1" s="396"/>
      <c r="BM1" s="396"/>
      <c r="BN1" s="396"/>
      <c r="BO1" s="396"/>
      <c r="BP1" s="396"/>
      <c r="BQ1" s="396"/>
      <c r="BR1" s="396"/>
      <c r="BS1" s="396"/>
      <c r="BT1" s="396"/>
      <c r="BU1" s="396"/>
      <c r="BV1" s="396"/>
      <c r="BW1" s="396"/>
      <c r="BX1" s="396"/>
    </row>
    <row r="2" spans="1:76" s="60" customFormat="1">
      <c r="A2" s="355"/>
      <c r="B2" s="355"/>
      <c r="C2" s="63"/>
      <c r="D2" s="63"/>
      <c r="E2" s="62"/>
      <c r="F2" s="62"/>
      <c r="G2" s="62"/>
      <c r="H2" s="62"/>
      <c r="I2" s="62"/>
      <c r="J2" s="62"/>
      <c r="K2" s="62"/>
      <c r="L2" s="62"/>
      <c r="N2" s="396"/>
      <c r="O2" s="583"/>
      <c r="P2" s="583"/>
      <c r="Q2" s="1582"/>
      <c r="R2" s="1582"/>
      <c r="S2" s="1581"/>
      <c r="T2" s="1581"/>
      <c r="U2" s="1581"/>
      <c r="V2" s="1581"/>
      <c r="W2" s="484"/>
      <c r="X2" s="484"/>
      <c r="Y2" s="484"/>
      <c r="Z2" s="484"/>
      <c r="AA2" s="484"/>
      <c r="AB2" s="484"/>
      <c r="AC2" s="484"/>
      <c r="AD2" s="484"/>
      <c r="AE2" s="484"/>
      <c r="AF2" s="349"/>
      <c r="AG2" s="349"/>
      <c r="AH2" s="349"/>
      <c r="AI2" s="349"/>
      <c r="AJ2" s="349"/>
      <c r="AK2" s="349"/>
      <c r="AL2" s="349"/>
      <c r="AM2" s="349"/>
      <c r="AN2" s="484"/>
      <c r="AO2" s="484"/>
      <c r="AP2" s="484"/>
      <c r="AQ2" s="484"/>
      <c r="AR2" s="484"/>
      <c r="AS2" s="484"/>
      <c r="AT2" s="484"/>
      <c r="AU2" s="484"/>
      <c r="AV2" s="484"/>
      <c r="AW2" s="484"/>
      <c r="AX2" s="484"/>
      <c r="AY2" s="484"/>
      <c r="AZ2" s="484"/>
      <c r="BA2" s="396"/>
      <c r="BB2" s="396"/>
      <c r="BC2" s="396"/>
      <c r="BD2" s="396"/>
      <c r="BE2" s="396"/>
      <c r="BF2" s="396"/>
      <c r="BG2" s="396"/>
      <c r="BH2" s="396"/>
      <c r="BI2" s="396"/>
      <c r="BJ2" s="396"/>
      <c r="BK2" s="396"/>
      <c r="BL2" s="396"/>
      <c r="BM2" s="396"/>
      <c r="BN2" s="396"/>
      <c r="BO2" s="396"/>
      <c r="BP2" s="396"/>
      <c r="BQ2" s="396"/>
      <c r="BR2" s="396"/>
      <c r="BS2" s="396"/>
      <c r="BT2" s="396"/>
      <c r="BU2" s="396"/>
      <c r="BV2" s="396"/>
      <c r="BW2" s="396"/>
      <c r="BX2" s="396"/>
    </row>
    <row r="3" spans="1:76" s="60" customFormat="1">
      <c r="A3" s="355"/>
      <c r="B3" s="355"/>
      <c r="C3" s="63"/>
      <c r="D3" s="63"/>
      <c r="E3" s="62"/>
      <c r="F3" s="62"/>
      <c r="G3" s="62"/>
      <c r="H3" s="62"/>
      <c r="I3" s="62"/>
      <c r="J3" s="62"/>
      <c r="K3" s="62"/>
      <c r="L3" s="62"/>
      <c r="N3" s="396"/>
      <c r="O3" s="584"/>
      <c r="P3" s="584"/>
      <c r="Q3" s="584"/>
      <c r="R3" s="349"/>
      <c r="S3" s="349"/>
      <c r="T3" s="349"/>
      <c r="U3" s="349"/>
      <c r="V3" s="349"/>
      <c r="W3" s="484"/>
      <c r="X3" s="484"/>
      <c r="Y3" s="484"/>
      <c r="Z3" s="484"/>
      <c r="AA3" s="484"/>
      <c r="AB3" s="484"/>
      <c r="AC3" s="484"/>
      <c r="AD3" s="484"/>
      <c r="AE3" s="484"/>
      <c r="AF3" s="349"/>
      <c r="AG3" s="349"/>
      <c r="AH3" s="349"/>
      <c r="AI3" s="349"/>
      <c r="AJ3" s="349"/>
      <c r="AK3" s="349"/>
      <c r="AL3" s="349"/>
      <c r="AM3" s="349"/>
      <c r="AN3" s="484"/>
      <c r="AO3" s="484"/>
      <c r="AP3" s="484"/>
      <c r="AQ3" s="484"/>
      <c r="AR3" s="484"/>
      <c r="AS3" s="484"/>
      <c r="AT3" s="484"/>
      <c r="AU3" s="484"/>
      <c r="AV3" s="484"/>
      <c r="AW3" s="484"/>
      <c r="AX3" s="484"/>
      <c r="AY3" s="484"/>
      <c r="AZ3" s="484"/>
      <c r="BA3" s="396"/>
      <c r="BB3" s="396"/>
      <c r="BC3" s="396"/>
      <c r="BD3" s="396"/>
      <c r="BE3" s="396"/>
      <c r="BF3" s="396"/>
      <c r="BG3" s="396"/>
      <c r="BH3" s="396"/>
      <c r="BI3" s="396"/>
      <c r="BJ3" s="396"/>
      <c r="BK3" s="396"/>
      <c r="BL3" s="396"/>
      <c r="BM3" s="396"/>
      <c r="BN3" s="396"/>
      <c r="BO3" s="396"/>
      <c r="BP3" s="396"/>
      <c r="BQ3" s="396"/>
      <c r="BR3" s="396"/>
      <c r="BS3" s="396"/>
      <c r="BT3" s="396"/>
      <c r="BU3" s="396"/>
      <c r="BV3" s="396"/>
      <c r="BW3" s="396"/>
      <c r="BX3" s="396"/>
    </row>
    <row r="4" spans="1:76" s="60" customFormat="1" ht="13.5" thickBot="1">
      <c r="A4" s="355"/>
      <c r="B4" s="355"/>
      <c r="C4" s="63"/>
      <c r="D4" s="63"/>
      <c r="E4" s="62"/>
      <c r="F4" s="62"/>
      <c r="G4" s="62"/>
      <c r="H4" s="62"/>
      <c r="I4" s="62"/>
      <c r="J4" s="62"/>
      <c r="K4" s="62"/>
      <c r="L4" s="62"/>
      <c r="N4" s="396"/>
      <c r="O4" s="584"/>
      <c r="P4" s="584"/>
      <c r="Q4" s="396"/>
      <c r="R4" s="484"/>
      <c r="S4" s="484"/>
      <c r="T4" s="484"/>
      <c r="U4" s="484"/>
      <c r="V4" s="484"/>
      <c r="W4" s="484"/>
      <c r="X4" s="484"/>
      <c r="Y4" s="484"/>
      <c r="Z4" s="484"/>
      <c r="AA4" s="484"/>
      <c r="AB4" s="484"/>
      <c r="AC4" s="484"/>
      <c r="AD4" s="484"/>
      <c r="AE4" s="484"/>
      <c r="AF4" s="349"/>
      <c r="AG4" s="349"/>
      <c r="AH4" s="349"/>
      <c r="AI4" s="349"/>
      <c r="AJ4" s="349"/>
      <c r="AK4" s="349"/>
      <c r="AL4" s="349"/>
      <c r="AM4" s="349"/>
      <c r="AN4" s="484"/>
      <c r="AO4" s="484"/>
      <c r="AP4" s="484"/>
      <c r="AQ4" s="484"/>
      <c r="AR4" s="484"/>
      <c r="AS4" s="484"/>
      <c r="AT4" s="484"/>
      <c r="AU4" s="484"/>
      <c r="AV4" s="484"/>
      <c r="AW4" s="484"/>
      <c r="AX4" s="484"/>
      <c r="AY4" s="484"/>
      <c r="AZ4" s="484"/>
      <c r="BA4" s="396"/>
      <c r="BB4" s="396"/>
      <c r="BC4" s="396"/>
      <c r="BD4" s="396"/>
      <c r="BE4" s="396"/>
      <c r="BF4" s="396"/>
      <c r="BG4" s="396"/>
      <c r="BH4" s="396"/>
      <c r="BI4" s="396"/>
      <c r="BJ4" s="396"/>
      <c r="BK4" s="396"/>
      <c r="BL4" s="396"/>
      <c r="BM4" s="396"/>
      <c r="BN4" s="396"/>
      <c r="BO4" s="396"/>
      <c r="BP4" s="396"/>
      <c r="BQ4" s="396"/>
      <c r="BR4" s="396"/>
      <c r="BS4" s="396"/>
      <c r="BT4" s="396"/>
      <c r="BU4" s="396"/>
      <c r="BV4" s="396"/>
      <c r="BW4" s="396"/>
      <c r="BX4" s="396"/>
    </row>
    <row r="5" spans="1:76" s="60" customFormat="1">
      <c r="A5" s="355"/>
      <c r="B5" s="355"/>
      <c r="C5" s="63"/>
      <c r="D5" s="63"/>
      <c r="E5" s="62"/>
      <c r="F5" s="62"/>
      <c r="G5" s="62"/>
      <c r="H5" s="62"/>
      <c r="I5" s="62"/>
      <c r="J5" s="62"/>
      <c r="K5" s="62"/>
      <c r="L5" s="62"/>
      <c r="N5" s="396"/>
      <c r="O5" s="1583" t="s">
        <v>397</v>
      </c>
      <c r="P5" s="1584"/>
      <c r="Q5" s="1584"/>
      <c r="R5" s="1584"/>
      <c r="S5" s="585" t="s">
        <v>378</v>
      </c>
      <c r="T5" s="585" t="s">
        <v>377</v>
      </c>
      <c r="U5" s="586" t="s">
        <v>384</v>
      </c>
      <c r="V5" s="586" t="s">
        <v>383</v>
      </c>
      <c r="W5" s="586" t="s">
        <v>379</v>
      </c>
      <c r="X5" s="586" t="s">
        <v>380</v>
      </c>
      <c r="Y5" s="586" t="s">
        <v>393</v>
      </c>
      <c r="Z5" s="587" t="s">
        <v>394</v>
      </c>
      <c r="AA5" s="484"/>
      <c r="AB5" s="484"/>
      <c r="AC5" s="484"/>
      <c r="AD5" s="484"/>
      <c r="AE5" s="484"/>
      <c r="AF5" s="349"/>
      <c r="AG5" s="349"/>
      <c r="AH5" s="349"/>
      <c r="AI5" s="349"/>
      <c r="AJ5" s="349"/>
      <c r="AK5" s="349"/>
      <c r="AL5" s="349"/>
      <c r="AM5" s="349"/>
      <c r="AN5" s="484"/>
      <c r="AO5" s="484"/>
      <c r="AP5" s="484"/>
      <c r="AQ5" s="484"/>
      <c r="AR5" s="484"/>
      <c r="AS5" s="484"/>
      <c r="AT5" s="484"/>
      <c r="AU5" s="484"/>
      <c r="AV5" s="484"/>
      <c r="AW5" s="484"/>
      <c r="AX5" s="484"/>
      <c r="AY5" s="484"/>
      <c r="AZ5" s="484"/>
      <c r="BA5" s="396"/>
      <c r="BB5" s="396"/>
      <c r="BC5" s="396"/>
      <c r="BD5" s="396"/>
      <c r="BE5" s="396"/>
      <c r="BF5" s="396"/>
      <c r="BG5" s="396"/>
      <c r="BH5" s="396"/>
      <c r="BI5" s="396"/>
      <c r="BJ5" s="396"/>
      <c r="BK5" s="396"/>
      <c r="BL5" s="396"/>
      <c r="BM5" s="396"/>
      <c r="BN5" s="396"/>
      <c r="BO5" s="396"/>
      <c r="BP5" s="396"/>
      <c r="BQ5" s="396"/>
      <c r="BR5" s="396"/>
      <c r="BS5" s="396"/>
      <c r="BT5" s="396"/>
      <c r="BU5" s="396"/>
      <c r="BV5" s="396"/>
      <c r="BW5" s="396"/>
      <c r="BX5" s="396"/>
    </row>
    <row r="6" spans="1:76" s="60" customFormat="1">
      <c r="A6" s="355"/>
      <c r="B6" s="355"/>
      <c r="C6" s="63"/>
      <c r="D6" s="63"/>
      <c r="E6" s="62"/>
      <c r="F6" s="62"/>
      <c r="G6" s="62"/>
      <c r="H6" s="62"/>
      <c r="I6" s="62"/>
      <c r="J6" s="62"/>
      <c r="K6" s="62"/>
      <c r="L6" s="62"/>
      <c r="N6" s="396"/>
      <c r="O6" s="588"/>
      <c r="P6" s="396">
        <f>MAX(T11:T3000)</f>
        <v>0</v>
      </c>
      <c r="Q6" s="396"/>
      <c r="R6" s="589" t="str">
        <f>ProbI1</f>
        <v>1-LB</v>
      </c>
      <c r="S6" s="589" t="s">
        <v>396</v>
      </c>
      <c r="T6" s="589" t="s">
        <v>396</v>
      </c>
      <c r="U6" s="589" t="s">
        <v>396</v>
      </c>
      <c r="V6" s="589" t="s">
        <v>396</v>
      </c>
      <c r="W6" s="589" t="s">
        <v>396</v>
      </c>
      <c r="X6" s="589" t="s">
        <v>396</v>
      </c>
      <c r="Y6" s="589" t="s">
        <v>396</v>
      </c>
      <c r="Z6" s="590" t="s">
        <v>396</v>
      </c>
      <c r="AA6" s="484"/>
      <c r="AB6" s="484"/>
      <c r="AC6" s="484"/>
      <c r="AD6" s="484"/>
      <c r="AE6" s="484"/>
      <c r="AF6" s="349"/>
      <c r="AG6" s="349"/>
      <c r="AH6" s="349"/>
      <c r="AI6" s="349"/>
      <c r="AJ6" s="349"/>
      <c r="AK6" s="349"/>
      <c r="AL6" s="349"/>
      <c r="AM6" s="349"/>
      <c r="AN6" s="484"/>
      <c r="AO6" s="484"/>
      <c r="AP6" s="484"/>
      <c r="AQ6" s="484"/>
      <c r="AR6" s="484"/>
      <c r="AS6" s="484"/>
      <c r="AT6" s="484"/>
      <c r="AU6" s="484"/>
      <c r="AV6" s="484"/>
      <c r="AW6" s="484"/>
      <c r="AX6" s="484"/>
      <c r="AY6" s="484"/>
      <c r="AZ6" s="484"/>
      <c r="BA6" s="396"/>
      <c r="BB6" s="396"/>
      <c r="BC6" s="396"/>
      <c r="BD6" s="396"/>
      <c r="BE6" s="396"/>
      <c r="BF6" s="396"/>
      <c r="BG6" s="396"/>
      <c r="BH6" s="396"/>
      <c r="BI6" s="396"/>
      <c r="BJ6" s="396"/>
      <c r="BK6" s="396"/>
      <c r="BL6" s="396"/>
      <c r="BM6" s="396"/>
      <c r="BN6" s="396"/>
      <c r="BO6" s="396"/>
      <c r="BP6" s="396"/>
      <c r="BQ6" s="396"/>
      <c r="BR6" s="396"/>
      <c r="BS6" s="396"/>
      <c r="BT6" s="396"/>
      <c r="BU6" s="396"/>
      <c r="BV6" s="396"/>
      <c r="BW6" s="396"/>
      <c r="BX6" s="396"/>
    </row>
    <row r="7" spans="1:76" s="60" customFormat="1">
      <c r="A7" s="355"/>
      <c r="B7" s="355"/>
      <c r="C7" s="63"/>
      <c r="D7" s="63"/>
      <c r="E7" s="62"/>
      <c r="F7" s="62"/>
      <c r="G7" s="62"/>
      <c r="H7" s="62"/>
      <c r="I7" s="62"/>
      <c r="J7" s="62"/>
      <c r="K7" s="62"/>
      <c r="L7" s="62"/>
      <c r="N7" s="396"/>
      <c r="O7" s="588"/>
      <c r="P7" s="591">
        <f>MAX(U11:U3000)</f>
        <v>0</v>
      </c>
      <c r="Q7" s="396"/>
      <c r="R7" s="589" t="str">
        <f>ProbII1</f>
        <v>2-LF</v>
      </c>
      <c r="S7" s="589" t="s">
        <v>396</v>
      </c>
      <c r="T7" s="589" t="s">
        <v>396</v>
      </c>
      <c r="U7" s="589" t="s">
        <v>396</v>
      </c>
      <c r="V7" s="589" t="s">
        <v>396</v>
      </c>
      <c r="W7" s="589" t="s">
        <v>396</v>
      </c>
      <c r="X7" s="589" t="s">
        <v>396</v>
      </c>
      <c r="Y7" s="589" t="s">
        <v>396</v>
      </c>
      <c r="Z7" s="590" t="s">
        <v>396</v>
      </c>
      <c r="AA7" s="484"/>
      <c r="AB7" s="484"/>
      <c r="AC7" s="484"/>
      <c r="AD7" s="484"/>
      <c r="AE7" s="484"/>
      <c r="AF7" s="349"/>
      <c r="AG7" s="349"/>
      <c r="AH7" s="349"/>
      <c r="AI7" s="349"/>
      <c r="AJ7" s="349"/>
      <c r="AK7" s="349"/>
      <c r="AL7" s="349"/>
      <c r="AM7" s="349"/>
      <c r="AN7" s="484"/>
      <c r="AO7" s="484"/>
      <c r="AP7" s="484"/>
      <c r="AQ7" s="484"/>
      <c r="AR7" s="484"/>
      <c r="AS7" s="484"/>
      <c r="AT7" s="484"/>
      <c r="AU7" s="484"/>
      <c r="AV7" s="484"/>
      <c r="AW7" s="484"/>
      <c r="AX7" s="484"/>
      <c r="AY7" s="484"/>
      <c r="AZ7" s="484"/>
      <c r="BA7" s="396"/>
      <c r="BB7" s="396"/>
      <c r="BC7" s="396"/>
      <c r="BD7" s="396"/>
      <c r="BE7" s="396"/>
      <c r="BF7" s="396"/>
      <c r="BG7" s="396"/>
      <c r="BH7" s="396"/>
      <c r="BI7" s="396"/>
      <c r="BJ7" s="396"/>
      <c r="BK7" s="396"/>
      <c r="BL7" s="396"/>
      <c r="BM7" s="396"/>
      <c r="BN7" s="396"/>
      <c r="BO7" s="396"/>
      <c r="BP7" s="396"/>
      <c r="BQ7" s="396"/>
      <c r="BR7" s="396"/>
      <c r="BS7" s="396"/>
      <c r="BT7" s="396"/>
      <c r="BU7" s="396"/>
      <c r="BV7" s="396"/>
      <c r="BW7" s="396"/>
      <c r="BX7" s="396"/>
    </row>
    <row r="8" spans="1:76" s="60" customFormat="1" ht="16.5" thickBot="1">
      <c r="A8" s="355"/>
      <c r="B8" s="355"/>
      <c r="C8" s="1579" t="s">
        <v>1089</v>
      </c>
      <c r="D8" s="1579"/>
      <c r="E8" s="1579"/>
      <c r="F8" s="1579"/>
      <c r="G8" s="1580"/>
      <c r="H8" s="1580"/>
      <c r="I8" s="1580"/>
      <c r="J8" s="1579"/>
      <c r="K8" s="1579"/>
      <c r="L8" s="1579"/>
      <c r="M8" s="1579"/>
      <c r="N8" s="396"/>
      <c r="O8" s="588"/>
      <c r="P8" s="591" t="e">
        <f>VLOOKUP(P7,D12:T3000,17,FALSE)+ROW(D12)</f>
        <v>#N/A</v>
      </c>
      <c r="Q8" s="484"/>
      <c r="R8" s="484"/>
      <c r="S8" s="484"/>
      <c r="T8" s="484"/>
      <c r="U8" s="484"/>
      <c r="V8" s="484"/>
      <c r="W8" s="484"/>
      <c r="X8" s="484"/>
      <c r="Y8" s="484"/>
      <c r="Z8" s="592"/>
      <c r="AA8" s="484"/>
      <c r="AB8" s="484"/>
      <c r="AC8" s="484"/>
      <c r="AD8" s="484"/>
      <c r="AE8" s="484"/>
      <c r="AF8" s="349"/>
      <c r="AG8" s="349"/>
      <c r="AH8" s="349"/>
      <c r="AI8" s="349"/>
      <c r="AJ8" s="349"/>
      <c r="AK8" s="349"/>
      <c r="AL8" s="349"/>
      <c r="AM8" s="349"/>
      <c r="AN8" s="484"/>
      <c r="AO8" s="484"/>
      <c r="AP8" s="484"/>
      <c r="AQ8" s="484"/>
      <c r="AR8" s="484"/>
      <c r="AS8" s="484"/>
      <c r="AT8" s="484"/>
      <c r="AU8" s="484"/>
      <c r="AV8" s="484"/>
      <c r="AW8" s="484"/>
      <c r="AX8" s="484"/>
      <c r="AY8" s="484"/>
      <c r="AZ8" s="484"/>
      <c r="BA8" s="396"/>
      <c r="BB8" s="396"/>
      <c r="BC8" s="396"/>
      <c r="BD8" s="396"/>
      <c r="BE8" s="396"/>
      <c r="BF8" s="396"/>
      <c r="BG8" s="396"/>
      <c r="BH8" s="396"/>
      <c r="BI8" s="396"/>
      <c r="BJ8" s="396"/>
      <c r="BK8" s="396"/>
      <c r="BL8" s="396"/>
      <c r="BM8" s="396"/>
      <c r="BN8" s="396"/>
      <c r="BO8" s="396"/>
      <c r="BP8" s="396"/>
      <c r="BQ8" s="396"/>
      <c r="BR8" s="396"/>
      <c r="BS8" s="396"/>
      <c r="BT8" s="396"/>
      <c r="BU8" s="396"/>
      <c r="BV8" s="396"/>
      <c r="BW8" s="396"/>
      <c r="BX8" s="396"/>
    </row>
    <row r="9" spans="1:76" s="60" customFormat="1" ht="27" customHeight="1" thickTop="1">
      <c r="A9" s="355"/>
      <c r="B9" s="355"/>
      <c r="F9" s="709" t="s">
        <v>45</v>
      </c>
      <c r="G9" s="1518" t="s">
        <v>1638</v>
      </c>
      <c r="H9" s="1576"/>
      <c r="I9" s="1519"/>
      <c r="J9" s="1577" t="str">
        <f>IF(N9=2,"Values shown at columns are limited to the values at the face of column.","")</f>
        <v>Values shown at columns are limited to the values at the face of column.</v>
      </c>
      <c r="K9" s="1578"/>
      <c r="L9" s="1578"/>
      <c r="M9" s="1578"/>
      <c r="N9" s="396">
        <f>IF(G9="Force at CL Support",1,2)</f>
        <v>2</v>
      </c>
      <c r="O9" s="588"/>
      <c r="P9" s="484"/>
      <c r="Q9" s="484"/>
      <c r="R9" s="484"/>
      <c r="S9" s="484"/>
      <c r="T9" s="484"/>
      <c r="U9" s="484"/>
      <c r="V9" s="484"/>
      <c r="W9" s="484"/>
      <c r="X9" s="484"/>
      <c r="Y9" s="484"/>
      <c r="Z9" s="592"/>
      <c r="AA9" s="484"/>
      <c r="AB9" s="484"/>
      <c r="AC9" s="484"/>
      <c r="AD9" s="484"/>
      <c r="AE9" s="484"/>
      <c r="AF9" s="349"/>
      <c r="AG9" s="349"/>
      <c r="AH9" s="349"/>
      <c r="AI9" s="349"/>
      <c r="AJ9" s="349"/>
      <c r="AK9" s="349"/>
      <c r="AL9" s="349"/>
      <c r="AM9" s="349"/>
      <c r="AN9" s="484"/>
      <c r="AO9" s="349">
        <v>1</v>
      </c>
      <c r="AP9" s="349">
        <v>2</v>
      </c>
      <c r="AQ9" s="349">
        <v>3</v>
      </c>
      <c r="AR9" s="349">
        <v>4</v>
      </c>
      <c r="AS9" s="349">
        <v>5</v>
      </c>
      <c r="AT9" s="349">
        <v>6</v>
      </c>
      <c r="AU9" s="349">
        <v>7</v>
      </c>
      <c r="AV9" s="349">
        <v>8</v>
      </c>
      <c r="AW9" s="484"/>
      <c r="AX9" s="484"/>
      <c r="AY9" s="484"/>
      <c r="AZ9" s="484"/>
      <c r="BA9" s="396"/>
      <c r="BB9" s="396"/>
      <c r="BC9" s="396"/>
      <c r="BD9" s="396"/>
      <c r="BE9" s="396"/>
      <c r="BF9" s="396"/>
      <c r="BG9" s="396"/>
      <c r="BH9" s="396"/>
      <c r="BI9" s="396"/>
      <c r="BJ9" s="396"/>
      <c r="BK9" s="396"/>
      <c r="BL9" s="396"/>
      <c r="BM9" s="396"/>
      <c r="BN9" s="396"/>
      <c r="BO9" s="396"/>
      <c r="BP9" s="396"/>
      <c r="BQ9" s="396"/>
      <c r="BR9" s="396"/>
      <c r="BS9" s="396"/>
      <c r="BT9" s="396"/>
      <c r="BU9" s="396"/>
      <c r="BV9" s="396"/>
      <c r="BW9" s="396"/>
      <c r="BX9" s="396"/>
    </row>
    <row r="10" spans="1:76" s="60" customFormat="1" ht="13.5" thickBot="1">
      <c r="A10" s="355"/>
      <c r="B10" s="355"/>
      <c r="C10" s="57" t="s">
        <v>381</v>
      </c>
      <c r="D10" s="57" t="s">
        <v>382</v>
      </c>
      <c r="E10" s="214" t="s">
        <v>378</v>
      </c>
      <c r="F10" s="214" t="s">
        <v>377</v>
      </c>
      <c r="G10" s="231" t="s">
        <v>384</v>
      </c>
      <c r="H10" s="231" t="s">
        <v>383</v>
      </c>
      <c r="I10" s="231" t="s">
        <v>379</v>
      </c>
      <c r="J10" s="231" t="s">
        <v>380</v>
      </c>
      <c r="K10" s="231" t="s">
        <v>393</v>
      </c>
      <c r="L10" s="231" t="s">
        <v>394</v>
      </c>
      <c r="M10" s="59" t="s">
        <v>1298</v>
      </c>
      <c r="N10" s="396"/>
      <c r="O10" s="593"/>
      <c r="P10" s="594"/>
      <c r="Q10" s="594"/>
      <c r="R10" s="594"/>
      <c r="S10" s="594"/>
      <c r="T10" s="594"/>
      <c r="U10" s="594"/>
      <c r="V10" s="594"/>
      <c r="W10" s="594"/>
      <c r="X10" s="594"/>
      <c r="Y10" s="594"/>
      <c r="Z10" s="595"/>
      <c r="AA10" s="484"/>
      <c r="AB10" s="484"/>
      <c r="AC10" s="484"/>
      <c r="AD10" s="484"/>
      <c r="AE10" s="349" t="str">
        <f>R6</f>
        <v>1-LB</v>
      </c>
      <c r="AF10" s="349" t="str">
        <f>S6</f>
        <v>X</v>
      </c>
      <c r="AG10" s="349" t="str">
        <f t="shared" ref="AG10:AM10" si="0">T6</f>
        <v>X</v>
      </c>
      <c r="AH10" s="349" t="str">
        <f t="shared" si="0"/>
        <v>X</v>
      </c>
      <c r="AI10" s="349" t="str">
        <f t="shared" si="0"/>
        <v>X</v>
      </c>
      <c r="AJ10" s="349" t="str">
        <f t="shared" si="0"/>
        <v>X</v>
      </c>
      <c r="AK10" s="349" t="str">
        <f t="shared" si="0"/>
        <v>X</v>
      </c>
      <c r="AL10" s="349" t="str">
        <f t="shared" si="0"/>
        <v>X</v>
      </c>
      <c r="AM10" s="349" t="str">
        <f t="shared" si="0"/>
        <v>X</v>
      </c>
      <c r="AN10" s="349" t="str">
        <f>R7</f>
        <v>2-LF</v>
      </c>
      <c r="AO10" s="349" t="str">
        <f>S7</f>
        <v>X</v>
      </c>
      <c r="AP10" s="349" t="str">
        <f t="shared" ref="AP10:AV10" si="1">T7</f>
        <v>X</v>
      </c>
      <c r="AQ10" s="349" t="str">
        <f t="shared" si="1"/>
        <v>X</v>
      </c>
      <c r="AR10" s="349" t="str">
        <f t="shared" si="1"/>
        <v>X</v>
      </c>
      <c r="AS10" s="349" t="str">
        <f t="shared" si="1"/>
        <v>X</v>
      </c>
      <c r="AT10" s="349" t="str">
        <f t="shared" si="1"/>
        <v>X</v>
      </c>
      <c r="AU10" s="349" t="str">
        <f t="shared" si="1"/>
        <v>X</v>
      </c>
      <c r="AV10" s="349" t="str">
        <f t="shared" si="1"/>
        <v>X</v>
      </c>
      <c r="AW10" s="349"/>
      <c r="AX10" s="349"/>
      <c r="AY10" s="484"/>
      <c r="AZ10" s="484"/>
      <c r="BA10" s="396"/>
      <c r="BB10" s="396"/>
      <c r="BC10" s="396"/>
      <c r="BD10" s="396"/>
      <c r="BE10" s="396"/>
      <c r="BF10" s="396"/>
      <c r="BG10" s="396"/>
      <c r="BH10" s="396"/>
      <c r="BI10" s="396"/>
      <c r="BJ10" s="396"/>
      <c r="BK10" s="396"/>
      <c r="BL10" s="396"/>
      <c r="BM10" s="396"/>
      <c r="BN10" s="396"/>
      <c r="BO10" s="396"/>
      <c r="BP10" s="396"/>
      <c r="BQ10" s="396"/>
      <c r="BR10" s="396"/>
      <c r="BS10" s="396"/>
      <c r="BT10" s="396"/>
      <c r="BU10" s="396"/>
      <c r="BV10" s="396"/>
      <c r="BW10" s="396"/>
      <c r="BX10" s="396"/>
    </row>
    <row r="11" spans="1:76" s="67" customFormat="1">
      <c r="A11" s="355"/>
      <c r="B11" s="355"/>
      <c r="C11" s="66"/>
      <c r="D11" s="66" t="s">
        <v>156</v>
      </c>
      <c r="E11" s="66" t="s">
        <v>400</v>
      </c>
      <c r="F11" s="66" t="s">
        <v>341</v>
      </c>
      <c r="G11" s="66" t="s">
        <v>400</v>
      </c>
      <c r="H11" s="66" t="s">
        <v>400</v>
      </c>
      <c r="I11" s="66" t="s">
        <v>400</v>
      </c>
      <c r="J11" s="66" t="s">
        <v>400</v>
      </c>
      <c r="K11" s="66" t="s">
        <v>341</v>
      </c>
      <c r="L11" s="66" t="s">
        <v>341</v>
      </c>
      <c r="M11" s="66" t="s">
        <v>1299</v>
      </c>
      <c r="N11" s="582"/>
      <c r="O11" s="582"/>
      <c r="P11" s="596"/>
      <c r="Q11" s="596"/>
      <c r="R11" s="596"/>
      <c r="S11" s="597" t="s">
        <v>390</v>
      </c>
      <c r="T11" s="596" t="s">
        <v>381</v>
      </c>
      <c r="U11" s="596" t="s">
        <v>382</v>
      </c>
      <c r="V11" s="596" t="s">
        <v>378</v>
      </c>
      <c r="W11" s="596" t="s">
        <v>377</v>
      </c>
      <c r="X11" s="598" t="s">
        <v>384</v>
      </c>
      <c r="Y11" s="598" t="s">
        <v>383</v>
      </c>
      <c r="Z11" s="598" t="s">
        <v>379</v>
      </c>
      <c r="AA11" s="598" t="s">
        <v>380</v>
      </c>
      <c r="AB11" s="598" t="s">
        <v>393</v>
      </c>
      <c r="AC11" s="598" t="s">
        <v>394</v>
      </c>
      <c r="AD11" s="582"/>
      <c r="AE11" s="599">
        <f>COUNTIF(R:R,"=1")</f>
        <v>0</v>
      </c>
      <c r="AF11" s="596" t="s">
        <v>378</v>
      </c>
      <c r="AG11" s="596" t="s">
        <v>377</v>
      </c>
      <c r="AH11" s="598" t="s">
        <v>384</v>
      </c>
      <c r="AI11" s="598" t="s">
        <v>383</v>
      </c>
      <c r="AJ11" s="598" t="s">
        <v>379</v>
      </c>
      <c r="AK11" s="598" t="s">
        <v>380</v>
      </c>
      <c r="AL11" s="598" t="s">
        <v>393</v>
      </c>
      <c r="AM11" s="598" t="s">
        <v>394</v>
      </c>
      <c r="AN11" s="582">
        <f>COUNTIF(R:R,"=2")</f>
        <v>0</v>
      </c>
      <c r="AO11" s="596" t="s">
        <v>378</v>
      </c>
      <c r="AP11" s="596" t="s">
        <v>377</v>
      </c>
      <c r="AQ11" s="598" t="s">
        <v>384</v>
      </c>
      <c r="AR11" s="598" t="s">
        <v>383</v>
      </c>
      <c r="AS11" s="598" t="s">
        <v>379</v>
      </c>
      <c r="AT11" s="598" t="s">
        <v>380</v>
      </c>
      <c r="AU11" s="598" t="s">
        <v>393</v>
      </c>
      <c r="AV11" s="598" t="s">
        <v>394</v>
      </c>
      <c r="AW11" s="582"/>
      <c r="AX11" s="582"/>
      <c r="AY11" s="582"/>
      <c r="AZ11" s="582"/>
      <c r="BA11" s="582"/>
      <c r="BB11" s="582"/>
      <c r="BC11" s="582"/>
      <c r="BD11" s="582"/>
      <c r="BE11" s="582"/>
      <c r="BF11" s="582"/>
      <c r="BG11" s="582"/>
      <c r="BH11" s="582"/>
      <c r="BI11" s="582"/>
      <c r="BJ11" s="582"/>
      <c r="BK11" s="582"/>
      <c r="BL11" s="582"/>
      <c r="BM11" s="582"/>
      <c r="BN11" s="582"/>
      <c r="BO11" s="582"/>
      <c r="BP11" s="582"/>
      <c r="BQ11" s="582"/>
      <c r="BR11" s="582"/>
      <c r="BS11" s="582"/>
      <c r="BT11" s="582"/>
      <c r="BU11" s="582"/>
      <c r="BV11" s="582"/>
      <c r="BW11" s="582"/>
      <c r="BX11" s="582"/>
    </row>
    <row r="12" spans="1:76" s="27" customFormat="1">
      <c r="A12" s="355"/>
      <c r="B12" s="355"/>
      <c r="C12" s="115" t="str">
        <f>IF(T12="","",T12)</f>
        <v/>
      </c>
      <c r="D12" s="123" t="str">
        <f>IF(C12="","",U12)</f>
        <v/>
      </c>
      <c r="E12" s="232" t="str">
        <f>IF(OR(AF12&lt;&gt;"",AO12&lt;&gt;""),IF(MAX(AF12,AO12)&gt;ABS(MIN(AF12,AO12)),MAX(AF12,AO12),IF(AND($N$9=2,'Shear(M)'!B54="#",'Shear(M)'!B53="#",'Shear(M)'!B55="#"),E11,MIN(AF12,AO12))),"")</f>
        <v/>
      </c>
      <c r="F12" s="232" t="str">
        <f>IF(OR(AG12&lt;&gt;"",AP12&lt;&gt;""),IF(MAX(AG12,AP12)&gt;ABS(MIN(AG12,AP12)),MAX(AG12,AP12),MIN(AG12,AP12)),"")</f>
        <v/>
      </c>
      <c r="G12" s="115" t="e">
        <f>IF(AND($N$9=2,'Shear(M)'!B54="#",'Shear(M)'!B53="#",'Shear(M)'!B55="#"),G11,IF(OR(AH12&lt;&gt;"",AQ12&lt;&gt;""),MAX(AH12,AQ12),""))</f>
        <v>#VALUE!</v>
      </c>
      <c r="H12" s="115" t="e">
        <f>IF(AND($N$9=2,'Shear(M)'!B54="#",'Shear(M)'!B53="#",'Shear(M)'!B55="#"),H11,IF(OR(AI12&lt;&gt;"",AR12&lt;&gt;""),MIN(AI12,AR12),""))</f>
        <v>#VALUE!</v>
      </c>
      <c r="I12" s="115" t="e">
        <f>IF(AND($N$9=2,'Shear(M)'!B54="#",'Shear(M)'!B53="#",'Shear(M)'!B55="#"),I11,IF(OR(AJ12&lt;&gt;"",AS12&lt;&gt;""),MAX(AJ12,AS12),""))</f>
        <v>#VALUE!</v>
      </c>
      <c r="J12" s="115" t="e">
        <f>IF(AND($N$9=2,'Shear(M)'!B54="#",'Shear(M)'!B53="#",'Shear(M)'!B55="#"),J11,IF(OR(AK12&lt;&gt;"",AT12&lt;&gt;""),MIN(AK12,AT12),""))</f>
        <v>#VALUE!</v>
      </c>
      <c r="K12" s="232" t="str">
        <f>IF(OR(AL12&lt;&gt;"",AU12&lt;&gt;""),MAX(AL12,AU12),"")</f>
        <v/>
      </c>
      <c r="L12" s="232" t="str">
        <f>IF(OR(AM12&lt;&gt;"",AV12&lt;&gt;""),MIN(AM12,AV12),"")</f>
        <v/>
      </c>
      <c r="M12" s="660" t="str">
        <f>IF(D12="","",MAX(ABS(K12),ABS(L12)))</f>
        <v/>
      </c>
      <c r="N12" s="355"/>
      <c r="O12" s="355"/>
      <c r="P12" s="355"/>
      <c r="Q12" s="355"/>
      <c r="R12" s="600" t="str">
        <f>IF(TRIM(S12)=$R$6,1,IF(TRIM(S12)=$R$7,2,"NA"))</f>
        <v>NA</v>
      </c>
      <c r="S12" s="600"/>
      <c r="T12" s="600"/>
      <c r="U12" s="600"/>
      <c r="V12" s="600"/>
      <c r="W12" s="600"/>
      <c r="X12" s="600"/>
      <c r="Y12" s="600"/>
      <c r="Z12" s="600"/>
      <c r="AA12" s="600"/>
      <c r="AB12" s="600"/>
      <c r="AC12" s="600"/>
      <c r="AD12" s="600">
        <v>1</v>
      </c>
      <c r="AE12" s="600"/>
      <c r="AF12" s="600" t="str">
        <f t="shared" ref="AF12:AM12" si="2">IF(TRIM($S12)=$AE$10,IF(AF$10="X",V12,""),"")</f>
        <v/>
      </c>
      <c r="AG12" s="600" t="str">
        <f t="shared" si="2"/>
        <v/>
      </c>
      <c r="AH12" s="600" t="str">
        <f t="shared" si="2"/>
        <v/>
      </c>
      <c r="AI12" s="600" t="str">
        <f t="shared" si="2"/>
        <v/>
      </c>
      <c r="AJ12" s="600" t="str">
        <f t="shared" si="2"/>
        <v/>
      </c>
      <c r="AK12" s="600" t="str">
        <f t="shared" si="2"/>
        <v/>
      </c>
      <c r="AL12" s="600" t="str">
        <f t="shared" si="2"/>
        <v/>
      </c>
      <c r="AM12" s="600" t="str">
        <f t="shared" si="2"/>
        <v/>
      </c>
      <c r="AN12" s="600"/>
      <c r="AO12" s="600" t="str">
        <f t="shared" ref="AO12:AV27" si="3">IF(TRIM(INDEX($S:$S,$AD12+$AE$11+11,1))&lt;&gt;$AN$10,"",IF(AO$10="X",INDEX($V:$AC,$AD12+$AE$11+11,AO$9),""))</f>
        <v/>
      </c>
      <c r="AP12" s="600" t="str">
        <f t="shared" si="3"/>
        <v/>
      </c>
      <c r="AQ12" s="600" t="str">
        <f t="shared" si="3"/>
        <v/>
      </c>
      <c r="AR12" s="600" t="str">
        <f t="shared" si="3"/>
        <v/>
      </c>
      <c r="AS12" s="600" t="str">
        <f t="shared" si="3"/>
        <v/>
      </c>
      <c r="AT12" s="600" t="str">
        <f t="shared" si="3"/>
        <v/>
      </c>
      <c r="AU12" s="600" t="str">
        <f t="shared" si="3"/>
        <v/>
      </c>
      <c r="AV12" s="600" t="str">
        <f t="shared" si="3"/>
        <v/>
      </c>
      <c r="AW12" s="600"/>
      <c r="AX12" s="600"/>
      <c r="AY12" s="600"/>
      <c r="AZ12" s="600"/>
      <c r="BA12" s="355"/>
      <c r="BB12" s="355"/>
      <c r="BC12" s="355"/>
      <c r="BD12" s="355"/>
      <c r="BE12" s="355"/>
      <c r="BF12" s="355"/>
      <c r="BG12" s="355"/>
      <c r="BH12" s="355"/>
      <c r="BI12" s="355"/>
      <c r="BJ12" s="355"/>
      <c r="BK12" s="355"/>
      <c r="BL12" s="355"/>
      <c r="BM12" s="355"/>
      <c r="BN12" s="355"/>
      <c r="BO12" s="355"/>
      <c r="BP12" s="355"/>
      <c r="BQ12" s="355"/>
      <c r="BR12" s="355"/>
      <c r="BS12" s="355"/>
      <c r="BT12" s="355"/>
      <c r="BU12" s="355"/>
      <c r="BV12" s="355"/>
      <c r="BW12" s="355"/>
      <c r="BX12" s="355"/>
    </row>
    <row r="13" spans="1:76" s="27" customFormat="1">
      <c r="A13" s="355"/>
      <c r="B13" s="355"/>
      <c r="C13" s="115" t="str">
        <f t="shared" ref="C13:C76" si="4">IF(T13="","",T13)</f>
        <v/>
      </c>
      <c r="D13" s="123" t="str">
        <f t="shared" ref="D13:D76" si="5">IF(C13="","",U13)</f>
        <v/>
      </c>
      <c r="E13" s="232" t="str">
        <f>IF(OR(AF13&lt;&gt;"",AO13&lt;&gt;""),IF(MAX(AF13,AO13)&gt;ABS(MIN(AF13,AO13)),MAX(AF13,AO13),IF(AND($N$9=2,'Shear(M)'!B55="#",'Shear(M)'!B54="#",'Shear(M)'!B56="#"),E12,MIN(AF13,AO13))),"")</f>
        <v/>
      </c>
      <c r="F13" s="232" t="str">
        <f t="shared" ref="F13:F76" si="6">IF(OR(AG13&lt;&gt;"",AP13&lt;&gt;""),IF(MAX(AG13,AP13)&gt;ABS(MIN(AG13,AP13)),MAX(AG13,AP13),MIN(AG13,AP13)),"")</f>
        <v/>
      </c>
      <c r="G13" s="115" t="e">
        <f>IF(AND($N$9=2,'Shear(M)'!B55="#",'Shear(M)'!B54="#",'Shear(M)'!B56="#"),G12,IF(OR(AH13&lt;&gt;"",AQ13&lt;&gt;""),MAX(AH13,AQ13),""))</f>
        <v>#VALUE!</v>
      </c>
      <c r="H13" s="115" t="e">
        <f>IF(AND($N$9=2,'Shear(M)'!B55="#",'Shear(M)'!B54="#",'Shear(M)'!B56="#"),H12,IF(OR(AI13&lt;&gt;"",AR13&lt;&gt;""),MIN(AI13,AR13),""))</f>
        <v>#VALUE!</v>
      </c>
      <c r="I13" s="115" t="e">
        <f>IF(AND($N$9=2,'Shear(M)'!B55="#",'Shear(M)'!B54="#",'Shear(M)'!B56="#"),I12,IF(OR(AJ13&lt;&gt;"",AS13&lt;&gt;""),MAX(AJ13,AS13),""))</f>
        <v>#VALUE!</v>
      </c>
      <c r="J13" s="115" t="e">
        <f>IF(AND($N$9=2,'Shear(M)'!B55="#",'Shear(M)'!B54="#",'Shear(M)'!B56="#"),J12,IF(OR(AK13&lt;&gt;"",AT13&lt;&gt;""),MIN(AK13,AT13),""))</f>
        <v>#VALUE!</v>
      </c>
      <c r="K13" s="232" t="str">
        <f t="shared" ref="K13:K76" si="7">IF(OR(AL13&lt;&gt;"",AU13&lt;&gt;""),MAX(AL13,AU13),"")</f>
        <v/>
      </c>
      <c r="L13" s="232" t="str">
        <f t="shared" ref="L13:L76" si="8">IF(OR(AM13&lt;&gt;"",AV13&lt;&gt;""),MIN(AM13,AV13),"")</f>
        <v/>
      </c>
      <c r="M13" s="660" t="str">
        <f t="shared" ref="M13:M76" si="9">IF(D13="","",MAX(ABS(K13),ABS(L13)))</f>
        <v/>
      </c>
      <c r="N13" s="355"/>
      <c r="O13" s="355"/>
      <c r="P13" s="355"/>
      <c r="Q13" s="355"/>
      <c r="R13" s="600" t="str">
        <f t="shared" ref="R13:R76" si="10">IF(TRIM(S13)=$R$6,1,IF(TRIM(S13)=$R$7,2,"NA"))</f>
        <v>NA</v>
      </c>
      <c r="S13" s="600"/>
      <c r="T13" s="600"/>
      <c r="U13" s="600"/>
      <c r="V13" s="600"/>
      <c r="W13" s="600"/>
      <c r="X13" s="600"/>
      <c r="Y13" s="600"/>
      <c r="Z13" s="600"/>
      <c r="AA13" s="600"/>
      <c r="AB13" s="600"/>
      <c r="AC13" s="600"/>
      <c r="AD13" s="600">
        <v>2</v>
      </c>
      <c r="AE13" s="600"/>
      <c r="AF13" s="600" t="str">
        <f t="shared" ref="AF13:AF76" si="11">IF(TRIM($S13)=$AE$10,IF(AF$10="X",V13,""),"")</f>
        <v/>
      </c>
      <c r="AG13" s="600" t="str">
        <f t="shared" ref="AG13:AG76" si="12">IF(TRIM($S13)=$AE$10,IF(AG$10="X",W13,""),"")</f>
        <v/>
      </c>
      <c r="AH13" s="600" t="str">
        <f t="shared" ref="AH13:AH76" si="13">IF(TRIM($S13)=$AE$10,IF(AH$10="X",X13,""),"")</f>
        <v/>
      </c>
      <c r="AI13" s="600" t="str">
        <f t="shared" ref="AI13:AI76" si="14">IF(TRIM($S13)=$AE$10,IF(AI$10="X",Y13,""),"")</f>
        <v/>
      </c>
      <c r="AJ13" s="600" t="str">
        <f t="shared" ref="AJ13:AJ76" si="15">IF(TRIM($S13)=$AE$10,IF(AJ$10="X",Z13,""),"")</f>
        <v/>
      </c>
      <c r="AK13" s="600" t="str">
        <f t="shared" ref="AK13:AK76" si="16">IF(TRIM($S13)=$AE$10,IF(AK$10="X",AA13,""),"")</f>
        <v/>
      </c>
      <c r="AL13" s="600" t="str">
        <f t="shared" ref="AL13:AL76" si="17">IF(TRIM($S13)=$AE$10,IF(AL$10="X",AB13,""),"")</f>
        <v/>
      </c>
      <c r="AM13" s="600" t="str">
        <f t="shared" ref="AM13:AM76" si="18">IF(TRIM($S13)=$AE$10,IF(AM$10="X",AC13,""),"")</f>
        <v/>
      </c>
      <c r="AN13" s="600"/>
      <c r="AO13" s="600" t="str">
        <f t="shared" si="3"/>
        <v/>
      </c>
      <c r="AP13" s="600" t="str">
        <f t="shared" si="3"/>
        <v/>
      </c>
      <c r="AQ13" s="600" t="str">
        <f t="shared" si="3"/>
        <v/>
      </c>
      <c r="AR13" s="600" t="str">
        <f t="shared" si="3"/>
        <v/>
      </c>
      <c r="AS13" s="600" t="str">
        <f t="shared" si="3"/>
        <v/>
      </c>
      <c r="AT13" s="600" t="str">
        <f t="shared" si="3"/>
        <v/>
      </c>
      <c r="AU13" s="600" t="str">
        <f t="shared" si="3"/>
        <v/>
      </c>
      <c r="AV13" s="600" t="str">
        <f t="shared" si="3"/>
        <v/>
      </c>
      <c r="AW13" s="600"/>
      <c r="AX13" s="600"/>
      <c r="AY13" s="600"/>
      <c r="AZ13" s="600"/>
      <c r="BA13" s="355"/>
      <c r="BB13" s="355"/>
      <c r="BC13" s="355"/>
      <c r="BD13" s="355"/>
      <c r="BE13" s="355"/>
      <c r="BF13" s="355"/>
      <c r="BG13" s="355"/>
      <c r="BH13" s="355"/>
      <c r="BI13" s="355"/>
      <c r="BJ13" s="355"/>
      <c r="BK13" s="355"/>
      <c r="BL13" s="355"/>
      <c r="BM13" s="355"/>
      <c r="BN13" s="355"/>
      <c r="BO13" s="355"/>
      <c r="BP13" s="355"/>
      <c r="BQ13" s="355"/>
      <c r="BR13" s="355"/>
      <c r="BS13" s="355"/>
      <c r="BT13" s="355"/>
      <c r="BU13" s="355"/>
      <c r="BV13" s="355"/>
      <c r="BW13" s="355"/>
      <c r="BX13" s="355"/>
    </row>
    <row r="14" spans="1:76" s="27" customFormat="1">
      <c r="A14" s="355"/>
      <c r="B14" s="355"/>
      <c r="C14" s="115" t="str">
        <f t="shared" si="4"/>
        <v/>
      </c>
      <c r="D14" s="123" t="str">
        <f t="shared" si="5"/>
        <v/>
      </c>
      <c r="E14" s="232" t="str">
        <f>IF(OR(AF14&lt;&gt;"",AO14&lt;&gt;""),IF(MAX(AF14,AO14)&gt;ABS(MIN(AF14,AO14)),MAX(AF14,AO14),IF(AND($N$9=2,'Shear(M)'!B56="#",'Shear(M)'!B55="#",'Shear(M)'!B57="#"),E13,MIN(AF14,AO14))),"")</f>
        <v/>
      </c>
      <c r="F14" s="232" t="str">
        <f t="shared" si="6"/>
        <v/>
      </c>
      <c r="G14" s="115" t="e">
        <f>IF(AND($N$9=2,'Shear(M)'!B56="#",'Shear(M)'!B55="#",'Shear(M)'!B57="#"),G13,IF(OR(AH14&lt;&gt;"",AQ14&lt;&gt;""),MAX(AH14,AQ14),""))</f>
        <v>#VALUE!</v>
      </c>
      <c r="H14" s="115" t="e">
        <f>IF(AND($N$9=2,'Shear(M)'!B56="#",'Shear(M)'!B55="#",'Shear(M)'!B57="#"),H13,IF(OR(AI14&lt;&gt;"",AR14&lt;&gt;""),MIN(AI14,AR14),""))</f>
        <v>#VALUE!</v>
      </c>
      <c r="I14" s="115" t="e">
        <f>IF(AND($N$9=2,'Shear(M)'!B56="#",'Shear(M)'!B55="#",'Shear(M)'!B57="#"),I13,IF(OR(AJ14&lt;&gt;"",AS14&lt;&gt;""),MAX(AJ14,AS14),""))</f>
        <v>#VALUE!</v>
      </c>
      <c r="J14" s="115" t="e">
        <f>IF(AND($N$9=2,'Shear(M)'!B56="#",'Shear(M)'!B55="#",'Shear(M)'!B57="#"),J13,IF(OR(AK14&lt;&gt;"",AT14&lt;&gt;""),MIN(AK14,AT14),""))</f>
        <v>#VALUE!</v>
      </c>
      <c r="K14" s="232" t="str">
        <f t="shared" si="7"/>
        <v/>
      </c>
      <c r="L14" s="232" t="str">
        <f t="shared" si="8"/>
        <v/>
      </c>
      <c r="M14" s="660" t="str">
        <f t="shared" si="9"/>
        <v/>
      </c>
      <c r="N14" s="355"/>
      <c r="O14" s="355"/>
      <c r="P14" s="355"/>
      <c r="Q14" s="355"/>
      <c r="R14" s="600" t="str">
        <f t="shared" si="10"/>
        <v>NA</v>
      </c>
      <c r="S14" s="600"/>
      <c r="T14" s="600"/>
      <c r="U14" s="600"/>
      <c r="V14" s="600"/>
      <c r="W14" s="600"/>
      <c r="X14" s="600"/>
      <c r="Y14" s="600"/>
      <c r="Z14" s="600"/>
      <c r="AA14" s="600"/>
      <c r="AB14" s="600"/>
      <c r="AC14" s="600"/>
      <c r="AD14" s="600">
        <v>3</v>
      </c>
      <c r="AE14" s="600"/>
      <c r="AF14" s="600" t="str">
        <f t="shared" si="11"/>
        <v/>
      </c>
      <c r="AG14" s="600" t="str">
        <f t="shared" si="12"/>
        <v/>
      </c>
      <c r="AH14" s="600" t="str">
        <f t="shared" si="13"/>
        <v/>
      </c>
      <c r="AI14" s="600" t="str">
        <f t="shared" si="14"/>
        <v/>
      </c>
      <c r="AJ14" s="600" t="str">
        <f t="shared" si="15"/>
        <v/>
      </c>
      <c r="AK14" s="600" t="str">
        <f t="shared" si="16"/>
        <v/>
      </c>
      <c r="AL14" s="600" t="str">
        <f t="shared" si="17"/>
        <v/>
      </c>
      <c r="AM14" s="600" t="str">
        <f t="shared" si="18"/>
        <v/>
      </c>
      <c r="AN14" s="600"/>
      <c r="AO14" s="600" t="str">
        <f t="shared" si="3"/>
        <v/>
      </c>
      <c r="AP14" s="600" t="str">
        <f t="shared" si="3"/>
        <v/>
      </c>
      <c r="AQ14" s="600" t="str">
        <f t="shared" si="3"/>
        <v/>
      </c>
      <c r="AR14" s="600" t="str">
        <f t="shared" si="3"/>
        <v/>
      </c>
      <c r="AS14" s="600" t="str">
        <f t="shared" si="3"/>
        <v/>
      </c>
      <c r="AT14" s="600" t="str">
        <f t="shared" si="3"/>
        <v/>
      </c>
      <c r="AU14" s="600" t="str">
        <f t="shared" si="3"/>
        <v/>
      </c>
      <c r="AV14" s="600" t="str">
        <f t="shared" si="3"/>
        <v/>
      </c>
      <c r="AW14" s="600"/>
      <c r="AX14" s="600"/>
      <c r="AY14" s="600"/>
      <c r="AZ14" s="600"/>
      <c r="BA14" s="355"/>
      <c r="BB14" s="355"/>
      <c r="BC14" s="355"/>
      <c r="BD14" s="355"/>
      <c r="BE14" s="355"/>
      <c r="BF14" s="355"/>
      <c r="BG14" s="355"/>
      <c r="BH14" s="355"/>
      <c r="BI14" s="355"/>
      <c r="BJ14" s="355"/>
      <c r="BK14" s="355"/>
      <c r="BL14" s="355"/>
      <c r="BM14" s="355"/>
      <c r="BN14" s="355"/>
      <c r="BO14" s="355"/>
      <c r="BP14" s="355"/>
      <c r="BQ14" s="355"/>
      <c r="BR14" s="355"/>
      <c r="BS14" s="355"/>
      <c r="BT14" s="355"/>
      <c r="BU14" s="355"/>
      <c r="BV14" s="355"/>
      <c r="BW14" s="355"/>
      <c r="BX14" s="355"/>
    </row>
    <row r="15" spans="1:76" s="27" customFormat="1">
      <c r="A15" s="355"/>
      <c r="B15" s="355"/>
      <c r="C15" s="115" t="str">
        <f t="shared" si="4"/>
        <v/>
      </c>
      <c r="D15" s="123" t="str">
        <f t="shared" si="5"/>
        <v/>
      </c>
      <c r="E15" s="232" t="str">
        <f>IF(OR(AF15&lt;&gt;"",AO15&lt;&gt;""),IF(MAX(AF15,AO15)&gt;ABS(MIN(AF15,AO15)),MAX(AF15,AO15),IF(AND($N$9=2,'Shear(M)'!B57="#",'Shear(M)'!B56="#",'Shear(M)'!B58="#"),E14,MIN(AF15,AO15))),"")</f>
        <v/>
      </c>
      <c r="F15" s="232" t="str">
        <f t="shared" si="6"/>
        <v/>
      </c>
      <c r="G15" s="115" t="e">
        <f>IF(AND($N$9=2,'Shear(M)'!B57="#",'Shear(M)'!B56="#",'Shear(M)'!B58="#"),G14,IF(OR(AH15&lt;&gt;"",AQ15&lt;&gt;""),MAX(AH15,AQ15),""))</f>
        <v>#VALUE!</v>
      </c>
      <c r="H15" s="115" t="e">
        <f>IF(AND($N$9=2,'Shear(M)'!B57="#",'Shear(M)'!B56="#",'Shear(M)'!B58="#"),H14,IF(OR(AI15&lt;&gt;"",AR15&lt;&gt;""),MIN(AI15,AR15),""))</f>
        <v>#VALUE!</v>
      </c>
      <c r="I15" s="115" t="e">
        <f>IF(AND($N$9=2,'Shear(M)'!B57="#",'Shear(M)'!B56="#",'Shear(M)'!B58="#"),I14,IF(OR(AJ15&lt;&gt;"",AS15&lt;&gt;""),MAX(AJ15,AS15),""))</f>
        <v>#VALUE!</v>
      </c>
      <c r="J15" s="115" t="e">
        <f>IF(AND($N$9=2,'Shear(M)'!B57="#",'Shear(M)'!B56="#",'Shear(M)'!B58="#"),J14,IF(OR(AK15&lt;&gt;"",AT15&lt;&gt;""),MIN(AK15,AT15),""))</f>
        <v>#VALUE!</v>
      </c>
      <c r="K15" s="232" t="str">
        <f t="shared" si="7"/>
        <v/>
      </c>
      <c r="L15" s="232" t="str">
        <f t="shared" si="8"/>
        <v/>
      </c>
      <c r="M15" s="660" t="str">
        <f t="shared" si="9"/>
        <v/>
      </c>
      <c r="N15" s="355"/>
      <c r="O15" s="355"/>
      <c r="P15" s="355"/>
      <c r="Q15" s="355"/>
      <c r="R15" s="600" t="str">
        <f t="shared" si="10"/>
        <v>NA</v>
      </c>
      <c r="S15" s="600"/>
      <c r="T15" s="600"/>
      <c r="U15" s="600"/>
      <c r="V15" s="600"/>
      <c r="W15" s="600"/>
      <c r="X15" s="600"/>
      <c r="Y15" s="600"/>
      <c r="Z15" s="600"/>
      <c r="AA15" s="600"/>
      <c r="AB15" s="600"/>
      <c r="AC15" s="600"/>
      <c r="AD15" s="600">
        <v>4</v>
      </c>
      <c r="AE15" s="600"/>
      <c r="AF15" s="600" t="str">
        <f t="shared" si="11"/>
        <v/>
      </c>
      <c r="AG15" s="600" t="str">
        <f t="shared" si="12"/>
        <v/>
      </c>
      <c r="AH15" s="600" t="str">
        <f t="shared" si="13"/>
        <v/>
      </c>
      <c r="AI15" s="600" t="str">
        <f t="shared" si="14"/>
        <v/>
      </c>
      <c r="AJ15" s="600" t="str">
        <f t="shared" si="15"/>
        <v/>
      </c>
      <c r="AK15" s="600" t="str">
        <f t="shared" si="16"/>
        <v/>
      </c>
      <c r="AL15" s="600" t="str">
        <f t="shared" si="17"/>
        <v/>
      </c>
      <c r="AM15" s="600" t="str">
        <f t="shared" si="18"/>
        <v/>
      </c>
      <c r="AN15" s="600"/>
      <c r="AO15" s="600" t="str">
        <f t="shared" si="3"/>
        <v/>
      </c>
      <c r="AP15" s="600" t="str">
        <f t="shared" si="3"/>
        <v/>
      </c>
      <c r="AQ15" s="600" t="str">
        <f t="shared" si="3"/>
        <v/>
      </c>
      <c r="AR15" s="600" t="str">
        <f t="shared" si="3"/>
        <v/>
      </c>
      <c r="AS15" s="600" t="str">
        <f t="shared" si="3"/>
        <v/>
      </c>
      <c r="AT15" s="600" t="str">
        <f t="shared" si="3"/>
        <v/>
      </c>
      <c r="AU15" s="600" t="str">
        <f t="shared" si="3"/>
        <v/>
      </c>
      <c r="AV15" s="600" t="str">
        <f t="shared" si="3"/>
        <v/>
      </c>
      <c r="AW15" s="600"/>
      <c r="AX15" s="600"/>
      <c r="AY15" s="600"/>
      <c r="AZ15" s="600"/>
      <c r="BA15" s="355"/>
      <c r="BB15" s="355"/>
      <c r="BC15" s="355"/>
      <c r="BD15" s="355"/>
      <c r="BE15" s="355"/>
      <c r="BF15" s="355"/>
      <c r="BG15" s="355"/>
      <c r="BH15" s="355"/>
      <c r="BI15" s="355"/>
      <c r="BJ15" s="355"/>
      <c r="BK15" s="355"/>
      <c r="BL15" s="355"/>
      <c r="BM15" s="355"/>
      <c r="BN15" s="355"/>
      <c r="BO15" s="355"/>
      <c r="BP15" s="355"/>
      <c r="BQ15" s="355"/>
      <c r="BR15" s="355"/>
      <c r="BS15" s="355"/>
      <c r="BT15" s="355"/>
      <c r="BU15" s="355"/>
      <c r="BV15" s="355"/>
      <c r="BW15" s="355"/>
      <c r="BX15" s="355"/>
    </row>
    <row r="16" spans="1:76" s="27" customFormat="1">
      <c r="A16" s="355"/>
      <c r="B16" s="355"/>
      <c r="C16" s="115" t="str">
        <f t="shared" si="4"/>
        <v/>
      </c>
      <c r="D16" s="123" t="str">
        <f t="shared" si="5"/>
        <v/>
      </c>
      <c r="E16" s="232" t="str">
        <f>IF(OR(AF16&lt;&gt;"",AO16&lt;&gt;""),IF(MAX(AF16,AO16)&gt;ABS(MIN(AF16,AO16)),MAX(AF16,AO16),IF(AND($N$9=2,'Shear(M)'!B58="#",'Shear(M)'!B57="#",'Shear(M)'!B59="#"),E15,MIN(AF16,AO16))),"")</f>
        <v/>
      </c>
      <c r="F16" s="232" t="str">
        <f t="shared" si="6"/>
        <v/>
      </c>
      <c r="G16" s="115" t="e">
        <f>IF(AND($N$9=2,'Shear(M)'!B58="#",'Shear(M)'!B57="#",'Shear(M)'!B59="#"),G15,IF(OR(AH16&lt;&gt;"",AQ16&lt;&gt;""),MAX(AH16,AQ16),""))</f>
        <v>#VALUE!</v>
      </c>
      <c r="H16" s="115" t="e">
        <f>IF(AND($N$9=2,'Shear(M)'!B58="#",'Shear(M)'!B57="#",'Shear(M)'!B59="#"),H15,IF(OR(AI16&lt;&gt;"",AR16&lt;&gt;""),MIN(AI16,AR16),""))</f>
        <v>#VALUE!</v>
      </c>
      <c r="I16" s="115" t="e">
        <f>IF(AND($N$9=2,'Shear(M)'!B58="#",'Shear(M)'!B57="#",'Shear(M)'!B59="#"),I15,IF(OR(AJ16&lt;&gt;"",AS16&lt;&gt;""),MAX(AJ16,AS16),""))</f>
        <v>#VALUE!</v>
      </c>
      <c r="J16" s="115" t="e">
        <f>IF(AND($N$9=2,'Shear(M)'!B58="#",'Shear(M)'!B57="#",'Shear(M)'!B59="#"),J15,IF(OR(AK16&lt;&gt;"",AT16&lt;&gt;""),MIN(AK16,AT16),""))</f>
        <v>#VALUE!</v>
      </c>
      <c r="K16" s="232" t="str">
        <f t="shared" si="7"/>
        <v/>
      </c>
      <c r="L16" s="232" t="str">
        <f t="shared" si="8"/>
        <v/>
      </c>
      <c r="M16" s="660" t="str">
        <f t="shared" si="9"/>
        <v/>
      </c>
      <c r="N16" s="355"/>
      <c r="O16" s="355"/>
      <c r="P16" s="355"/>
      <c r="Q16" s="355"/>
      <c r="R16" s="600" t="str">
        <f t="shared" si="10"/>
        <v>NA</v>
      </c>
      <c r="S16" s="600"/>
      <c r="T16" s="600"/>
      <c r="U16" s="600"/>
      <c r="V16" s="600"/>
      <c r="W16" s="600"/>
      <c r="X16" s="600"/>
      <c r="Y16" s="600"/>
      <c r="Z16" s="600"/>
      <c r="AA16" s="600"/>
      <c r="AB16" s="600"/>
      <c r="AC16" s="600"/>
      <c r="AD16" s="600">
        <v>5</v>
      </c>
      <c r="AE16" s="600"/>
      <c r="AF16" s="600" t="str">
        <f t="shared" si="11"/>
        <v/>
      </c>
      <c r="AG16" s="600" t="str">
        <f t="shared" si="12"/>
        <v/>
      </c>
      <c r="AH16" s="600" t="str">
        <f t="shared" si="13"/>
        <v/>
      </c>
      <c r="AI16" s="600" t="str">
        <f t="shared" si="14"/>
        <v/>
      </c>
      <c r="AJ16" s="600" t="str">
        <f t="shared" si="15"/>
        <v/>
      </c>
      <c r="AK16" s="600" t="str">
        <f t="shared" si="16"/>
        <v/>
      </c>
      <c r="AL16" s="600" t="str">
        <f t="shared" si="17"/>
        <v/>
      </c>
      <c r="AM16" s="600" t="str">
        <f t="shared" si="18"/>
        <v/>
      </c>
      <c r="AN16" s="600"/>
      <c r="AO16" s="600" t="str">
        <f t="shared" si="3"/>
        <v/>
      </c>
      <c r="AP16" s="600" t="str">
        <f t="shared" si="3"/>
        <v/>
      </c>
      <c r="AQ16" s="600" t="str">
        <f t="shared" si="3"/>
        <v/>
      </c>
      <c r="AR16" s="600" t="str">
        <f t="shared" si="3"/>
        <v/>
      </c>
      <c r="AS16" s="600" t="str">
        <f t="shared" si="3"/>
        <v/>
      </c>
      <c r="AT16" s="600" t="str">
        <f t="shared" si="3"/>
        <v/>
      </c>
      <c r="AU16" s="600" t="str">
        <f t="shared" si="3"/>
        <v/>
      </c>
      <c r="AV16" s="600" t="str">
        <f t="shared" si="3"/>
        <v/>
      </c>
      <c r="AW16" s="600"/>
      <c r="AX16" s="600"/>
      <c r="AY16" s="600"/>
      <c r="AZ16" s="600"/>
      <c r="BA16" s="355"/>
      <c r="BB16" s="355"/>
      <c r="BC16" s="355"/>
      <c r="BD16" s="355"/>
      <c r="BE16" s="355"/>
      <c r="BF16" s="355"/>
      <c r="BG16" s="355"/>
      <c r="BH16" s="355"/>
      <c r="BI16" s="355"/>
      <c r="BJ16" s="355"/>
      <c r="BK16" s="355"/>
      <c r="BL16" s="355"/>
      <c r="BM16" s="355"/>
      <c r="BN16" s="355"/>
      <c r="BO16" s="355"/>
      <c r="BP16" s="355"/>
      <c r="BQ16" s="355"/>
      <c r="BR16" s="355"/>
      <c r="BS16" s="355"/>
      <c r="BT16" s="355"/>
      <c r="BU16" s="355"/>
      <c r="BV16" s="355"/>
      <c r="BW16" s="355"/>
      <c r="BX16" s="355"/>
    </row>
    <row r="17" spans="1:76" s="27" customFormat="1">
      <c r="A17" s="355"/>
      <c r="B17" s="355"/>
      <c r="C17" s="115" t="str">
        <f t="shared" si="4"/>
        <v/>
      </c>
      <c r="D17" s="123" t="str">
        <f t="shared" si="5"/>
        <v/>
      </c>
      <c r="E17" s="232" t="str">
        <f>IF(OR(AF17&lt;&gt;"",AO17&lt;&gt;""),IF(MAX(AF17,AO17)&gt;ABS(MIN(AF17,AO17)),MAX(AF17,AO17),IF(AND($N$9=2,'Shear(M)'!B59="#",'Shear(M)'!B58="#",'Shear(M)'!B60="#"),E16,MIN(AF17,AO17))),"")</f>
        <v/>
      </c>
      <c r="F17" s="232" t="str">
        <f t="shared" si="6"/>
        <v/>
      </c>
      <c r="G17" s="115" t="e">
        <f>IF(AND($N$9=2,'Shear(M)'!B59="#",'Shear(M)'!B58="#",'Shear(M)'!B60="#"),G16,IF(OR(AH17&lt;&gt;"",AQ17&lt;&gt;""),MAX(AH17,AQ17),""))</f>
        <v>#VALUE!</v>
      </c>
      <c r="H17" s="115" t="e">
        <f>IF(AND($N$9=2,'Shear(M)'!B59="#",'Shear(M)'!B58="#",'Shear(M)'!B60="#"),H16,IF(OR(AI17&lt;&gt;"",AR17&lt;&gt;""),MIN(AI17,AR17),""))</f>
        <v>#VALUE!</v>
      </c>
      <c r="I17" s="115" t="e">
        <f>IF(AND($N$9=2,'Shear(M)'!B59="#",'Shear(M)'!B58="#",'Shear(M)'!B60="#"),I16,IF(OR(AJ17&lt;&gt;"",AS17&lt;&gt;""),MAX(AJ17,AS17),""))</f>
        <v>#VALUE!</v>
      </c>
      <c r="J17" s="115" t="e">
        <f>IF(AND($N$9=2,'Shear(M)'!B59="#",'Shear(M)'!B58="#",'Shear(M)'!B60="#"),J16,IF(OR(AK17&lt;&gt;"",AT17&lt;&gt;""),MIN(AK17,AT17),""))</f>
        <v>#VALUE!</v>
      </c>
      <c r="K17" s="232" t="str">
        <f t="shared" si="7"/>
        <v/>
      </c>
      <c r="L17" s="232" t="str">
        <f t="shared" si="8"/>
        <v/>
      </c>
      <c r="M17" s="660" t="str">
        <f t="shared" si="9"/>
        <v/>
      </c>
      <c r="N17" s="355"/>
      <c r="O17" s="355"/>
      <c r="P17" s="355"/>
      <c r="Q17" s="355"/>
      <c r="R17" s="600" t="str">
        <f t="shared" si="10"/>
        <v>NA</v>
      </c>
      <c r="S17" s="600"/>
      <c r="T17" s="600"/>
      <c r="U17" s="600"/>
      <c r="V17" s="600"/>
      <c r="W17" s="600"/>
      <c r="X17" s="600"/>
      <c r="Y17" s="600"/>
      <c r="Z17" s="600"/>
      <c r="AA17" s="600"/>
      <c r="AB17" s="600"/>
      <c r="AC17" s="600"/>
      <c r="AD17" s="600">
        <v>6</v>
      </c>
      <c r="AE17" s="600"/>
      <c r="AF17" s="600" t="str">
        <f t="shared" si="11"/>
        <v/>
      </c>
      <c r="AG17" s="600" t="str">
        <f t="shared" si="12"/>
        <v/>
      </c>
      <c r="AH17" s="600" t="str">
        <f t="shared" si="13"/>
        <v/>
      </c>
      <c r="AI17" s="600" t="str">
        <f t="shared" si="14"/>
        <v/>
      </c>
      <c r="AJ17" s="600" t="str">
        <f t="shared" si="15"/>
        <v/>
      </c>
      <c r="AK17" s="600" t="str">
        <f t="shared" si="16"/>
        <v/>
      </c>
      <c r="AL17" s="600" t="str">
        <f t="shared" si="17"/>
        <v/>
      </c>
      <c r="AM17" s="600" t="str">
        <f t="shared" si="18"/>
        <v/>
      </c>
      <c r="AN17" s="600"/>
      <c r="AO17" s="600" t="str">
        <f t="shared" si="3"/>
        <v/>
      </c>
      <c r="AP17" s="600" t="str">
        <f t="shared" si="3"/>
        <v/>
      </c>
      <c r="AQ17" s="600" t="str">
        <f t="shared" si="3"/>
        <v/>
      </c>
      <c r="AR17" s="600" t="str">
        <f t="shared" si="3"/>
        <v/>
      </c>
      <c r="AS17" s="600" t="str">
        <f t="shared" si="3"/>
        <v/>
      </c>
      <c r="AT17" s="600" t="str">
        <f t="shared" si="3"/>
        <v/>
      </c>
      <c r="AU17" s="600" t="str">
        <f t="shared" si="3"/>
        <v/>
      </c>
      <c r="AV17" s="600" t="str">
        <f t="shared" si="3"/>
        <v/>
      </c>
      <c r="AW17" s="600"/>
      <c r="AX17" s="600"/>
      <c r="AY17" s="600"/>
      <c r="AZ17" s="600"/>
      <c r="BA17" s="355"/>
      <c r="BB17" s="355"/>
      <c r="BC17" s="355"/>
      <c r="BD17" s="355"/>
      <c r="BE17" s="355"/>
      <c r="BF17" s="355"/>
      <c r="BG17" s="355"/>
      <c r="BH17" s="355"/>
      <c r="BI17" s="355"/>
      <c r="BJ17" s="355"/>
      <c r="BK17" s="355"/>
      <c r="BL17" s="355"/>
      <c r="BM17" s="355"/>
      <c r="BN17" s="355"/>
      <c r="BO17" s="355"/>
      <c r="BP17" s="355"/>
      <c r="BQ17" s="355"/>
      <c r="BR17" s="355"/>
      <c r="BS17" s="355"/>
      <c r="BT17" s="355"/>
      <c r="BU17" s="355"/>
      <c r="BV17" s="355"/>
      <c r="BW17" s="355"/>
      <c r="BX17" s="355"/>
    </row>
    <row r="18" spans="1:76" s="27" customFormat="1">
      <c r="A18" s="355"/>
      <c r="B18" s="355"/>
      <c r="C18" s="115" t="str">
        <f t="shared" si="4"/>
        <v/>
      </c>
      <c r="D18" s="123" t="str">
        <f t="shared" si="5"/>
        <v/>
      </c>
      <c r="E18" s="232" t="str">
        <f>IF(OR(AF18&lt;&gt;"",AO18&lt;&gt;""),IF(MAX(AF18,AO18)&gt;ABS(MIN(AF18,AO18)),MAX(AF18,AO18),IF(AND($N$9=2,'Shear(M)'!B60="#",'Shear(M)'!B59="#",'Shear(M)'!B61="#"),E17,MIN(AF18,AO18))),"")</f>
        <v/>
      </c>
      <c r="F18" s="232" t="str">
        <f t="shared" si="6"/>
        <v/>
      </c>
      <c r="G18" s="115" t="e">
        <f>IF(AND($N$9=2,'Shear(M)'!B60="#",'Shear(M)'!B59="#",'Shear(M)'!B61="#"),G17,IF(OR(AH18&lt;&gt;"",AQ18&lt;&gt;""),MAX(AH18,AQ18),""))</f>
        <v>#VALUE!</v>
      </c>
      <c r="H18" s="115" t="e">
        <f>IF(AND($N$9=2,'Shear(M)'!B60="#",'Shear(M)'!B59="#",'Shear(M)'!B61="#"),H17,IF(OR(AI18&lt;&gt;"",AR18&lt;&gt;""),MIN(AI18,AR18),""))</f>
        <v>#VALUE!</v>
      </c>
      <c r="I18" s="115" t="e">
        <f>IF(AND($N$9=2,'Shear(M)'!B60="#",'Shear(M)'!B59="#",'Shear(M)'!B61="#"),I17,IF(OR(AJ18&lt;&gt;"",AS18&lt;&gt;""),MAX(AJ18,AS18),""))</f>
        <v>#VALUE!</v>
      </c>
      <c r="J18" s="115" t="e">
        <f>IF(AND($N$9=2,'Shear(M)'!B60="#",'Shear(M)'!B59="#",'Shear(M)'!B61="#"),J17,IF(OR(AK18&lt;&gt;"",AT18&lt;&gt;""),MIN(AK18,AT18),""))</f>
        <v>#VALUE!</v>
      </c>
      <c r="K18" s="232" t="str">
        <f t="shared" si="7"/>
        <v/>
      </c>
      <c r="L18" s="232" t="str">
        <f t="shared" si="8"/>
        <v/>
      </c>
      <c r="M18" s="660" t="str">
        <f t="shared" si="9"/>
        <v/>
      </c>
      <c r="N18" s="355"/>
      <c r="O18" s="355"/>
      <c r="P18" s="355"/>
      <c r="Q18" s="355"/>
      <c r="R18" s="600" t="str">
        <f t="shared" si="10"/>
        <v>NA</v>
      </c>
      <c r="S18" s="600"/>
      <c r="T18" s="600"/>
      <c r="U18" s="600"/>
      <c r="V18" s="600"/>
      <c r="W18" s="600"/>
      <c r="X18" s="600"/>
      <c r="Y18" s="600"/>
      <c r="Z18" s="600"/>
      <c r="AA18" s="600"/>
      <c r="AB18" s="600"/>
      <c r="AC18" s="600"/>
      <c r="AD18" s="600">
        <v>7</v>
      </c>
      <c r="AE18" s="600"/>
      <c r="AF18" s="600" t="str">
        <f t="shared" si="11"/>
        <v/>
      </c>
      <c r="AG18" s="600" t="str">
        <f t="shared" si="12"/>
        <v/>
      </c>
      <c r="AH18" s="600" t="str">
        <f t="shared" si="13"/>
        <v/>
      </c>
      <c r="AI18" s="600" t="str">
        <f t="shared" si="14"/>
        <v/>
      </c>
      <c r="AJ18" s="600" t="str">
        <f t="shared" si="15"/>
        <v/>
      </c>
      <c r="AK18" s="600" t="str">
        <f t="shared" si="16"/>
        <v/>
      </c>
      <c r="AL18" s="600" t="str">
        <f t="shared" si="17"/>
        <v/>
      </c>
      <c r="AM18" s="600" t="str">
        <f t="shared" si="18"/>
        <v/>
      </c>
      <c r="AN18" s="600"/>
      <c r="AO18" s="600" t="str">
        <f t="shared" si="3"/>
        <v/>
      </c>
      <c r="AP18" s="600" t="str">
        <f t="shared" si="3"/>
        <v/>
      </c>
      <c r="AQ18" s="600" t="str">
        <f t="shared" si="3"/>
        <v/>
      </c>
      <c r="AR18" s="600" t="str">
        <f t="shared" si="3"/>
        <v/>
      </c>
      <c r="AS18" s="600" t="str">
        <f t="shared" si="3"/>
        <v/>
      </c>
      <c r="AT18" s="600" t="str">
        <f t="shared" si="3"/>
        <v/>
      </c>
      <c r="AU18" s="600" t="str">
        <f t="shared" si="3"/>
        <v/>
      </c>
      <c r="AV18" s="600" t="str">
        <f t="shared" si="3"/>
        <v/>
      </c>
      <c r="AW18" s="600"/>
      <c r="AX18" s="600"/>
      <c r="AY18" s="600"/>
      <c r="AZ18" s="600"/>
      <c r="BA18" s="355"/>
      <c r="BB18" s="355"/>
      <c r="BC18" s="355"/>
      <c r="BD18" s="355"/>
      <c r="BE18" s="355"/>
      <c r="BF18" s="355"/>
      <c r="BG18" s="355"/>
      <c r="BH18" s="355"/>
      <c r="BI18" s="355"/>
      <c r="BJ18" s="355"/>
      <c r="BK18" s="355"/>
      <c r="BL18" s="355"/>
      <c r="BM18" s="355"/>
      <c r="BN18" s="355"/>
      <c r="BO18" s="355"/>
      <c r="BP18" s="355"/>
      <c r="BQ18" s="355"/>
      <c r="BR18" s="355"/>
      <c r="BS18" s="355"/>
      <c r="BT18" s="355"/>
      <c r="BU18" s="355"/>
      <c r="BV18" s="355"/>
      <c r="BW18" s="355"/>
      <c r="BX18" s="355"/>
    </row>
    <row r="19" spans="1:76" s="27" customFormat="1">
      <c r="A19" s="355"/>
      <c r="B19" s="355"/>
      <c r="C19" s="115" t="str">
        <f t="shared" si="4"/>
        <v/>
      </c>
      <c r="D19" s="123" t="str">
        <f t="shared" si="5"/>
        <v/>
      </c>
      <c r="E19" s="232" t="str">
        <f>IF(OR(AF19&lt;&gt;"",AO19&lt;&gt;""),IF(MAX(AF19,AO19)&gt;ABS(MIN(AF19,AO19)),MAX(AF19,AO19),IF(AND($N$9=2,'Shear(M)'!B61="#",'Shear(M)'!B60="#",'Shear(M)'!B62="#"),E18,MIN(AF19,AO19))),"")</f>
        <v/>
      </c>
      <c r="F19" s="232" t="str">
        <f t="shared" si="6"/>
        <v/>
      </c>
      <c r="G19" s="115" t="e">
        <f>IF(AND($N$9=2,'Shear(M)'!B61="#",'Shear(M)'!B60="#",'Shear(M)'!B62="#"),G18,IF(OR(AH19&lt;&gt;"",AQ19&lt;&gt;""),MAX(AH19,AQ19),""))</f>
        <v>#VALUE!</v>
      </c>
      <c r="H19" s="115" t="e">
        <f>IF(AND($N$9=2,'Shear(M)'!B61="#",'Shear(M)'!B60="#",'Shear(M)'!B62="#"),H18,IF(OR(AI19&lt;&gt;"",AR19&lt;&gt;""),MIN(AI19,AR19),""))</f>
        <v>#VALUE!</v>
      </c>
      <c r="I19" s="115" t="e">
        <f>IF(AND($N$9=2,'Shear(M)'!B61="#",'Shear(M)'!B60="#",'Shear(M)'!B62="#"),I18,IF(OR(AJ19&lt;&gt;"",AS19&lt;&gt;""),MAX(AJ19,AS19),""))</f>
        <v>#VALUE!</v>
      </c>
      <c r="J19" s="115" t="e">
        <f>IF(AND($N$9=2,'Shear(M)'!B61="#",'Shear(M)'!B60="#",'Shear(M)'!B62="#"),J18,IF(OR(AK19&lt;&gt;"",AT19&lt;&gt;""),MIN(AK19,AT19),""))</f>
        <v>#VALUE!</v>
      </c>
      <c r="K19" s="232" t="str">
        <f t="shared" si="7"/>
        <v/>
      </c>
      <c r="L19" s="232" t="str">
        <f t="shared" si="8"/>
        <v/>
      </c>
      <c r="M19" s="660" t="str">
        <f t="shared" si="9"/>
        <v/>
      </c>
      <c r="N19" s="355"/>
      <c r="O19" s="355"/>
      <c r="P19" s="355"/>
      <c r="Q19" s="355"/>
      <c r="R19" s="600" t="str">
        <f t="shared" si="10"/>
        <v>NA</v>
      </c>
      <c r="S19" s="600"/>
      <c r="T19" s="600"/>
      <c r="U19" s="600"/>
      <c r="V19" s="600"/>
      <c r="W19" s="600"/>
      <c r="X19" s="600"/>
      <c r="Y19" s="600"/>
      <c r="Z19" s="600"/>
      <c r="AA19" s="600"/>
      <c r="AB19" s="600"/>
      <c r="AC19" s="600"/>
      <c r="AD19" s="600">
        <v>8</v>
      </c>
      <c r="AE19" s="600"/>
      <c r="AF19" s="600" t="str">
        <f t="shared" si="11"/>
        <v/>
      </c>
      <c r="AG19" s="600" t="str">
        <f t="shared" si="12"/>
        <v/>
      </c>
      <c r="AH19" s="600" t="str">
        <f t="shared" si="13"/>
        <v/>
      </c>
      <c r="AI19" s="600" t="str">
        <f t="shared" si="14"/>
        <v/>
      </c>
      <c r="AJ19" s="600" t="str">
        <f t="shared" si="15"/>
        <v/>
      </c>
      <c r="AK19" s="600" t="str">
        <f t="shared" si="16"/>
        <v/>
      </c>
      <c r="AL19" s="600" t="str">
        <f t="shared" si="17"/>
        <v/>
      </c>
      <c r="AM19" s="600" t="str">
        <f t="shared" si="18"/>
        <v/>
      </c>
      <c r="AN19" s="600"/>
      <c r="AO19" s="600" t="str">
        <f t="shared" si="3"/>
        <v/>
      </c>
      <c r="AP19" s="600" t="str">
        <f t="shared" si="3"/>
        <v/>
      </c>
      <c r="AQ19" s="600" t="str">
        <f t="shared" si="3"/>
        <v/>
      </c>
      <c r="AR19" s="600" t="str">
        <f t="shared" si="3"/>
        <v/>
      </c>
      <c r="AS19" s="600" t="str">
        <f t="shared" si="3"/>
        <v/>
      </c>
      <c r="AT19" s="600" t="str">
        <f t="shared" si="3"/>
        <v/>
      </c>
      <c r="AU19" s="600" t="str">
        <f t="shared" si="3"/>
        <v/>
      </c>
      <c r="AV19" s="600" t="str">
        <f t="shared" si="3"/>
        <v/>
      </c>
      <c r="AW19" s="600"/>
      <c r="AX19" s="600"/>
      <c r="AY19" s="600"/>
      <c r="AZ19" s="600"/>
      <c r="BA19" s="355"/>
      <c r="BB19" s="355"/>
      <c r="BC19" s="355"/>
      <c r="BD19" s="355"/>
      <c r="BE19" s="355"/>
      <c r="BF19" s="355"/>
      <c r="BG19" s="355"/>
      <c r="BH19" s="355"/>
      <c r="BI19" s="355"/>
      <c r="BJ19" s="355"/>
      <c r="BK19" s="355"/>
      <c r="BL19" s="355"/>
      <c r="BM19" s="355"/>
      <c r="BN19" s="355"/>
      <c r="BO19" s="355"/>
      <c r="BP19" s="355"/>
      <c r="BQ19" s="355"/>
      <c r="BR19" s="355"/>
      <c r="BS19" s="355"/>
      <c r="BT19" s="355"/>
      <c r="BU19" s="355"/>
      <c r="BV19" s="355"/>
      <c r="BW19" s="355"/>
      <c r="BX19" s="355"/>
    </row>
    <row r="20" spans="1:76" s="27" customFormat="1">
      <c r="A20" s="355"/>
      <c r="B20" s="355"/>
      <c r="C20" s="115" t="str">
        <f t="shared" si="4"/>
        <v/>
      </c>
      <c r="D20" s="123" t="str">
        <f t="shared" si="5"/>
        <v/>
      </c>
      <c r="E20" s="232" t="str">
        <f>IF(OR(AF20&lt;&gt;"",AO20&lt;&gt;""),IF(MAX(AF20,AO20)&gt;ABS(MIN(AF20,AO20)),MAX(AF20,AO20),IF(AND($N$9=2,'Shear(M)'!B62="#",'Shear(M)'!B61="#",'Shear(M)'!B63="#"),E19,MIN(AF20,AO20))),"")</f>
        <v/>
      </c>
      <c r="F20" s="232" t="str">
        <f t="shared" si="6"/>
        <v/>
      </c>
      <c r="G20" s="115" t="e">
        <f>IF(AND($N$9=2,'Shear(M)'!B62="#",'Shear(M)'!B61="#",'Shear(M)'!B63="#"),G19,IF(OR(AH20&lt;&gt;"",AQ20&lt;&gt;""),MAX(AH20,AQ20),""))</f>
        <v>#VALUE!</v>
      </c>
      <c r="H20" s="115" t="e">
        <f>IF(AND($N$9=2,'Shear(M)'!B62="#",'Shear(M)'!B61="#",'Shear(M)'!B63="#"),H19,IF(OR(AI20&lt;&gt;"",AR20&lt;&gt;""),MIN(AI20,AR20),""))</f>
        <v>#VALUE!</v>
      </c>
      <c r="I20" s="115" t="e">
        <f>IF(AND($N$9=2,'Shear(M)'!B62="#",'Shear(M)'!B61="#",'Shear(M)'!B63="#"),I19,IF(OR(AJ20&lt;&gt;"",AS20&lt;&gt;""),MAX(AJ20,AS20),""))</f>
        <v>#VALUE!</v>
      </c>
      <c r="J20" s="115" t="e">
        <f>IF(AND($N$9=2,'Shear(M)'!B62="#",'Shear(M)'!B61="#",'Shear(M)'!B63="#"),J19,IF(OR(AK20&lt;&gt;"",AT20&lt;&gt;""),MIN(AK20,AT20),""))</f>
        <v>#VALUE!</v>
      </c>
      <c r="K20" s="232" t="str">
        <f t="shared" si="7"/>
        <v/>
      </c>
      <c r="L20" s="232" t="str">
        <f t="shared" si="8"/>
        <v/>
      </c>
      <c r="M20" s="660" t="str">
        <f t="shared" si="9"/>
        <v/>
      </c>
      <c r="N20" s="355"/>
      <c r="O20" s="355"/>
      <c r="P20" s="355"/>
      <c r="Q20" s="355"/>
      <c r="R20" s="600" t="str">
        <f t="shared" si="10"/>
        <v>NA</v>
      </c>
      <c r="S20" s="600"/>
      <c r="T20" s="600"/>
      <c r="U20" s="600"/>
      <c r="V20" s="600"/>
      <c r="W20" s="600"/>
      <c r="X20" s="600"/>
      <c r="Y20" s="600"/>
      <c r="Z20" s="600"/>
      <c r="AA20" s="600"/>
      <c r="AB20" s="600"/>
      <c r="AC20" s="600"/>
      <c r="AD20" s="600">
        <v>9</v>
      </c>
      <c r="AE20" s="600"/>
      <c r="AF20" s="600" t="str">
        <f t="shared" si="11"/>
        <v/>
      </c>
      <c r="AG20" s="600" t="str">
        <f t="shared" si="12"/>
        <v/>
      </c>
      <c r="AH20" s="600" t="str">
        <f t="shared" si="13"/>
        <v/>
      </c>
      <c r="AI20" s="600" t="str">
        <f t="shared" si="14"/>
        <v/>
      </c>
      <c r="AJ20" s="600" t="str">
        <f t="shared" si="15"/>
        <v/>
      </c>
      <c r="AK20" s="600" t="str">
        <f t="shared" si="16"/>
        <v/>
      </c>
      <c r="AL20" s="600" t="str">
        <f t="shared" si="17"/>
        <v/>
      </c>
      <c r="AM20" s="600" t="str">
        <f t="shared" si="18"/>
        <v/>
      </c>
      <c r="AN20" s="600"/>
      <c r="AO20" s="600" t="str">
        <f t="shared" si="3"/>
        <v/>
      </c>
      <c r="AP20" s="600" t="str">
        <f t="shared" si="3"/>
        <v/>
      </c>
      <c r="AQ20" s="600" t="str">
        <f t="shared" si="3"/>
        <v/>
      </c>
      <c r="AR20" s="600" t="str">
        <f t="shared" si="3"/>
        <v/>
      </c>
      <c r="AS20" s="600" t="str">
        <f t="shared" si="3"/>
        <v/>
      </c>
      <c r="AT20" s="600" t="str">
        <f t="shared" si="3"/>
        <v/>
      </c>
      <c r="AU20" s="600" t="str">
        <f t="shared" si="3"/>
        <v/>
      </c>
      <c r="AV20" s="600" t="str">
        <f t="shared" si="3"/>
        <v/>
      </c>
      <c r="AW20" s="600"/>
      <c r="AX20" s="600"/>
      <c r="AY20" s="600"/>
      <c r="AZ20" s="600"/>
      <c r="BA20" s="355"/>
      <c r="BB20" s="355"/>
      <c r="BC20" s="355"/>
      <c r="BD20" s="355"/>
      <c r="BE20" s="355"/>
      <c r="BF20" s="355"/>
      <c r="BG20" s="355"/>
      <c r="BH20" s="355"/>
      <c r="BI20" s="355"/>
      <c r="BJ20" s="355"/>
      <c r="BK20" s="355"/>
      <c r="BL20" s="355"/>
      <c r="BM20" s="355"/>
      <c r="BN20" s="355"/>
      <c r="BO20" s="355"/>
      <c r="BP20" s="355"/>
      <c r="BQ20" s="355"/>
      <c r="BR20" s="355"/>
      <c r="BS20" s="355"/>
      <c r="BT20" s="355"/>
      <c r="BU20" s="355"/>
      <c r="BV20" s="355"/>
      <c r="BW20" s="355"/>
      <c r="BX20" s="355"/>
    </row>
    <row r="21" spans="1:76" s="27" customFormat="1">
      <c r="A21" s="355"/>
      <c r="B21" s="355"/>
      <c r="C21" s="115" t="str">
        <f t="shared" si="4"/>
        <v/>
      </c>
      <c r="D21" s="123" t="str">
        <f t="shared" si="5"/>
        <v/>
      </c>
      <c r="E21" s="232" t="str">
        <f>IF(OR(AF21&lt;&gt;"",AO21&lt;&gt;""),IF(MAX(AF21,AO21)&gt;ABS(MIN(AF21,AO21)),MAX(AF21,AO21),IF(AND($N$9=2,'Shear(M)'!B63="#",'Shear(M)'!B62="#",'Shear(M)'!B64="#"),E20,MIN(AF21,AO21))),"")</f>
        <v/>
      </c>
      <c r="F21" s="232" t="str">
        <f t="shared" si="6"/>
        <v/>
      </c>
      <c r="G21" s="115" t="e">
        <f>IF(AND($N$9=2,'Shear(M)'!B63="#",'Shear(M)'!B62="#",'Shear(M)'!B64="#"),G20,IF(OR(AH21&lt;&gt;"",AQ21&lt;&gt;""),MAX(AH21,AQ21),""))</f>
        <v>#VALUE!</v>
      </c>
      <c r="H21" s="115" t="e">
        <f>IF(AND($N$9=2,'Shear(M)'!B63="#",'Shear(M)'!B62="#",'Shear(M)'!B64="#"),H20,IF(OR(AI21&lt;&gt;"",AR21&lt;&gt;""),MIN(AI21,AR21),""))</f>
        <v>#VALUE!</v>
      </c>
      <c r="I21" s="115" t="e">
        <f>IF(AND($N$9=2,'Shear(M)'!B63="#",'Shear(M)'!B62="#",'Shear(M)'!B64="#"),I20,IF(OR(AJ21&lt;&gt;"",AS21&lt;&gt;""),MAX(AJ21,AS21),""))</f>
        <v>#VALUE!</v>
      </c>
      <c r="J21" s="115" t="e">
        <f>IF(AND($N$9=2,'Shear(M)'!B63="#",'Shear(M)'!B62="#",'Shear(M)'!B64="#"),J20,IF(OR(AK21&lt;&gt;"",AT21&lt;&gt;""),MIN(AK21,AT21),""))</f>
        <v>#VALUE!</v>
      </c>
      <c r="K21" s="232" t="str">
        <f t="shared" si="7"/>
        <v/>
      </c>
      <c r="L21" s="232" t="str">
        <f t="shared" si="8"/>
        <v/>
      </c>
      <c r="M21" s="660" t="str">
        <f t="shared" si="9"/>
        <v/>
      </c>
      <c r="N21" s="355"/>
      <c r="O21" s="355"/>
      <c r="P21" s="355"/>
      <c r="Q21" s="355"/>
      <c r="R21" s="600" t="str">
        <f t="shared" si="10"/>
        <v>NA</v>
      </c>
      <c r="S21" s="600"/>
      <c r="T21" s="600"/>
      <c r="U21" s="600"/>
      <c r="V21" s="600"/>
      <c r="W21" s="600"/>
      <c r="X21" s="600"/>
      <c r="Y21" s="600"/>
      <c r="Z21" s="600"/>
      <c r="AA21" s="600"/>
      <c r="AB21" s="600"/>
      <c r="AC21" s="600"/>
      <c r="AD21" s="600">
        <v>10</v>
      </c>
      <c r="AE21" s="600"/>
      <c r="AF21" s="600" t="str">
        <f t="shared" si="11"/>
        <v/>
      </c>
      <c r="AG21" s="600" t="str">
        <f t="shared" si="12"/>
        <v/>
      </c>
      <c r="AH21" s="600" t="str">
        <f t="shared" si="13"/>
        <v/>
      </c>
      <c r="AI21" s="600" t="str">
        <f t="shared" si="14"/>
        <v/>
      </c>
      <c r="AJ21" s="600" t="str">
        <f t="shared" si="15"/>
        <v/>
      </c>
      <c r="AK21" s="600" t="str">
        <f t="shared" si="16"/>
        <v/>
      </c>
      <c r="AL21" s="600" t="str">
        <f t="shared" si="17"/>
        <v/>
      </c>
      <c r="AM21" s="600" t="str">
        <f t="shared" si="18"/>
        <v/>
      </c>
      <c r="AN21" s="600"/>
      <c r="AO21" s="600" t="str">
        <f t="shared" si="3"/>
        <v/>
      </c>
      <c r="AP21" s="600" t="str">
        <f t="shared" si="3"/>
        <v/>
      </c>
      <c r="AQ21" s="600" t="str">
        <f t="shared" si="3"/>
        <v/>
      </c>
      <c r="AR21" s="600" t="str">
        <f t="shared" si="3"/>
        <v/>
      </c>
      <c r="AS21" s="600" t="str">
        <f t="shared" si="3"/>
        <v/>
      </c>
      <c r="AT21" s="600" t="str">
        <f t="shared" si="3"/>
        <v/>
      </c>
      <c r="AU21" s="600" t="str">
        <f t="shared" si="3"/>
        <v/>
      </c>
      <c r="AV21" s="600" t="str">
        <f t="shared" si="3"/>
        <v/>
      </c>
      <c r="AW21" s="600"/>
      <c r="AX21" s="600"/>
      <c r="AY21" s="600"/>
      <c r="AZ21" s="600"/>
      <c r="BA21" s="355"/>
      <c r="BB21" s="355"/>
      <c r="BC21" s="355"/>
      <c r="BD21" s="355"/>
      <c r="BE21" s="355"/>
      <c r="BF21" s="355"/>
      <c r="BG21" s="355"/>
      <c r="BH21" s="355"/>
      <c r="BI21" s="355"/>
      <c r="BJ21" s="355"/>
      <c r="BK21" s="355"/>
      <c r="BL21" s="355"/>
      <c r="BM21" s="355"/>
      <c r="BN21" s="355"/>
      <c r="BO21" s="355"/>
      <c r="BP21" s="355"/>
      <c r="BQ21" s="355"/>
      <c r="BR21" s="355"/>
      <c r="BS21" s="355"/>
      <c r="BT21" s="355"/>
      <c r="BU21" s="355"/>
      <c r="BV21" s="355"/>
      <c r="BW21" s="355"/>
      <c r="BX21" s="355"/>
    </row>
    <row r="22" spans="1:76" s="27" customFormat="1">
      <c r="A22" s="355"/>
      <c r="B22" s="355"/>
      <c r="C22" s="115" t="str">
        <f t="shared" si="4"/>
        <v/>
      </c>
      <c r="D22" s="123" t="str">
        <f t="shared" si="5"/>
        <v/>
      </c>
      <c r="E22" s="232" t="str">
        <f>IF(OR(AF22&lt;&gt;"",AO22&lt;&gt;""),IF(MAX(AF22,AO22)&gt;ABS(MIN(AF22,AO22)),MAX(AF22,AO22),IF(AND($N$9=2,'Shear(M)'!B64="#",'Shear(M)'!B63="#",'Shear(M)'!B65="#"),E21,MIN(AF22,AO22))),"")</f>
        <v/>
      </c>
      <c r="F22" s="232" t="str">
        <f t="shared" si="6"/>
        <v/>
      </c>
      <c r="G22" s="115" t="e">
        <f>IF(AND($N$9=2,'Shear(M)'!B64="#",'Shear(M)'!B63="#",'Shear(M)'!B65="#"),G21,IF(OR(AH22&lt;&gt;"",AQ22&lt;&gt;""),MAX(AH22,AQ22),""))</f>
        <v>#VALUE!</v>
      </c>
      <c r="H22" s="115" t="e">
        <f>IF(AND($N$9=2,'Shear(M)'!B64="#",'Shear(M)'!B63="#",'Shear(M)'!B65="#"),H21,IF(OR(AI22&lt;&gt;"",AR22&lt;&gt;""),MIN(AI22,AR22),""))</f>
        <v>#VALUE!</v>
      </c>
      <c r="I22" s="115" t="e">
        <f>IF(AND($N$9=2,'Shear(M)'!B64="#",'Shear(M)'!B63="#",'Shear(M)'!B65="#"),I21,IF(OR(AJ22&lt;&gt;"",AS22&lt;&gt;""),MAX(AJ22,AS22),""))</f>
        <v>#VALUE!</v>
      </c>
      <c r="J22" s="115" t="e">
        <f>IF(AND($N$9=2,'Shear(M)'!B64="#",'Shear(M)'!B63="#",'Shear(M)'!B65="#"),J21,IF(OR(AK22&lt;&gt;"",AT22&lt;&gt;""),MIN(AK22,AT22),""))</f>
        <v>#VALUE!</v>
      </c>
      <c r="K22" s="232" t="str">
        <f t="shared" si="7"/>
        <v/>
      </c>
      <c r="L22" s="232" t="str">
        <f t="shared" si="8"/>
        <v/>
      </c>
      <c r="M22" s="660" t="str">
        <f t="shared" si="9"/>
        <v/>
      </c>
      <c r="N22" s="355"/>
      <c r="O22" s="355"/>
      <c r="P22" s="355"/>
      <c r="Q22" s="355"/>
      <c r="R22" s="600" t="str">
        <f t="shared" si="10"/>
        <v>NA</v>
      </c>
      <c r="S22" s="600"/>
      <c r="T22" s="600"/>
      <c r="U22" s="600"/>
      <c r="V22" s="600"/>
      <c r="W22" s="600"/>
      <c r="X22" s="600"/>
      <c r="Y22" s="600"/>
      <c r="Z22" s="600"/>
      <c r="AA22" s="600"/>
      <c r="AB22" s="600"/>
      <c r="AC22" s="600"/>
      <c r="AD22" s="600">
        <v>11</v>
      </c>
      <c r="AE22" s="600"/>
      <c r="AF22" s="600" t="str">
        <f t="shared" si="11"/>
        <v/>
      </c>
      <c r="AG22" s="600" t="str">
        <f t="shared" si="12"/>
        <v/>
      </c>
      <c r="AH22" s="600" t="str">
        <f t="shared" si="13"/>
        <v/>
      </c>
      <c r="AI22" s="600" t="str">
        <f t="shared" si="14"/>
        <v/>
      </c>
      <c r="AJ22" s="600" t="str">
        <f t="shared" si="15"/>
        <v/>
      </c>
      <c r="AK22" s="600" t="str">
        <f t="shared" si="16"/>
        <v/>
      </c>
      <c r="AL22" s="600" t="str">
        <f t="shared" si="17"/>
        <v/>
      </c>
      <c r="AM22" s="600" t="str">
        <f t="shared" si="18"/>
        <v/>
      </c>
      <c r="AN22" s="600"/>
      <c r="AO22" s="600" t="str">
        <f t="shared" si="3"/>
        <v/>
      </c>
      <c r="AP22" s="600" t="str">
        <f t="shared" si="3"/>
        <v/>
      </c>
      <c r="AQ22" s="600" t="str">
        <f t="shared" si="3"/>
        <v/>
      </c>
      <c r="AR22" s="600" t="str">
        <f t="shared" si="3"/>
        <v/>
      </c>
      <c r="AS22" s="600" t="str">
        <f t="shared" si="3"/>
        <v/>
      </c>
      <c r="AT22" s="600" t="str">
        <f t="shared" si="3"/>
        <v/>
      </c>
      <c r="AU22" s="600" t="str">
        <f t="shared" si="3"/>
        <v/>
      </c>
      <c r="AV22" s="600" t="str">
        <f t="shared" si="3"/>
        <v/>
      </c>
      <c r="AW22" s="600"/>
      <c r="AX22" s="600"/>
      <c r="AY22" s="600"/>
      <c r="AZ22" s="600"/>
      <c r="BA22" s="355"/>
      <c r="BB22" s="355"/>
      <c r="BC22" s="355"/>
      <c r="BD22" s="355"/>
      <c r="BE22" s="355"/>
      <c r="BF22" s="355"/>
      <c r="BG22" s="355"/>
      <c r="BH22" s="355"/>
      <c r="BI22" s="355"/>
      <c r="BJ22" s="355"/>
      <c r="BK22" s="355"/>
      <c r="BL22" s="355"/>
      <c r="BM22" s="355"/>
      <c r="BN22" s="355"/>
      <c r="BO22" s="355"/>
      <c r="BP22" s="355"/>
      <c r="BQ22" s="355"/>
      <c r="BR22" s="355"/>
      <c r="BS22" s="355"/>
      <c r="BT22" s="355"/>
      <c r="BU22" s="355"/>
      <c r="BV22" s="355"/>
      <c r="BW22" s="355"/>
      <c r="BX22" s="355"/>
    </row>
    <row r="23" spans="1:76" s="27" customFormat="1">
      <c r="A23" s="355"/>
      <c r="B23" s="355"/>
      <c r="C23" s="115" t="str">
        <f t="shared" si="4"/>
        <v/>
      </c>
      <c r="D23" s="123" t="str">
        <f t="shared" si="5"/>
        <v/>
      </c>
      <c r="E23" s="232" t="str">
        <f>IF(OR(AF23&lt;&gt;"",AO23&lt;&gt;""),IF(MAX(AF23,AO23)&gt;ABS(MIN(AF23,AO23)),MAX(AF23,AO23),IF(AND($N$9=2,'Shear(M)'!B65="#",'Shear(M)'!B64="#",'Shear(M)'!B66="#"),E22,MIN(AF23,AO23))),"")</f>
        <v/>
      </c>
      <c r="F23" s="232" t="str">
        <f t="shared" si="6"/>
        <v/>
      </c>
      <c r="G23" s="115" t="e">
        <f>IF(AND($N$9=2,'Shear(M)'!B65="#",'Shear(M)'!B64="#",'Shear(M)'!B66="#"),G22,IF(OR(AH23&lt;&gt;"",AQ23&lt;&gt;""),MAX(AH23,AQ23),""))</f>
        <v>#VALUE!</v>
      </c>
      <c r="H23" s="115" t="e">
        <f>IF(AND($N$9=2,'Shear(M)'!B65="#",'Shear(M)'!B64="#",'Shear(M)'!B66="#"),H22,IF(OR(AI23&lt;&gt;"",AR23&lt;&gt;""),MIN(AI23,AR23),""))</f>
        <v>#VALUE!</v>
      </c>
      <c r="I23" s="115" t="e">
        <f>IF(AND($N$9=2,'Shear(M)'!B65="#",'Shear(M)'!B64="#",'Shear(M)'!B66="#"),I22,IF(OR(AJ23&lt;&gt;"",AS23&lt;&gt;""),MAX(AJ23,AS23),""))</f>
        <v>#VALUE!</v>
      </c>
      <c r="J23" s="115" t="e">
        <f>IF(AND($N$9=2,'Shear(M)'!B65="#",'Shear(M)'!B64="#",'Shear(M)'!B66="#"),J22,IF(OR(AK23&lt;&gt;"",AT23&lt;&gt;""),MIN(AK23,AT23),""))</f>
        <v>#VALUE!</v>
      </c>
      <c r="K23" s="232" t="str">
        <f t="shared" si="7"/>
        <v/>
      </c>
      <c r="L23" s="232" t="str">
        <f t="shared" si="8"/>
        <v/>
      </c>
      <c r="M23" s="660" t="str">
        <f t="shared" si="9"/>
        <v/>
      </c>
      <c r="N23" s="355"/>
      <c r="O23" s="355"/>
      <c r="P23" s="355"/>
      <c r="Q23" s="355"/>
      <c r="R23" s="600" t="str">
        <f t="shared" si="10"/>
        <v>NA</v>
      </c>
      <c r="S23" s="600"/>
      <c r="T23" s="600"/>
      <c r="U23" s="600"/>
      <c r="V23" s="600"/>
      <c r="W23" s="600"/>
      <c r="X23" s="600"/>
      <c r="Y23" s="600"/>
      <c r="Z23" s="600"/>
      <c r="AA23" s="600"/>
      <c r="AB23" s="600"/>
      <c r="AC23" s="600"/>
      <c r="AD23" s="600">
        <v>12</v>
      </c>
      <c r="AE23" s="600"/>
      <c r="AF23" s="600" t="str">
        <f t="shared" si="11"/>
        <v/>
      </c>
      <c r="AG23" s="600" t="str">
        <f t="shared" si="12"/>
        <v/>
      </c>
      <c r="AH23" s="600" t="str">
        <f t="shared" si="13"/>
        <v/>
      </c>
      <c r="AI23" s="600" t="str">
        <f t="shared" si="14"/>
        <v/>
      </c>
      <c r="AJ23" s="600" t="str">
        <f t="shared" si="15"/>
        <v/>
      </c>
      <c r="AK23" s="600" t="str">
        <f t="shared" si="16"/>
        <v/>
      </c>
      <c r="AL23" s="600" t="str">
        <f t="shared" si="17"/>
        <v/>
      </c>
      <c r="AM23" s="600" t="str">
        <f t="shared" si="18"/>
        <v/>
      </c>
      <c r="AN23" s="600"/>
      <c r="AO23" s="600" t="str">
        <f t="shared" si="3"/>
        <v/>
      </c>
      <c r="AP23" s="600" t="str">
        <f t="shared" si="3"/>
        <v/>
      </c>
      <c r="AQ23" s="600" t="str">
        <f t="shared" si="3"/>
        <v/>
      </c>
      <c r="AR23" s="600" t="str">
        <f t="shared" si="3"/>
        <v/>
      </c>
      <c r="AS23" s="600" t="str">
        <f t="shared" si="3"/>
        <v/>
      </c>
      <c r="AT23" s="600" t="str">
        <f t="shared" si="3"/>
        <v/>
      </c>
      <c r="AU23" s="600" t="str">
        <f t="shared" si="3"/>
        <v/>
      </c>
      <c r="AV23" s="600" t="str">
        <f t="shared" si="3"/>
        <v/>
      </c>
      <c r="AW23" s="600"/>
      <c r="AX23" s="600"/>
      <c r="AY23" s="600"/>
      <c r="AZ23" s="600"/>
      <c r="BA23" s="355"/>
      <c r="BB23" s="355"/>
      <c r="BC23" s="355"/>
      <c r="BD23" s="355"/>
      <c r="BE23" s="355"/>
      <c r="BF23" s="355"/>
      <c r="BG23" s="355"/>
      <c r="BH23" s="355"/>
      <c r="BI23" s="355"/>
      <c r="BJ23" s="355"/>
      <c r="BK23" s="355"/>
      <c r="BL23" s="355"/>
      <c r="BM23" s="355"/>
      <c r="BN23" s="355"/>
      <c r="BO23" s="355"/>
      <c r="BP23" s="355"/>
      <c r="BQ23" s="355"/>
      <c r="BR23" s="355"/>
      <c r="BS23" s="355"/>
      <c r="BT23" s="355"/>
      <c r="BU23" s="355"/>
      <c r="BV23" s="355"/>
      <c r="BW23" s="355"/>
      <c r="BX23" s="355"/>
    </row>
    <row r="24" spans="1:76" s="27" customFormat="1">
      <c r="A24" s="355"/>
      <c r="B24" s="355"/>
      <c r="C24" s="115" t="str">
        <f t="shared" si="4"/>
        <v/>
      </c>
      <c r="D24" s="123" t="str">
        <f t="shared" si="5"/>
        <v/>
      </c>
      <c r="E24" s="232" t="str">
        <f>IF(OR(AF24&lt;&gt;"",AO24&lt;&gt;""),IF(MAX(AF24,AO24)&gt;ABS(MIN(AF24,AO24)),MAX(AF24,AO24),IF(AND($N$9=2,'Shear(M)'!B66="#",'Shear(M)'!B65="#",'Shear(M)'!B67="#"),E23,MIN(AF24,AO24))),"")</f>
        <v/>
      </c>
      <c r="F24" s="232" t="str">
        <f t="shared" si="6"/>
        <v/>
      </c>
      <c r="G24" s="115" t="e">
        <f>IF(AND($N$9=2,'Shear(M)'!B66="#",'Shear(M)'!B65="#",'Shear(M)'!B67="#"),G23,IF(OR(AH24&lt;&gt;"",AQ24&lt;&gt;""),MAX(AH24,AQ24),""))</f>
        <v>#VALUE!</v>
      </c>
      <c r="H24" s="115" t="e">
        <f>IF(AND($N$9=2,'Shear(M)'!B66="#",'Shear(M)'!B65="#",'Shear(M)'!B67="#"),H23,IF(OR(AI24&lt;&gt;"",AR24&lt;&gt;""),MIN(AI24,AR24),""))</f>
        <v>#VALUE!</v>
      </c>
      <c r="I24" s="115" t="e">
        <f>IF(AND($N$9=2,'Shear(M)'!B66="#",'Shear(M)'!B65="#",'Shear(M)'!B67="#"),I23,IF(OR(AJ24&lt;&gt;"",AS24&lt;&gt;""),MAX(AJ24,AS24),""))</f>
        <v>#VALUE!</v>
      </c>
      <c r="J24" s="115" t="e">
        <f>IF(AND($N$9=2,'Shear(M)'!B66="#",'Shear(M)'!B65="#",'Shear(M)'!B67="#"),J23,IF(OR(AK24&lt;&gt;"",AT24&lt;&gt;""),MIN(AK24,AT24),""))</f>
        <v>#VALUE!</v>
      </c>
      <c r="K24" s="232" t="str">
        <f t="shared" si="7"/>
        <v/>
      </c>
      <c r="L24" s="232" t="str">
        <f t="shared" si="8"/>
        <v/>
      </c>
      <c r="M24" s="660" t="str">
        <f t="shared" si="9"/>
        <v/>
      </c>
      <c r="N24" s="355"/>
      <c r="O24" s="355"/>
      <c r="P24" s="355"/>
      <c r="Q24" s="355"/>
      <c r="R24" s="600" t="str">
        <f t="shared" si="10"/>
        <v>NA</v>
      </c>
      <c r="S24" s="600"/>
      <c r="T24" s="600"/>
      <c r="U24" s="600"/>
      <c r="V24" s="600"/>
      <c r="W24" s="600"/>
      <c r="X24" s="600"/>
      <c r="Y24" s="600"/>
      <c r="Z24" s="600"/>
      <c r="AA24" s="600"/>
      <c r="AB24" s="600"/>
      <c r="AC24" s="600"/>
      <c r="AD24" s="600">
        <v>13</v>
      </c>
      <c r="AE24" s="600"/>
      <c r="AF24" s="600" t="str">
        <f t="shared" si="11"/>
        <v/>
      </c>
      <c r="AG24" s="600" t="str">
        <f t="shared" si="12"/>
        <v/>
      </c>
      <c r="AH24" s="600" t="str">
        <f t="shared" si="13"/>
        <v/>
      </c>
      <c r="AI24" s="600" t="str">
        <f t="shared" si="14"/>
        <v/>
      </c>
      <c r="AJ24" s="600" t="str">
        <f t="shared" si="15"/>
        <v/>
      </c>
      <c r="AK24" s="600" t="str">
        <f t="shared" si="16"/>
        <v/>
      </c>
      <c r="AL24" s="600" t="str">
        <f t="shared" si="17"/>
        <v/>
      </c>
      <c r="AM24" s="600" t="str">
        <f t="shared" si="18"/>
        <v/>
      </c>
      <c r="AN24" s="600"/>
      <c r="AO24" s="600" t="str">
        <f t="shared" si="3"/>
        <v/>
      </c>
      <c r="AP24" s="600" t="str">
        <f t="shared" si="3"/>
        <v/>
      </c>
      <c r="AQ24" s="600" t="str">
        <f t="shared" si="3"/>
        <v/>
      </c>
      <c r="AR24" s="600" t="str">
        <f t="shared" si="3"/>
        <v/>
      </c>
      <c r="AS24" s="600" t="str">
        <f t="shared" si="3"/>
        <v/>
      </c>
      <c r="AT24" s="600" t="str">
        <f t="shared" si="3"/>
        <v/>
      </c>
      <c r="AU24" s="600" t="str">
        <f t="shared" si="3"/>
        <v/>
      </c>
      <c r="AV24" s="600" t="str">
        <f t="shared" si="3"/>
        <v/>
      </c>
      <c r="AW24" s="600"/>
      <c r="AX24" s="600"/>
      <c r="AY24" s="600"/>
      <c r="AZ24" s="600"/>
      <c r="BA24" s="355"/>
      <c r="BB24" s="355"/>
      <c r="BC24" s="355"/>
      <c r="BD24" s="355"/>
      <c r="BE24" s="355"/>
      <c r="BF24" s="355"/>
      <c r="BG24" s="355"/>
      <c r="BH24" s="355"/>
      <c r="BI24" s="355"/>
      <c r="BJ24" s="355"/>
      <c r="BK24" s="355"/>
      <c r="BL24" s="355"/>
      <c r="BM24" s="355"/>
      <c r="BN24" s="355"/>
      <c r="BO24" s="355"/>
      <c r="BP24" s="355"/>
      <c r="BQ24" s="355"/>
      <c r="BR24" s="355"/>
      <c r="BS24" s="355"/>
      <c r="BT24" s="355"/>
      <c r="BU24" s="355"/>
      <c r="BV24" s="355"/>
      <c r="BW24" s="355"/>
      <c r="BX24" s="355"/>
    </row>
    <row r="25" spans="1:76" s="27" customFormat="1">
      <c r="A25" s="355"/>
      <c r="B25" s="355"/>
      <c r="C25" s="115" t="str">
        <f t="shared" si="4"/>
        <v/>
      </c>
      <c r="D25" s="123" t="str">
        <f t="shared" si="5"/>
        <v/>
      </c>
      <c r="E25" s="232" t="str">
        <f>IF(OR(AF25&lt;&gt;"",AO25&lt;&gt;""),IF(MAX(AF25,AO25)&gt;ABS(MIN(AF25,AO25)),MAX(AF25,AO25),IF(AND($N$9=2,'Shear(M)'!B67="#",'Shear(M)'!B66="#",'Shear(M)'!B68="#"),E24,MIN(AF25,AO25))),"")</f>
        <v/>
      </c>
      <c r="F25" s="232" t="str">
        <f t="shared" si="6"/>
        <v/>
      </c>
      <c r="G25" s="115" t="e">
        <f>IF(AND($N$9=2,'Shear(M)'!B67="#",'Shear(M)'!B66="#",'Shear(M)'!B68="#"),G24,IF(OR(AH25&lt;&gt;"",AQ25&lt;&gt;""),MAX(AH25,AQ25),""))</f>
        <v>#VALUE!</v>
      </c>
      <c r="H25" s="115" t="e">
        <f>IF(AND($N$9=2,'Shear(M)'!B67="#",'Shear(M)'!B66="#",'Shear(M)'!B68="#"),H24,IF(OR(AI25&lt;&gt;"",AR25&lt;&gt;""),MIN(AI25,AR25),""))</f>
        <v>#VALUE!</v>
      </c>
      <c r="I25" s="115" t="e">
        <f>IF(AND($N$9=2,'Shear(M)'!B67="#",'Shear(M)'!B66="#",'Shear(M)'!B68="#"),I24,IF(OR(AJ25&lt;&gt;"",AS25&lt;&gt;""),MAX(AJ25,AS25),""))</f>
        <v>#VALUE!</v>
      </c>
      <c r="J25" s="115" t="e">
        <f>IF(AND($N$9=2,'Shear(M)'!B67="#",'Shear(M)'!B66="#",'Shear(M)'!B68="#"),J24,IF(OR(AK25&lt;&gt;"",AT25&lt;&gt;""),MIN(AK25,AT25),""))</f>
        <v>#VALUE!</v>
      </c>
      <c r="K25" s="232" t="str">
        <f t="shared" si="7"/>
        <v/>
      </c>
      <c r="L25" s="232" t="str">
        <f t="shared" si="8"/>
        <v/>
      </c>
      <c r="M25" s="660" t="str">
        <f t="shared" si="9"/>
        <v/>
      </c>
      <c r="N25" s="355"/>
      <c r="O25" s="355"/>
      <c r="P25" s="355"/>
      <c r="Q25" s="355"/>
      <c r="R25" s="600" t="str">
        <f t="shared" si="10"/>
        <v>NA</v>
      </c>
      <c r="S25" s="600"/>
      <c r="T25" s="600"/>
      <c r="U25" s="600"/>
      <c r="V25" s="600"/>
      <c r="W25" s="600"/>
      <c r="X25" s="600"/>
      <c r="Y25" s="600"/>
      <c r="Z25" s="600"/>
      <c r="AA25" s="600"/>
      <c r="AB25" s="600"/>
      <c r="AC25" s="600"/>
      <c r="AD25" s="600">
        <v>14</v>
      </c>
      <c r="AE25" s="600"/>
      <c r="AF25" s="600" t="str">
        <f t="shared" si="11"/>
        <v/>
      </c>
      <c r="AG25" s="600" t="str">
        <f t="shared" si="12"/>
        <v/>
      </c>
      <c r="AH25" s="600" t="str">
        <f t="shared" si="13"/>
        <v/>
      </c>
      <c r="AI25" s="600" t="str">
        <f t="shared" si="14"/>
        <v/>
      </c>
      <c r="AJ25" s="600" t="str">
        <f t="shared" si="15"/>
        <v/>
      </c>
      <c r="AK25" s="600" t="str">
        <f t="shared" si="16"/>
        <v/>
      </c>
      <c r="AL25" s="600" t="str">
        <f t="shared" si="17"/>
        <v/>
      </c>
      <c r="AM25" s="600" t="str">
        <f t="shared" si="18"/>
        <v/>
      </c>
      <c r="AN25" s="600"/>
      <c r="AO25" s="600" t="str">
        <f t="shared" si="3"/>
        <v/>
      </c>
      <c r="AP25" s="600" t="str">
        <f t="shared" si="3"/>
        <v/>
      </c>
      <c r="AQ25" s="600" t="str">
        <f t="shared" si="3"/>
        <v/>
      </c>
      <c r="AR25" s="600" t="str">
        <f t="shared" si="3"/>
        <v/>
      </c>
      <c r="AS25" s="600" t="str">
        <f t="shared" si="3"/>
        <v/>
      </c>
      <c r="AT25" s="600" t="str">
        <f t="shared" si="3"/>
        <v/>
      </c>
      <c r="AU25" s="600" t="str">
        <f t="shared" si="3"/>
        <v/>
      </c>
      <c r="AV25" s="600" t="str">
        <f t="shared" si="3"/>
        <v/>
      </c>
      <c r="AW25" s="600"/>
      <c r="AX25" s="600"/>
      <c r="AY25" s="600"/>
      <c r="AZ25" s="600"/>
      <c r="BA25" s="355"/>
      <c r="BB25" s="355"/>
      <c r="BC25" s="355"/>
      <c r="BD25" s="355"/>
      <c r="BE25" s="355"/>
      <c r="BF25" s="355"/>
      <c r="BG25" s="355"/>
      <c r="BH25" s="355"/>
      <c r="BI25" s="355"/>
      <c r="BJ25" s="355"/>
      <c r="BK25" s="355"/>
      <c r="BL25" s="355"/>
      <c r="BM25" s="355"/>
      <c r="BN25" s="355"/>
      <c r="BO25" s="355"/>
      <c r="BP25" s="355"/>
      <c r="BQ25" s="355"/>
      <c r="BR25" s="355"/>
      <c r="BS25" s="355"/>
      <c r="BT25" s="355"/>
      <c r="BU25" s="355"/>
      <c r="BV25" s="355"/>
      <c r="BW25" s="355"/>
      <c r="BX25" s="355"/>
    </row>
    <row r="26" spans="1:76" s="27" customFormat="1">
      <c r="A26" s="355"/>
      <c r="B26" s="355"/>
      <c r="C26" s="115" t="str">
        <f t="shared" si="4"/>
        <v/>
      </c>
      <c r="D26" s="123" t="str">
        <f t="shared" si="5"/>
        <v/>
      </c>
      <c r="E26" s="232" t="str">
        <f>IF(OR(AF26&lt;&gt;"",AO26&lt;&gt;""),IF(MAX(AF26,AO26)&gt;ABS(MIN(AF26,AO26)),MAX(AF26,AO26),IF(AND($N$9=2,'Shear(M)'!B68="#",'Shear(M)'!B67="#",'Shear(M)'!B69="#"),E25,MIN(AF26,AO26))),"")</f>
        <v/>
      </c>
      <c r="F26" s="232" t="str">
        <f t="shared" si="6"/>
        <v/>
      </c>
      <c r="G26" s="115" t="e">
        <f>IF(AND($N$9=2,'Shear(M)'!B68="#",'Shear(M)'!B67="#",'Shear(M)'!B69="#"),G25,IF(OR(AH26&lt;&gt;"",AQ26&lt;&gt;""),MAX(AH26,AQ26),""))</f>
        <v>#VALUE!</v>
      </c>
      <c r="H26" s="115" t="e">
        <f>IF(AND($N$9=2,'Shear(M)'!B68="#",'Shear(M)'!B67="#",'Shear(M)'!B69="#"),H25,IF(OR(AI26&lt;&gt;"",AR26&lt;&gt;""),MIN(AI26,AR26),""))</f>
        <v>#VALUE!</v>
      </c>
      <c r="I26" s="115" t="e">
        <f>IF(AND($N$9=2,'Shear(M)'!B68="#",'Shear(M)'!B67="#",'Shear(M)'!B69="#"),I25,IF(OR(AJ26&lt;&gt;"",AS26&lt;&gt;""),MAX(AJ26,AS26),""))</f>
        <v>#VALUE!</v>
      </c>
      <c r="J26" s="115" t="e">
        <f>IF(AND($N$9=2,'Shear(M)'!B68="#",'Shear(M)'!B67="#",'Shear(M)'!B69="#"),J25,IF(OR(AK26&lt;&gt;"",AT26&lt;&gt;""),MIN(AK26,AT26),""))</f>
        <v>#VALUE!</v>
      </c>
      <c r="K26" s="232" t="str">
        <f t="shared" si="7"/>
        <v/>
      </c>
      <c r="L26" s="232" t="str">
        <f t="shared" si="8"/>
        <v/>
      </c>
      <c r="M26" s="660" t="str">
        <f t="shared" si="9"/>
        <v/>
      </c>
      <c r="N26" s="355"/>
      <c r="O26" s="355"/>
      <c r="P26" s="355"/>
      <c r="Q26" s="355"/>
      <c r="R26" s="600" t="str">
        <f t="shared" si="10"/>
        <v>NA</v>
      </c>
      <c r="S26" s="600"/>
      <c r="T26" s="600"/>
      <c r="U26" s="600"/>
      <c r="V26" s="600"/>
      <c r="W26" s="600"/>
      <c r="X26" s="600"/>
      <c r="Y26" s="600"/>
      <c r="Z26" s="600"/>
      <c r="AA26" s="600"/>
      <c r="AB26" s="600"/>
      <c r="AC26" s="600"/>
      <c r="AD26" s="600">
        <v>15</v>
      </c>
      <c r="AE26" s="600"/>
      <c r="AF26" s="600" t="str">
        <f t="shared" si="11"/>
        <v/>
      </c>
      <c r="AG26" s="600" t="str">
        <f t="shared" si="12"/>
        <v/>
      </c>
      <c r="AH26" s="600" t="str">
        <f t="shared" si="13"/>
        <v/>
      </c>
      <c r="AI26" s="600" t="str">
        <f t="shared" si="14"/>
        <v/>
      </c>
      <c r="AJ26" s="600" t="str">
        <f t="shared" si="15"/>
        <v/>
      </c>
      <c r="AK26" s="600" t="str">
        <f t="shared" si="16"/>
        <v/>
      </c>
      <c r="AL26" s="600" t="str">
        <f t="shared" si="17"/>
        <v/>
      </c>
      <c r="AM26" s="600" t="str">
        <f t="shared" si="18"/>
        <v/>
      </c>
      <c r="AN26" s="600"/>
      <c r="AO26" s="600" t="str">
        <f t="shared" si="3"/>
        <v/>
      </c>
      <c r="AP26" s="600" t="str">
        <f t="shared" si="3"/>
        <v/>
      </c>
      <c r="AQ26" s="600" t="str">
        <f t="shared" si="3"/>
        <v/>
      </c>
      <c r="AR26" s="600" t="str">
        <f t="shared" si="3"/>
        <v/>
      </c>
      <c r="AS26" s="600" t="str">
        <f t="shared" si="3"/>
        <v/>
      </c>
      <c r="AT26" s="600" t="str">
        <f t="shared" si="3"/>
        <v/>
      </c>
      <c r="AU26" s="600" t="str">
        <f t="shared" si="3"/>
        <v/>
      </c>
      <c r="AV26" s="600" t="str">
        <f t="shared" si="3"/>
        <v/>
      </c>
      <c r="AW26" s="600"/>
      <c r="AX26" s="600"/>
      <c r="AY26" s="600"/>
      <c r="AZ26" s="600"/>
      <c r="BA26" s="355"/>
      <c r="BB26" s="355"/>
      <c r="BC26" s="355"/>
      <c r="BD26" s="355"/>
      <c r="BE26" s="355"/>
      <c r="BF26" s="355"/>
      <c r="BG26" s="355"/>
      <c r="BH26" s="355"/>
      <c r="BI26" s="355"/>
      <c r="BJ26" s="355"/>
      <c r="BK26" s="355"/>
      <c r="BL26" s="355"/>
      <c r="BM26" s="355"/>
      <c r="BN26" s="355"/>
      <c r="BO26" s="355"/>
      <c r="BP26" s="355"/>
      <c r="BQ26" s="355"/>
      <c r="BR26" s="355"/>
      <c r="BS26" s="355"/>
      <c r="BT26" s="355"/>
      <c r="BU26" s="355"/>
      <c r="BV26" s="355"/>
      <c r="BW26" s="355"/>
      <c r="BX26" s="355"/>
    </row>
    <row r="27" spans="1:76" s="27" customFormat="1">
      <c r="A27" s="355"/>
      <c r="B27" s="355"/>
      <c r="C27" s="115" t="str">
        <f t="shared" si="4"/>
        <v/>
      </c>
      <c r="D27" s="123" t="str">
        <f t="shared" si="5"/>
        <v/>
      </c>
      <c r="E27" s="232" t="str">
        <f>IF(OR(AF27&lt;&gt;"",AO27&lt;&gt;""),IF(MAX(AF27,AO27)&gt;ABS(MIN(AF27,AO27)),MAX(AF27,AO27),IF(AND($N$9=2,'Shear(M)'!B69="#",'Shear(M)'!B68="#",'Shear(M)'!B70="#"),E26,MIN(AF27,AO27))),"")</f>
        <v/>
      </c>
      <c r="F27" s="232" t="str">
        <f t="shared" si="6"/>
        <v/>
      </c>
      <c r="G27" s="115" t="e">
        <f>IF(AND($N$9=2,'Shear(M)'!B69="#",'Shear(M)'!B68="#",'Shear(M)'!B70="#"),G26,IF(OR(AH27&lt;&gt;"",AQ27&lt;&gt;""),MAX(AH27,AQ27),""))</f>
        <v>#VALUE!</v>
      </c>
      <c r="H27" s="115" t="e">
        <f>IF(AND($N$9=2,'Shear(M)'!B69="#",'Shear(M)'!B68="#",'Shear(M)'!B70="#"),H26,IF(OR(AI27&lt;&gt;"",AR27&lt;&gt;""),MIN(AI27,AR27),""))</f>
        <v>#VALUE!</v>
      </c>
      <c r="I27" s="115" t="e">
        <f>IF(AND($N$9=2,'Shear(M)'!B69="#",'Shear(M)'!B68="#",'Shear(M)'!B70="#"),I26,IF(OR(AJ27&lt;&gt;"",AS27&lt;&gt;""),MAX(AJ27,AS27),""))</f>
        <v>#VALUE!</v>
      </c>
      <c r="J27" s="115" t="e">
        <f>IF(AND($N$9=2,'Shear(M)'!B69="#",'Shear(M)'!B68="#",'Shear(M)'!B70="#"),J26,IF(OR(AK27&lt;&gt;"",AT27&lt;&gt;""),MIN(AK27,AT27),""))</f>
        <v>#VALUE!</v>
      </c>
      <c r="K27" s="232" t="str">
        <f t="shared" si="7"/>
        <v/>
      </c>
      <c r="L27" s="232" t="str">
        <f t="shared" si="8"/>
        <v/>
      </c>
      <c r="M27" s="660" t="str">
        <f t="shared" si="9"/>
        <v/>
      </c>
      <c r="N27" s="355"/>
      <c r="O27" s="355"/>
      <c r="P27" s="355"/>
      <c r="Q27" s="355"/>
      <c r="R27" s="600" t="str">
        <f t="shared" si="10"/>
        <v>NA</v>
      </c>
      <c r="S27" s="600"/>
      <c r="T27" s="600"/>
      <c r="U27" s="600"/>
      <c r="V27" s="600"/>
      <c r="W27" s="600"/>
      <c r="X27" s="600"/>
      <c r="Y27" s="600"/>
      <c r="Z27" s="600"/>
      <c r="AA27" s="600"/>
      <c r="AB27" s="600"/>
      <c r="AC27" s="600"/>
      <c r="AD27" s="600">
        <v>16</v>
      </c>
      <c r="AE27" s="600"/>
      <c r="AF27" s="600" t="str">
        <f t="shared" si="11"/>
        <v/>
      </c>
      <c r="AG27" s="600" t="str">
        <f t="shared" si="12"/>
        <v/>
      </c>
      <c r="AH27" s="600" t="str">
        <f t="shared" si="13"/>
        <v/>
      </c>
      <c r="AI27" s="600" t="str">
        <f t="shared" si="14"/>
        <v/>
      </c>
      <c r="AJ27" s="600" t="str">
        <f t="shared" si="15"/>
        <v/>
      </c>
      <c r="AK27" s="600" t="str">
        <f t="shared" si="16"/>
        <v/>
      </c>
      <c r="AL27" s="600" t="str">
        <f t="shared" si="17"/>
        <v/>
      </c>
      <c r="AM27" s="600" t="str">
        <f t="shared" si="18"/>
        <v/>
      </c>
      <c r="AN27" s="600"/>
      <c r="AO27" s="600" t="str">
        <f t="shared" si="3"/>
        <v/>
      </c>
      <c r="AP27" s="600" t="str">
        <f t="shared" si="3"/>
        <v/>
      </c>
      <c r="AQ27" s="600" t="str">
        <f t="shared" si="3"/>
        <v/>
      </c>
      <c r="AR27" s="600" t="str">
        <f t="shared" si="3"/>
        <v/>
      </c>
      <c r="AS27" s="600" t="str">
        <f t="shared" si="3"/>
        <v/>
      </c>
      <c r="AT27" s="600" t="str">
        <f t="shared" si="3"/>
        <v/>
      </c>
      <c r="AU27" s="600" t="str">
        <f t="shared" si="3"/>
        <v/>
      </c>
      <c r="AV27" s="600" t="str">
        <f t="shared" si="3"/>
        <v/>
      </c>
      <c r="AW27" s="600"/>
      <c r="AX27" s="600"/>
      <c r="AY27" s="600"/>
      <c r="AZ27" s="600"/>
      <c r="BA27" s="355"/>
      <c r="BB27" s="355"/>
      <c r="BC27" s="355"/>
      <c r="BD27" s="355"/>
      <c r="BE27" s="355"/>
      <c r="BF27" s="355"/>
      <c r="BG27" s="355"/>
      <c r="BH27" s="355"/>
      <c r="BI27" s="355"/>
      <c r="BJ27" s="355"/>
      <c r="BK27" s="355"/>
      <c r="BL27" s="355"/>
      <c r="BM27" s="355"/>
      <c r="BN27" s="355"/>
      <c r="BO27" s="355"/>
      <c r="BP27" s="355"/>
      <c r="BQ27" s="355"/>
      <c r="BR27" s="355"/>
      <c r="BS27" s="355"/>
      <c r="BT27" s="355"/>
      <c r="BU27" s="355"/>
      <c r="BV27" s="355"/>
      <c r="BW27" s="355"/>
      <c r="BX27" s="355"/>
    </row>
    <row r="28" spans="1:76" s="27" customFormat="1">
      <c r="A28" s="355"/>
      <c r="B28" s="355"/>
      <c r="C28" s="115" t="str">
        <f t="shared" si="4"/>
        <v/>
      </c>
      <c r="D28" s="123" t="str">
        <f t="shared" si="5"/>
        <v/>
      </c>
      <c r="E28" s="232" t="str">
        <f>IF(OR(AF28&lt;&gt;"",AO28&lt;&gt;""),IF(MAX(AF28,AO28)&gt;ABS(MIN(AF28,AO28)),MAX(AF28,AO28),IF(AND($N$9=2,'Shear(M)'!B70="#",'Shear(M)'!B69="#",'Shear(M)'!B71="#"),E27,MIN(AF28,AO28))),"")</f>
        <v/>
      </c>
      <c r="F28" s="232" t="str">
        <f t="shared" si="6"/>
        <v/>
      </c>
      <c r="G28" s="115" t="e">
        <f>IF(AND($N$9=2,'Shear(M)'!B70="#",'Shear(M)'!B69="#",'Shear(M)'!B71="#"),G27,IF(OR(AH28&lt;&gt;"",AQ28&lt;&gt;""),MAX(AH28,AQ28),""))</f>
        <v>#VALUE!</v>
      </c>
      <c r="H28" s="115" t="e">
        <f>IF(AND($N$9=2,'Shear(M)'!B70="#",'Shear(M)'!B69="#",'Shear(M)'!B71="#"),H27,IF(OR(AI28&lt;&gt;"",AR28&lt;&gt;""),MIN(AI28,AR28),""))</f>
        <v>#VALUE!</v>
      </c>
      <c r="I28" s="115" t="e">
        <f>IF(AND($N$9=2,'Shear(M)'!B70="#",'Shear(M)'!B69="#",'Shear(M)'!B71="#"),I27,IF(OR(AJ28&lt;&gt;"",AS28&lt;&gt;""),MAX(AJ28,AS28),""))</f>
        <v>#VALUE!</v>
      </c>
      <c r="J28" s="115" t="e">
        <f>IF(AND($N$9=2,'Shear(M)'!B70="#",'Shear(M)'!B69="#",'Shear(M)'!B71="#"),J27,IF(OR(AK28&lt;&gt;"",AT28&lt;&gt;""),MIN(AK28,AT28),""))</f>
        <v>#VALUE!</v>
      </c>
      <c r="K28" s="232" t="str">
        <f t="shared" si="7"/>
        <v/>
      </c>
      <c r="L28" s="232" t="str">
        <f t="shared" si="8"/>
        <v/>
      </c>
      <c r="M28" s="660" t="str">
        <f t="shared" si="9"/>
        <v/>
      </c>
      <c r="N28" s="355"/>
      <c r="O28" s="355"/>
      <c r="P28" s="355"/>
      <c r="Q28" s="355"/>
      <c r="R28" s="600" t="str">
        <f t="shared" si="10"/>
        <v>NA</v>
      </c>
      <c r="S28" s="600"/>
      <c r="T28" s="600"/>
      <c r="U28" s="600"/>
      <c r="V28" s="600"/>
      <c r="W28" s="600"/>
      <c r="X28" s="600"/>
      <c r="Y28" s="600"/>
      <c r="Z28" s="600"/>
      <c r="AA28" s="600"/>
      <c r="AB28" s="600"/>
      <c r="AC28" s="600"/>
      <c r="AD28" s="600">
        <v>17</v>
      </c>
      <c r="AE28" s="600"/>
      <c r="AF28" s="600" t="str">
        <f t="shared" si="11"/>
        <v/>
      </c>
      <c r="AG28" s="600" t="str">
        <f t="shared" si="12"/>
        <v/>
      </c>
      <c r="AH28" s="600" t="str">
        <f t="shared" si="13"/>
        <v/>
      </c>
      <c r="AI28" s="600" t="str">
        <f t="shared" si="14"/>
        <v/>
      </c>
      <c r="AJ28" s="600" t="str">
        <f t="shared" si="15"/>
        <v/>
      </c>
      <c r="AK28" s="600" t="str">
        <f t="shared" si="16"/>
        <v/>
      </c>
      <c r="AL28" s="600" t="str">
        <f t="shared" si="17"/>
        <v/>
      </c>
      <c r="AM28" s="600" t="str">
        <f t="shared" si="18"/>
        <v/>
      </c>
      <c r="AN28" s="600"/>
      <c r="AO28" s="600" t="str">
        <f t="shared" ref="AO28:AV59" si="19">IF(TRIM(INDEX($S:$S,$AD28+$AE$11+11,1))&lt;&gt;$AN$10,"",IF(AO$10="X",INDEX($V:$AC,$AD28+$AE$11+11,AO$9),""))</f>
        <v/>
      </c>
      <c r="AP28" s="600" t="str">
        <f t="shared" si="19"/>
        <v/>
      </c>
      <c r="AQ28" s="600" t="str">
        <f t="shared" si="19"/>
        <v/>
      </c>
      <c r="AR28" s="600" t="str">
        <f t="shared" si="19"/>
        <v/>
      </c>
      <c r="AS28" s="600" t="str">
        <f t="shared" si="19"/>
        <v/>
      </c>
      <c r="AT28" s="600" t="str">
        <f t="shared" si="19"/>
        <v/>
      </c>
      <c r="AU28" s="600" t="str">
        <f t="shared" si="19"/>
        <v/>
      </c>
      <c r="AV28" s="600" t="str">
        <f t="shared" si="19"/>
        <v/>
      </c>
      <c r="AW28" s="600"/>
      <c r="AX28" s="600"/>
      <c r="AY28" s="600"/>
      <c r="AZ28" s="600"/>
      <c r="BA28" s="355"/>
      <c r="BB28" s="355"/>
      <c r="BC28" s="355"/>
      <c r="BD28" s="355"/>
      <c r="BE28" s="355"/>
      <c r="BF28" s="355"/>
      <c r="BG28" s="355"/>
      <c r="BH28" s="355"/>
      <c r="BI28" s="355"/>
      <c r="BJ28" s="355"/>
      <c r="BK28" s="355"/>
      <c r="BL28" s="355"/>
      <c r="BM28" s="355"/>
      <c r="BN28" s="355"/>
      <c r="BO28" s="355"/>
      <c r="BP28" s="355"/>
      <c r="BQ28" s="355"/>
      <c r="BR28" s="355"/>
      <c r="BS28" s="355"/>
      <c r="BT28" s="355"/>
      <c r="BU28" s="355"/>
      <c r="BV28" s="355"/>
      <c r="BW28" s="355"/>
      <c r="BX28" s="355"/>
    </row>
    <row r="29" spans="1:76" s="27" customFormat="1">
      <c r="A29" s="355"/>
      <c r="B29" s="355"/>
      <c r="C29" s="115" t="str">
        <f t="shared" si="4"/>
        <v/>
      </c>
      <c r="D29" s="123" t="str">
        <f t="shared" si="5"/>
        <v/>
      </c>
      <c r="E29" s="232" t="str">
        <f>IF(OR(AF29&lt;&gt;"",AO29&lt;&gt;""),IF(MAX(AF29,AO29)&gt;ABS(MIN(AF29,AO29)),MAX(AF29,AO29),IF(AND($N$9=2,'Shear(M)'!B71="#",'Shear(M)'!B70="#",'Shear(M)'!B72="#"),E28,MIN(AF29,AO29))),"")</f>
        <v/>
      </c>
      <c r="F29" s="232" t="str">
        <f t="shared" si="6"/>
        <v/>
      </c>
      <c r="G29" s="115" t="e">
        <f>IF(AND($N$9=2,'Shear(M)'!B71="#",'Shear(M)'!B70="#",'Shear(M)'!B72="#"),G28,IF(OR(AH29&lt;&gt;"",AQ29&lt;&gt;""),MAX(AH29,AQ29),""))</f>
        <v>#VALUE!</v>
      </c>
      <c r="H29" s="115" t="e">
        <f>IF(AND($N$9=2,'Shear(M)'!B71="#",'Shear(M)'!B70="#",'Shear(M)'!B72="#"),H28,IF(OR(AI29&lt;&gt;"",AR29&lt;&gt;""),MIN(AI29,AR29),""))</f>
        <v>#VALUE!</v>
      </c>
      <c r="I29" s="115" t="e">
        <f>IF(AND($N$9=2,'Shear(M)'!B71="#",'Shear(M)'!B70="#",'Shear(M)'!B72="#"),I28,IF(OR(AJ29&lt;&gt;"",AS29&lt;&gt;""),MAX(AJ29,AS29),""))</f>
        <v>#VALUE!</v>
      </c>
      <c r="J29" s="115" t="e">
        <f>IF(AND($N$9=2,'Shear(M)'!B71="#",'Shear(M)'!B70="#",'Shear(M)'!B72="#"),J28,IF(OR(AK29&lt;&gt;"",AT29&lt;&gt;""),MIN(AK29,AT29),""))</f>
        <v>#VALUE!</v>
      </c>
      <c r="K29" s="232" t="str">
        <f t="shared" si="7"/>
        <v/>
      </c>
      <c r="L29" s="232" t="str">
        <f t="shared" si="8"/>
        <v/>
      </c>
      <c r="M29" s="660" t="str">
        <f t="shared" si="9"/>
        <v/>
      </c>
      <c r="N29" s="355"/>
      <c r="O29" s="355"/>
      <c r="P29" s="355"/>
      <c r="Q29" s="355"/>
      <c r="R29" s="600" t="str">
        <f t="shared" si="10"/>
        <v>NA</v>
      </c>
      <c r="S29" s="600"/>
      <c r="T29" s="600"/>
      <c r="U29" s="600"/>
      <c r="V29" s="600"/>
      <c r="W29" s="600"/>
      <c r="X29" s="600"/>
      <c r="Y29" s="600"/>
      <c r="Z29" s="600"/>
      <c r="AA29" s="600"/>
      <c r="AB29" s="600"/>
      <c r="AC29" s="600"/>
      <c r="AD29" s="600">
        <v>18</v>
      </c>
      <c r="AE29" s="600"/>
      <c r="AF29" s="600" t="str">
        <f t="shared" si="11"/>
        <v/>
      </c>
      <c r="AG29" s="600" t="str">
        <f t="shared" si="12"/>
        <v/>
      </c>
      <c r="AH29" s="600" t="str">
        <f t="shared" si="13"/>
        <v/>
      </c>
      <c r="AI29" s="600" t="str">
        <f t="shared" si="14"/>
        <v/>
      </c>
      <c r="AJ29" s="600" t="str">
        <f t="shared" si="15"/>
        <v/>
      </c>
      <c r="AK29" s="600" t="str">
        <f t="shared" si="16"/>
        <v/>
      </c>
      <c r="AL29" s="600" t="str">
        <f t="shared" si="17"/>
        <v/>
      </c>
      <c r="AM29" s="600" t="str">
        <f t="shared" si="18"/>
        <v/>
      </c>
      <c r="AN29" s="600"/>
      <c r="AO29" s="600" t="str">
        <f t="shared" si="19"/>
        <v/>
      </c>
      <c r="AP29" s="600" t="str">
        <f t="shared" si="19"/>
        <v/>
      </c>
      <c r="AQ29" s="600" t="str">
        <f t="shared" si="19"/>
        <v/>
      </c>
      <c r="AR29" s="600" t="str">
        <f t="shared" si="19"/>
        <v/>
      </c>
      <c r="AS29" s="600" t="str">
        <f t="shared" si="19"/>
        <v/>
      </c>
      <c r="AT29" s="600" t="str">
        <f t="shared" si="19"/>
        <v/>
      </c>
      <c r="AU29" s="600" t="str">
        <f t="shared" si="19"/>
        <v/>
      </c>
      <c r="AV29" s="600" t="str">
        <f t="shared" si="19"/>
        <v/>
      </c>
      <c r="AW29" s="600"/>
      <c r="AX29" s="600"/>
      <c r="AY29" s="600"/>
      <c r="AZ29" s="600"/>
      <c r="BA29" s="355"/>
      <c r="BB29" s="355"/>
      <c r="BC29" s="355"/>
      <c r="BD29" s="355"/>
      <c r="BE29" s="355"/>
      <c r="BF29" s="355"/>
      <c r="BG29" s="355"/>
      <c r="BH29" s="355"/>
      <c r="BI29" s="355"/>
      <c r="BJ29" s="355"/>
      <c r="BK29" s="355"/>
      <c r="BL29" s="355"/>
      <c r="BM29" s="355"/>
      <c r="BN29" s="355"/>
      <c r="BO29" s="355"/>
      <c r="BP29" s="355"/>
      <c r="BQ29" s="355"/>
      <c r="BR29" s="355"/>
      <c r="BS29" s="355"/>
      <c r="BT29" s="355"/>
      <c r="BU29" s="355"/>
      <c r="BV29" s="355"/>
      <c r="BW29" s="355"/>
      <c r="BX29" s="355"/>
    </row>
    <row r="30" spans="1:76" s="27" customFormat="1">
      <c r="A30" s="355"/>
      <c r="B30" s="355"/>
      <c r="C30" s="115" t="str">
        <f t="shared" si="4"/>
        <v/>
      </c>
      <c r="D30" s="123" t="str">
        <f t="shared" si="5"/>
        <v/>
      </c>
      <c r="E30" s="232" t="str">
        <f>IF(OR(AF30&lt;&gt;"",AO30&lt;&gt;""),IF(MAX(AF30,AO30)&gt;ABS(MIN(AF30,AO30)),MAX(AF30,AO30),IF(AND($N$9=2,'Shear(M)'!B72="#",'Shear(M)'!B71="#",'Shear(M)'!B73="#"),E29,MIN(AF30,AO30))),"")</f>
        <v/>
      </c>
      <c r="F30" s="232" t="str">
        <f t="shared" si="6"/>
        <v/>
      </c>
      <c r="G30" s="115" t="e">
        <f>IF(AND($N$9=2,'Shear(M)'!B72="#",'Shear(M)'!B71="#",'Shear(M)'!B73="#"),G29,IF(OR(AH30&lt;&gt;"",AQ30&lt;&gt;""),MAX(AH30,AQ30),""))</f>
        <v>#VALUE!</v>
      </c>
      <c r="H30" s="115" t="e">
        <f>IF(AND($N$9=2,'Shear(M)'!B72="#",'Shear(M)'!B71="#",'Shear(M)'!B73="#"),H29,IF(OR(AI30&lt;&gt;"",AR30&lt;&gt;""),MIN(AI30,AR30),""))</f>
        <v>#VALUE!</v>
      </c>
      <c r="I30" s="115" t="e">
        <f>IF(AND($N$9=2,'Shear(M)'!B72="#",'Shear(M)'!B71="#",'Shear(M)'!B73="#"),I29,IF(OR(AJ30&lt;&gt;"",AS30&lt;&gt;""),MAX(AJ30,AS30),""))</f>
        <v>#VALUE!</v>
      </c>
      <c r="J30" s="115" t="e">
        <f>IF(AND($N$9=2,'Shear(M)'!B72="#",'Shear(M)'!B71="#",'Shear(M)'!B73="#"),J29,IF(OR(AK30&lt;&gt;"",AT30&lt;&gt;""),MIN(AK30,AT30),""))</f>
        <v>#VALUE!</v>
      </c>
      <c r="K30" s="232" t="str">
        <f t="shared" si="7"/>
        <v/>
      </c>
      <c r="L30" s="232" t="str">
        <f t="shared" si="8"/>
        <v/>
      </c>
      <c r="M30" s="660" t="str">
        <f t="shared" si="9"/>
        <v/>
      </c>
      <c r="N30" s="355"/>
      <c r="O30" s="355"/>
      <c r="P30" s="355"/>
      <c r="Q30" s="355"/>
      <c r="R30" s="600" t="str">
        <f t="shared" si="10"/>
        <v>NA</v>
      </c>
      <c r="S30" s="600"/>
      <c r="T30" s="600"/>
      <c r="U30" s="600"/>
      <c r="V30" s="600"/>
      <c r="W30" s="600"/>
      <c r="X30" s="600"/>
      <c r="Y30" s="600"/>
      <c r="Z30" s="600"/>
      <c r="AA30" s="600"/>
      <c r="AB30" s="600"/>
      <c r="AC30" s="600"/>
      <c r="AD30" s="600">
        <v>19</v>
      </c>
      <c r="AE30" s="600"/>
      <c r="AF30" s="600" t="str">
        <f t="shared" si="11"/>
        <v/>
      </c>
      <c r="AG30" s="600" t="str">
        <f t="shared" si="12"/>
        <v/>
      </c>
      <c r="AH30" s="600" t="str">
        <f t="shared" si="13"/>
        <v/>
      </c>
      <c r="AI30" s="600" t="str">
        <f t="shared" si="14"/>
        <v/>
      </c>
      <c r="AJ30" s="600" t="str">
        <f t="shared" si="15"/>
        <v/>
      </c>
      <c r="AK30" s="600" t="str">
        <f t="shared" si="16"/>
        <v/>
      </c>
      <c r="AL30" s="600" t="str">
        <f t="shared" si="17"/>
        <v/>
      </c>
      <c r="AM30" s="600" t="str">
        <f t="shared" si="18"/>
        <v/>
      </c>
      <c r="AN30" s="600"/>
      <c r="AO30" s="600" t="str">
        <f t="shared" si="19"/>
        <v/>
      </c>
      <c r="AP30" s="600" t="str">
        <f t="shared" si="19"/>
        <v/>
      </c>
      <c r="AQ30" s="600" t="str">
        <f t="shared" si="19"/>
        <v/>
      </c>
      <c r="AR30" s="600" t="str">
        <f t="shared" si="19"/>
        <v/>
      </c>
      <c r="AS30" s="600" t="str">
        <f t="shared" si="19"/>
        <v/>
      </c>
      <c r="AT30" s="600" t="str">
        <f t="shared" si="19"/>
        <v/>
      </c>
      <c r="AU30" s="600" t="str">
        <f t="shared" si="19"/>
        <v/>
      </c>
      <c r="AV30" s="600" t="str">
        <f t="shared" si="19"/>
        <v/>
      </c>
      <c r="AW30" s="600"/>
      <c r="AX30" s="600"/>
      <c r="AY30" s="600"/>
      <c r="AZ30" s="600"/>
      <c r="BA30" s="355"/>
      <c r="BB30" s="355"/>
      <c r="BC30" s="355"/>
      <c r="BD30" s="355"/>
      <c r="BE30" s="355"/>
      <c r="BF30" s="355"/>
      <c r="BG30" s="355"/>
      <c r="BH30" s="355"/>
      <c r="BI30" s="355"/>
      <c r="BJ30" s="355"/>
      <c r="BK30" s="355"/>
      <c r="BL30" s="355"/>
      <c r="BM30" s="355"/>
      <c r="BN30" s="355"/>
      <c r="BO30" s="355"/>
      <c r="BP30" s="355"/>
      <c r="BQ30" s="355"/>
      <c r="BR30" s="355"/>
      <c r="BS30" s="355"/>
      <c r="BT30" s="355"/>
      <c r="BU30" s="355"/>
      <c r="BV30" s="355"/>
      <c r="BW30" s="355"/>
      <c r="BX30" s="355"/>
    </row>
    <row r="31" spans="1:76" s="27" customFormat="1">
      <c r="A31" s="355"/>
      <c r="B31" s="355"/>
      <c r="C31" s="115" t="str">
        <f t="shared" si="4"/>
        <v/>
      </c>
      <c r="D31" s="123" t="str">
        <f t="shared" si="5"/>
        <v/>
      </c>
      <c r="E31" s="232" t="str">
        <f>IF(OR(AF31&lt;&gt;"",AO31&lt;&gt;""),IF(MAX(AF31,AO31)&gt;ABS(MIN(AF31,AO31)),MAX(AF31,AO31),IF(AND($N$9=2,'Shear(M)'!B73="#",'Shear(M)'!B72="#",'Shear(M)'!B74="#"),E30,MIN(AF31,AO31))),"")</f>
        <v/>
      </c>
      <c r="F31" s="232" t="str">
        <f t="shared" si="6"/>
        <v/>
      </c>
      <c r="G31" s="115" t="e">
        <f>IF(AND($N$9=2,'Shear(M)'!B73="#",'Shear(M)'!B72="#",'Shear(M)'!B74="#"),G30,IF(OR(AH31&lt;&gt;"",AQ31&lt;&gt;""),MAX(AH31,AQ31),""))</f>
        <v>#VALUE!</v>
      </c>
      <c r="H31" s="115" t="e">
        <f>IF(AND($N$9=2,'Shear(M)'!B73="#",'Shear(M)'!B72="#",'Shear(M)'!B74="#"),H30,IF(OR(AI31&lt;&gt;"",AR31&lt;&gt;""),MIN(AI31,AR31),""))</f>
        <v>#VALUE!</v>
      </c>
      <c r="I31" s="115" t="e">
        <f>IF(AND($N$9=2,'Shear(M)'!B73="#",'Shear(M)'!B72="#",'Shear(M)'!B74="#"),I30,IF(OR(AJ31&lt;&gt;"",AS31&lt;&gt;""),MAX(AJ31,AS31),""))</f>
        <v>#VALUE!</v>
      </c>
      <c r="J31" s="115" t="e">
        <f>IF(AND($N$9=2,'Shear(M)'!B73="#",'Shear(M)'!B72="#",'Shear(M)'!B74="#"),J30,IF(OR(AK31&lt;&gt;"",AT31&lt;&gt;""),MIN(AK31,AT31),""))</f>
        <v>#VALUE!</v>
      </c>
      <c r="K31" s="232" t="str">
        <f t="shared" si="7"/>
        <v/>
      </c>
      <c r="L31" s="232" t="str">
        <f t="shared" si="8"/>
        <v/>
      </c>
      <c r="M31" s="660" t="str">
        <f t="shared" si="9"/>
        <v/>
      </c>
      <c r="N31" s="355"/>
      <c r="O31" s="355"/>
      <c r="P31" s="355"/>
      <c r="Q31" s="355"/>
      <c r="R31" s="600" t="str">
        <f t="shared" si="10"/>
        <v>NA</v>
      </c>
      <c r="S31" s="600"/>
      <c r="T31" s="600"/>
      <c r="U31" s="600"/>
      <c r="V31" s="600"/>
      <c r="W31" s="600"/>
      <c r="X31" s="600"/>
      <c r="Y31" s="600"/>
      <c r="Z31" s="600"/>
      <c r="AA31" s="600"/>
      <c r="AB31" s="600"/>
      <c r="AC31" s="600"/>
      <c r="AD31" s="600">
        <v>20</v>
      </c>
      <c r="AE31" s="600"/>
      <c r="AF31" s="600" t="str">
        <f t="shared" si="11"/>
        <v/>
      </c>
      <c r="AG31" s="600" t="str">
        <f t="shared" si="12"/>
        <v/>
      </c>
      <c r="AH31" s="600" t="str">
        <f t="shared" si="13"/>
        <v/>
      </c>
      <c r="AI31" s="600" t="str">
        <f t="shared" si="14"/>
        <v/>
      </c>
      <c r="AJ31" s="600" t="str">
        <f t="shared" si="15"/>
        <v/>
      </c>
      <c r="AK31" s="600" t="str">
        <f t="shared" si="16"/>
        <v/>
      </c>
      <c r="AL31" s="600" t="str">
        <f t="shared" si="17"/>
        <v/>
      </c>
      <c r="AM31" s="600" t="str">
        <f t="shared" si="18"/>
        <v/>
      </c>
      <c r="AN31" s="600"/>
      <c r="AO31" s="600" t="str">
        <f t="shared" si="19"/>
        <v/>
      </c>
      <c r="AP31" s="600" t="str">
        <f t="shared" si="19"/>
        <v/>
      </c>
      <c r="AQ31" s="600" t="str">
        <f t="shared" si="19"/>
        <v/>
      </c>
      <c r="AR31" s="600" t="str">
        <f t="shared" si="19"/>
        <v/>
      </c>
      <c r="AS31" s="600" t="str">
        <f t="shared" si="19"/>
        <v/>
      </c>
      <c r="AT31" s="600" t="str">
        <f t="shared" si="19"/>
        <v/>
      </c>
      <c r="AU31" s="600" t="str">
        <f t="shared" si="19"/>
        <v/>
      </c>
      <c r="AV31" s="600" t="str">
        <f t="shared" si="19"/>
        <v/>
      </c>
      <c r="AW31" s="600"/>
      <c r="AX31" s="600"/>
      <c r="AY31" s="600"/>
      <c r="AZ31" s="600"/>
      <c r="BA31" s="355"/>
      <c r="BB31" s="355"/>
      <c r="BC31" s="355"/>
      <c r="BD31" s="355"/>
      <c r="BE31" s="355"/>
      <c r="BF31" s="355"/>
      <c r="BG31" s="355"/>
      <c r="BH31" s="355"/>
      <c r="BI31" s="355"/>
      <c r="BJ31" s="355"/>
      <c r="BK31" s="355"/>
      <c r="BL31" s="355"/>
      <c r="BM31" s="355"/>
      <c r="BN31" s="355"/>
      <c r="BO31" s="355"/>
      <c r="BP31" s="355"/>
      <c r="BQ31" s="355"/>
      <c r="BR31" s="355"/>
      <c r="BS31" s="355"/>
      <c r="BT31" s="355"/>
      <c r="BU31" s="355"/>
      <c r="BV31" s="355"/>
      <c r="BW31" s="355"/>
      <c r="BX31" s="355"/>
    </row>
    <row r="32" spans="1:76" s="27" customFormat="1">
      <c r="A32" s="355"/>
      <c r="B32" s="355"/>
      <c r="C32" s="115" t="str">
        <f t="shared" si="4"/>
        <v/>
      </c>
      <c r="D32" s="123" t="str">
        <f t="shared" si="5"/>
        <v/>
      </c>
      <c r="E32" s="232" t="str">
        <f>IF(OR(AF32&lt;&gt;"",AO32&lt;&gt;""),IF(MAX(AF32,AO32)&gt;ABS(MIN(AF32,AO32)),MAX(AF32,AO32),IF(AND($N$9=2,'Shear(M)'!B74="#",'Shear(M)'!B73="#",'Shear(M)'!B75="#"),E31,MIN(AF32,AO32))),"")</f>
        <v/>
      </c>
      <c r="F32" s="232" t="str">
        <f t="shared" si="6"/>
        <v/>
      </c>
      <c r="G32" s="115" t="e">
        <f>IF(AND($N$9=2,'Shear(M)'!B74="#",'Shear(M)'!B73="#",'Shear(M)'!B75="#"),G31,IF(OR(AH32&lt;&gt;"",AQ32&lt;&gt;""),MAX(AH32,AQ32),""))</f>
        <v>#VALUE!</v>
      </c>
      <c r="H32" s="115" t="e">
        <f>IF(AND($N$9=2,'Shear(M)'!B74="#",'Shear(M)'!B73="#",'Shear(M)'!B75="#"),H31,IF(OR(AI32&lt;&gt;"",AR32&lt;&gt;""),MIN(AI32,AR32),""))</f>
        <v>#VALUE!</v>
      </c>
      <c r="I32" s="115" t="e">
        <f>IF(AND($N$9=2,'Shear(M)'!B74="#",'Shear(M)'!B73="#",'Shear(M)'!B75="#"),I31,IF(OR(AJ32&lt;&gt;"",AS32&lt;&gt;""),MAX(AJ32,AS32),""))</f>
        <v>#VALUE!</v>
      </c>
      <c r="J32" s="115" t="e">
        <f>IF(AND($N$9=2,'Shear(M)'!B74="#",'Shear(M)'!B73="#",'Shear(M)'!B75="#"),J31,IF(OR(AK32&lt;&gt;"",AT32&lt;&gt;""),MIN(AK32,AT32),""))</f>
        <v>#VALUE!</v>
      </c>
      <c r="K32" s="232" t="str">
        <f t="shared" si="7"/>
        <v/>
      </c>
      <c r="L32" s="232" t="str">
        <f t="shared" si="8"/>
        <v/>
      </c>
      <c r="M32" s="660" t="str">
        <f t="shared" si="9"/>
        <v/>
      </c>
      <c r="N32" s="355"/>
      <c r="O32" s="355"/>
      <c r="P32" s="355"/>
      <c r="Q32" s="355"/>
      <c r="R32" s="600" t="str">
        <f t="shared" si="10"/>
        <v>NA</v>
      </c>
      <c r="S32" s="600"/>
      <c r="T32" s="600"/>
      <c r="U32" s="600"/>
      <c r="V32" s="600"/>
      <c r="W32" s="600"/>
      <c r="X32" s="600"/>
      <c r="Y32" s="600"/>
      <c r="Z32" s="600"/>
      <c r="AA32" s="600"/>
      <c r="AB32" s="600"/>
      <c r="AC32" s="600"/>
      <c r="AD32" s="600">
        <v>21</v>
      </c>
      <c r="AE32" s="600"/>
      <c r="AF32" s="600" t="str">
        <f t="shared" si="11"/>
        <v/>
      </c>
      <c r="AG32" s="600" t="str">
        <f t="shared" si="12"/>
        <v/>
      </c>
      <c r="AH32" s="600" t="str">
        <f t="shared" si="13"/>
        <v/>
      </c>
      <c r="AI32" s="600" t="str">
        <f t="shared" si="14"/>
        <v/>
      </c>
      <c r="AJ32" s="600" t="str">
        <f t="shared" si="15"/>
        <v/>
      </c>
      <c r="AK32" s="600" t="str">
        <f t="shared" si="16"/>
        <v/>
      </c>
      <c r="AL32" s="600" t="str">
        <f t="shared" si="17"/>
        <v/>
      </c>
      <c r="AM32" s="600" t="str">
        <f t="shared" si="18"/>
        <v/>
      </c>
      <c r="AN32" s="600"/>
      <c r="AO32" s="600" t="str">
        <f t="shared" si="19"/>
        <v/>
      </c>
      <c r="AP32" s="600" t="str">
        <f t="shared" si="19"/>
        <v/>
      </c>
      <c r="AQ32" s="600" t="str">
        <f t="shared" si="19"/>
        <v/>
      </c>
      <c r="AR32" s="600" t="str">
        <f t="shared" si="19"/>
        <v/>
      </c>
      <c r="AS32" s="600" t="str">
        <f t="shared" si="19"/>
        <v/>
      </c>
      <c r="AT32" s="600" t="str">
        <f t="shared" si="19"/>
        <v/>
      </c>
      <c r="AU32" s="600" t="str">
        <f t="shared" si="19"/>
        <v/>
      </c>
      <c r="AV32" s="600" t="str">
        <f t="shared" si="19"/>
        <v/>
      </c>
      <c r="AW32" s="600"/>
      <c r="AX32" s="600"/>
      <c r="AY32" s="600"/>
      <c r="AZ32" s="600"/>
      <c r="BA32" s="355"/>
      <c r="BB32" s="355"/>
      <c r="BC32" s="355"/>
      <c r="BD32" s="355"/>
      <c r="BE32" s="355"/>
      <c r="BF32" s="355"/>
      <c r="BG32" s="355"/>
      <c r="BH32" s="355"/>
      <c r="BI32" s="355"/>
      <c r="BJ32" s="355"/>
      <c r="BK32" s="355"/>
      <c r="BL32" s="355"/>
      <c r="BM32" s="355"/>
      <c r="BN32" s="355"/>
      <c r="BO32" s="355"/>
      <c r="BP32" s="355"/>
      <c r="BQ32" s="355"/>
      <c r="BR32" s="355"/>
      <c r="BS32" s="355"/>
      <c r="BT32" s="355"/>
      <c r="BU32" s="355"/>
      <c r="BV32" s="355"/>
      <c r="BW32" s="355"/>
      <c r="BX32" s="355"/>
    </row>
    <row r="33" spans="1:76" s="27" customFormat="1">
      <c r="A33" s="355"/>
      <c r="B33" s="355"/>
      <c r="C33" s="115" t="str">
        <f t="shared" si="4"/>
        <v/>
      </c>
      <c r="D33" s="123" t="str">
        <f t="shared" si="5"/>
        <v/>
      </c>
      <c r="E33" s="232" t="str">
        <f>IF(OR(AF33&lt;&gt;"",AO33&lt;&gt;""),IF(MAX(AF33,AO33)&gt;ABS(MIN(AF33,AO33)),MAX(AF33,AO33),IF(AND($N$9=2,'Shear(M)'!B75="#",'Shear(M)'!B74="#",'Shear(M)'!B76="#"),E32,MIN(AF33,AO33))),"")</f>
        <v/>
      </c>
      <c r="F33" s="232" t="str">
        <f t="shared" si="6"/>
        <v/>
      </c>
      <c r="G33" s="115" t="e">
        <f>IF(AND($N$9=2,'Shear(M)'!B75="#",'Shear(M)'!B74="#",'Shear(M)'!B76="#"),G32,IF(OR(AH33&lt;&gt;"",AQ33&lt;&gt;""),MAX(AH33,AQ33),""))</f>
        <v>#VALUE!</v>
      </c>
      <c r="H33" s="115" t="e">
        <f>IF(AND($N$9=2,'Shear(M)'!B75="#",'Shear(M)'!B74="#",'Shear(M)'!B76="#"),H32,IF(OR(AI33&lt;&gt;"",AR33&lt;&gt;""),MIN(AI33,AR33),""))</f>
        <v>#VALUE!</v>
      </c>
      <c r="I33" s="115" t="e">
        <f>IF(AND($N$9=2,'Shear(M)'!B75="#",'Shear(M)'!B74="#",'Shear(M)'!B76="#"),I32,IF(OR(AJ33&lt;&gt;"",AS33&lt;&gt;""),MAX(AJ33,AS33),""))</f>
        <v>#VALUE!</v>
      </c>
      <c r="J33" s="115" t="e">
        <f>IF(AND($N$9=2,'Shear(M)'!B75="#",'Shear(M)'!B74="#",'Shear(M)'!B76="#"),J32,IF(OR(AK33&lt;&gt;"",AT33&lt;&gt;""),MIN(AK33,AT33),""))</f>
        <v>#VALUE!</v>
      </c>
      <c r="K33" s="232" t="str">
        <f t="shared" si="7"/>
        <v/>
      </c>
      <c r="L33" s="232" t="str">
        <f t="shared" si="8"/>
        <v/>
      </c>
      <c r="M33" s="660" t="str">
        <f t="shared" si="9"/>
        <v/>
      </c>
      <c r="N33" s="355"/>
      <c r="O33" s="355"/>
      <c r="P33" s="355"/>
      <c r="Q33" s="355"/>
      <c r="R33" s="600" t="str">
        <f t="shared" si="10"/>
        <v>NA</v>
      </c>
      <c r="S33" s="600"/>
      <c r="T33" s="600"/>
      <c r="U33" s="600"/>
      <c r="V33" s="600"/>
      <c r="W33" s="600"/>
      <c r="X33" s="600"/>
      <c r="Y33" s="600"/>
      <c r="Z33" s="600"/>
      <c r="AA33" s="600"/>
      <c r="AB33" s="600"/>
      <c r="AC33" s="600"/>
      <c r="AD33" s="600">
        <v>22</v>
      </c>
      <c r="AE33" s="600"/>
      <c r="AF33" s="600" t="str">
        <f t="shared" si="11"/>
        <v/>
      </c>
      <c r="AG33" s="600" t="str">
        <f t="shared" si="12"/>
        <v/>
      </c>
      <c r="AH33" s="600" t="str">
        <f t="shared" si="13"/>
        <v/>
      </c>
      <c r="AI33" s="600" t="str">
        <f t="shared" si="14"/>
        <v/>
      </c>
      <c r="AJ33" s="600" t="str">
        <f t="shared" si="15"/>
        <v/>
      </c>
      <c r="AK33" s="600" t="str">
        <f t="shared" si="16"/>
        <v/>
      </c>
      <c r="AL33" s="600" t="str">
        <f t="shared" si="17"/>
        <v/>
      </c>
      <c r="AM33" s="600" t="str">
        <f t="shared" si="18"/>
        <v/>
      </c>
      <c r="AN33" s="600"/>
      <c r="AO33" s="600" t="str">
        <f t="shared" si="19"/>
        <v/>
      </c>
      <c r="AP33" s="600" t="str">
        <f t="shared" si="19"/>
        <v/>
      </c>
      <c r="AQ33" s="600" t="str">
        <f t="shared" si="19"/>
        <v/>
      </c>
      <c r="AR33" s="600" t="str">
        <f t="shared" si="19"/>
        <v/>
      </c>
      <c r="AS33" s="600" t="str">
        <f t="shared" si="19"/>
        <v/>
      </c>
      <c r="AT33" s="600" t="str">
        <f t="shared" si="19"/>
        <v/>
      </c>
      <c r="AU33" s="600" t="str">
        <f t="shared" si="19"/>
        <v/>
      </c>
      <c r="AV33" s="600" t="str">
        <f t="shared" si="19"/>
        <v/>
      </c>
      <c r="AW33" s="600"/>
      <c r="AX33" s="600"/>
      <c r="AY33" s="600"/>
      <c r="AZ33" s="600"/>
      <c r="BA33" s="355"/>
      <c r="BB33" s="355"/>
      <c r="BC33" s="355"/>
      <c r="BD33" s="355"/>
      <c r="BE33" s="355"/>
      <c r="BF33" s="355"/>
      <c r="BG33" s="355"/>
      <c r="BH33" s="355"/>
      <c r="BI33" s="355"/>
      <c r="BJ33" s="355"/>
      <c r="BK33" s="355"/>
      <c r="BL33" s="355"/>
      <c r="BM33" s="355"/>
      <c r="BN33" s="355"/>
      <c r="BO33" s="355"/>
      <c r="BP33" s="355"/>
      <c r="BQ33" s="355"/>
      <c r="BR33" s="355"/>
      <c r="BS33" s="355"/>
      <c r="BT33" s="355"/>
      <c r="BU33" s="355"/>
      <c r="BV33" s="355"/>
      <c r="BW33" s="355"/>
      <c r="BX33" s="355"/>
    </row>
    <row r="34" spans="1:76" s="27" customFormat="1">
      <c r="A34" s="355"/>
      <c r="B34" s="355"/>
      <c r="C34" s="115" t="str">
        <f t="shared" si="4"/>
        <v/>
      </c>
      <c r="D34" s="123" t="str">
        <f t="shared" si="5"/>
        <v/>
      </c>
      <c r="E34" s="232" t="str">
        <f>IF(OR(AF34&lt;&gt;"",AO34&lt;&gt;""),IF(MAX(AF34,AO34)&gt;ABS(MIN(AF34,AO34)),MAX(AF34,AO34),IF(AND($N$9=2,'Shear(M)'!B76="#",'Shear(M)'!B75="#",'Shear(M)'!B77="#"),E33,MIN(AF34,AO34))),"")</f>
        <v/>
      </c>
      <c r="F34" s="232" t="str">
        <f t="shared" si="6"/>
        <v/>
      </c>
      <c r="G34" s="115" t="e">
        <f>IF(AND($N$9=2,'Shear(M)'!B76="#",'Shear(M)'!B75="#",'Shear(M)'!B77="#"),G33,IF(OR(AH34&lt;&gt;"",AQ34&lt;&gt;""),MAX(AH34,AQ34),""))</f>
        <v>#VALUE!</v>
      </c>
      <c r="H34" s="115" t="e">
        <f>IF(AND($N$9=2,'Shear(M)'!B76="#",'Shear(M)'!B75="#",'Shear(M)'!B77="#"),H33,IF(OR(AI34&lt;&gt;"",AR34&lt;&gt;""),MIN(AI34,AR34),""))</f>
        <v>#VALUE!</v>
      </c>
      <c r="I34" s="115" t="e">
        <f>IF(AND($N$9=2,'Shear(M)'!B76="#",'Shear(M)'!B75="#",'Shear(M)'!B77="#"),I33,IF(OR(AJ34&lt;&gt;"",AS34&lt;&gt;""),MAX(AJ34,AS34),""))</f>
        <v>#VALUE!</v>
      </c>
      <c r="J34" s="115" t="e">
        <f>IF(AND($N$9=2,'Shear(M)'!B76="#",'Shear(M)'!B75="#",'Shear(M)'!B77="#"),J33,IF(OR(AK34&lt;&gt;"",AT34&lt;&gt;""),MIN(AK34,AT34),""))</f>
        <v>#VALUE!</v>
      </c>
      <c r="K34" s="232" t="str">
        <f t="shared" si="7"/>
        <v/>
      </c>
      <c r="L34" s="232" t="str">
        <f t="shared" si="8"/>
        <v/>
      </c>
      <c r="M34" s="660" t="str">
        <f t="shared" si="9"/>
        <v/>
      </c>
      <c r="N34" s="355"/>
      <c r="O34" s="355"/>
      <c r="P34" s="355"/>
      <c r="Q34" s="355"/>
      <c r="R34" s="600" t="str">
        <f t="shared" si="10"/>
        <v>NA</v>
      </c>
      <c r="S34" s="600"/>
      <c r="T34" s="600"/>
      <c r="U34" s="600"/>
      <c r="V34" s="600"/>
      <c r="W34" s="600"/>
      <c r="X34" s="600"/>
      <c r="Y34" s="600"/>
      <c r="Z34" s="600"/>
      <c r="AA34" s="600"/>
      <c r="AB34" s="600"/>
      <c r="AC34" s="600"/>
      <c r="AD34" s="600">
        <v>23</v>
      </c>
      <c r="AE34" s="600"/>
      <c r="AF34" s="600" t="str">
        <f t="shared" si="11"/>
        <v/>
      </c>
      <c r="AG34" s="600" t="str">
        <f t="shared" si="12"/>
        <v/>
      </c>
      <c r="AH34" s="600" t="str">
        <f t="shared" si="13"/>
        <v/>
      </c>
      <c r="AI34" s="600" t="str">
        <f t="shared" si="14"/>
        <v/>
      </c>
      <c r="AJ34" s="600" t="str">
        <f t="shared" si="15"/>
        <v/>
      </c>
      <c r="AK34" s="600" t="str">
        <f t="shared" si="16"/>
        <v/>
      </c>
      <c r="AL34" s="600" t="str">
        <f t="shared" si="17"/>
        <v/>
      </c>
      <c r="AM34" s="600" t="str">
        <f t="shared" si="18"/>
        <v/>
      </c>
      <c r="AN34" s="600"/>
      <c r="AO34" s="600" t="str">
        <f t="shared" si="19"/>
        <v/>
      </c>
      <c r="AP34" s="600" t="str">
        <f t="shared" si="19"/>
        <v/>
      </c>
      <c r="AQ34" s="600" t="str">
        <f t="shared" si="19"/>
        <v/>
      </c>
      <c r="AR34" s="600" t="str">
        <f t="shared" si="19"/>
        <v/>
      </c>
      <c r="AS34" s="600" t="str">
        <f t="shared" si="19"/>
        <v/>
      </c>
      <c r="AT34" s="600" t="str">
        <f t="shared" si="19"/>
        <v/>
      </c>
      <c r="AU34" s="600" t="str">
        <f t="shared" si="19"/>
        <v/>
      </c>
      <c r="AV34" s="600" t="str">
        <f t="shared" si="19"/>
        <v/>
      </c>
      <c r="AW34" s="600"/>
      <c r="AX34" s="600"/>
      <c r="AY34" s="600"/>
      <c r="AZ34" s="600"/>
      <c r="BA34" s="355"/>
      <c r="BB34" s="355"/>
      <c r="BC34" s="355"/>
      <c r="BD34" s="355"/>
      <c r="BE34" s="355"/>
      <c r="BF34" s="355"/>
      <c r="BG34" s="355"/>
      <c r="BH34" s="355"/>
      <c r="BI34" s="355"/>
      <c r="BJ34" s="355"/>
      <c r="BK34" s="355"/>
      <c r="BL34" s="355"/>
      <c r="BM34" s="355"/>
      <c r="BN34" s="355"/>
      <c r="BO34" s="355"/>
      <c r="BP34" s="355"/>
      <c r="BQ34" s="355"/>
      <c r="BR34" s="355"/>
      <c r="BS34" s="355"/>
      <c r="BT34" s="355"/>
      <c r="BU34" s="355"/>
      <c r="BV34" s="355"/>
      <c r="BW34" s="355"/>
      <c r="BX34" s="355"/>
    </row>
    <row r="35" spans="1:76" s="27" customFormat="1">
      <c r="A35" s="355"/>
      <c r="B35" s="355"/>
      <c r="C35" s="115" t="str">
        <f t="shared" si="4"/>
        <v/>
      </c>
      <c r="D35" s="123" t="str">
        <f t="shared" si="5"/>
        <v/>
      </c>
      <c r="E35" s="232" t="str">
        <f>IF(OR(AF35&lt;&gt;"",AO35&lt;&gt;""),IF(MAX(AF35,AO35)&gt;ABS(MIN(AF35,AO35)),MAX(AF35,AO35),IF(AND($N$9=2,'Shear(M)'!B77="#",'Shear(M)'!B76="#",'Shear(M)'!B78="#"),E34,MIN(AF35,AO35))),"")</f>
        <v/>
      </c>
      <c r="F35" s="232" t="str">
        <f t="shared" si="6"/>
        <v/>
      </c>
      <c r="G35" s="115" t="e">
        <f>IF(AND($N$9=2,'Shear(M)'!B77="#",'Shear(M)'!B76="#",'Shear(M)'!B78="#"),G34,IF(OR(AH35&lt;&gt;"",AQ35&lt;&gt;""),MAX(AH35,AQ35),""))</f>
        <v>#VALUE!</v>
      </c>
      <c r="H35" s="115" t="e">
        <f>IF(AND($N$9=2,'Shear(M)'!B77="#",'Shear(M)'!B76="#",'Shear(M)'!B78="#"),H34,IF(OR(AI35&lt;&gt;"",AR35&lt;&gt;""),MIN(AI35,AR35),""))</f>
        <v>#VALUE!</v>
      </c>
      <c r="I35" s="115" t="e">
        <f>IF(AND($N$9=2,'Shear(M)'!B77="#",'Shear(M)'!B76="#",'Shear(M)'!B78="#"),I34,IF(OR(AJ35&lt;&gt;"",AS35&lt;&gt;""),MAX(AJ35,AS35),""))</f>
        <v>#VALUE!</v>
      </c>
      <c r="J35" s="115" t="e">
        <f>IF(AND($N$9=2,'Shear(M)'!B77="#",'Shear(M)'!B76="#",'Shear(M)'!B78="#"),J34,IF(OR(AK35&lt;&gt;"",AT35&lt;&gt;""),MIN(AK35,AT35),""))</f>
        <v>#VALUE!</v>
      </c>
      <c r="K35" s="232" t="str">
        <f t="shared" si="7"/>
        <v/>
      </c>
      <c r="L35" s="232" t="str">
        <f t="shared" si="8"/>
        <v/>
      </c>
      <c r="M35" s="660" t="str">
        <f t="shared" si="9"/>
        <v/>
      </c>
      <c r="N35" s="355"/>
      <c r="O35" s="355"/>
      <c r="P35" s="355"/>
      <c r="Q35" s="355"/>
      <c r="R35" s="600" t="str">
        <f t="shared" si="10"/>
        <v>NA</v>
      </c>
      <c r="S35" s="600"/>
      <c r="T35" s="600"/>
      <c r="U35" s="600"/>
      <c r="V35" s="600"/>
      <c r="W35" s="600"/>
      <c r="X35" s="600"/>
      <c r="Y35" s="600"/>
      <c r="Z35" s="600"/>
      <c r="AA35" s="600"/>
      <c r="AB35" s="600"/>
      <c r="AC35" s="600"/>
      <c r="AD35" s="600">
        <v>24</v>
      </c>
      <c r="AE35" s="600"/>
      <c r="AF35" s="600" t="str">
        <f t="shared" si="11"/>
        <v/>
      </c>
      <c r="AG35" s="600" t="str">
        <f t="shared" si="12"/>
        <v/>
      </c>
      <c r="AH35" s="600" t="str">
        <f t="shared" si="13"/>
        <v/>
      </c>
      <c r="AI35" s="600" t="str">
        <f t="shared" si="14"/>
        <v/>
      </c>
      <c r="AJ35" s="600" t="str">
        <f t="shared" si="15"/>
        <v/>
      </c>
      <c r="AK35" s="600" t="str">
        <f t="shared" si="16"/>
        <v/>
      </c>
      <c r="AL35" s="600" t="str">
        <f t="shared" si="17"/>
        <v/>
      </c>
      <c r="AM35" s="600" t="str">
        <f t="shared" si="18"/>
        <v/>
      </c>
      <c r="AN35" s="600"/>
      <c r="AO35" s="600" t="str">
        <f t="shared" si="19"/>
        <v/>
      </c>
      <c r="AP35" s="600" t="str">
        <f t="shared" si="19"/>
        <v/>
      </c>
      <c r="AQ35" s="600" t="str">
        <f t="shared" si="19"/>
        <v/>
      </c>
      <c r="AR35" s="600" t="str">
        <f t="shared" si="19"/>
        <v/>
      </c>
      <c r="AS35" s="600" t="str">
        <f t="shared" si="19"/>
        <v/>
      </c>
      <c r="AT35" s="600" t="str">
        <f t="shared" si="19"/>
        <v/>
      </c>
      <c r="AU35" s="600" t="str">
        <f t="shared" si="19"/>
        <v/>
      </c>
      <c r="AV35" s="600" t="str">
        <f t="shared" si="19"/>
        <v/>
      </c>
      <c r="AW35" s="600"/>
      <c r="AX35" s="600"/>
      <c r="AY35" s="600"/>
      <c r="AZ35" s="600"/>
      <c r="BA35" s="355"/>
      <c r="BB35" s="355"/>
      <c r="BC35" s="355"/>
      <c r="BD35" s="355"/>
      <c r="BE35" s="355"/>
      <c r="BF35" s="355"/>
      <c r="BG35" s="355"/>
      <c r="BH35" s="355"/>
      <c r="BI35" s="355"/>
      <c r="BJ35" s="355"/>
      <c r="BK35" s="355"/>
      <c r="BL35" s="355"/>
      <c r="BM35" s="355"/>
      <c r="BN35" s="355"/>
      <c r="BO35" s="355"/>
      <c r="BP35" s="355"/>
      <c r="BQ35" s="355"/>
      <c r="BR35" s="355"/>
      <c r="BS35" s="355"/>
      <c r="BT35" s="355"/>
      <c r="BU35" s="355"/>
      <c r="BV35" s="355"/>
      <c r="BW35" s="355"/>
      <c r="BX35" s="355"/>
    </row>
    <row r="36" spans="1:76" s="27" customFormat="1">
      <c r="A36" s="355"/>
      <c r="B36" s="355"/>
      <c r="C36" s="115" t="str">
        <f t="shared" si="4"/>
        <v/>
      </c>
      <c r="D36" s="123" t="str">
        <f t="shared" si="5"/>
        <v/>
      </c>
      <c r="E36" s="232" t="str">
        <f>IF(OR(AF36&lt;&gt;"",AO36&lt;&gt;""),IF(MAX(AF36,AO36)&gt;ABS(MIN(AF36,AO36)),MAX(AF36,AO36),IF(AND($N$9=2,'Shear(M)'!B78="#",'Shear(M)'!B77="#",'Shear(M)'!B79="#"),E35,MIN(AF36,AO36))),"")</f>
        <v/>
      </c>
      <c r="F36" s="232" t="str">
        <f t="shared" si="6"/>
        <v/>
      </c>
      <c r="G36" s="115" t="e">
        <f>IF(AND($N$9=2,'Shear(M)'!B78="#",'Shear(M)'!B77="#",'Shear(M)'!B79="#"),G35,IF(OR(AH36&lt;&gt;"",AQ36&lt;&gt;""),MAX(AH36,AQ36),""))</f>
        <v>#VALUE!</v>
      </c>
      <c r="H36" s="115" t="e">
        <f>IF(AND($N$9=2,'Shear(M)'!B78="#",'Shear(M)'!B77="#",'Shear(M)'!B79="#"),H35,IF(OR(AI36&lt;&gt;"",AR36&lt;&gt;""),MIN(AI36,AR36),""))</f>
        <v>#VALUE!</v>
      </c>
      <c r="I36" s="115" t="e">
        <f>IF(AND($N$9=2,'Shear(M)'!B78="#",'Shear(M)'!B77="#",'Shear(M)'!B79="#"),I35,IF(OR(AJ36&lt;&gt;"",AS36&lt;&gt;""),MAX(AJ36,AS36),""))</f>
        <v>#VALUE!</v>
      </c>
      <c r="J36" s="115" t="e">
        <f>IF(AND($N$9=2,'Shear(M)'!B78="#",'Shear(M)'!B77="#",'Shear(M)'!B79="#"),J35,IF(OR(AK36&lt;&gt;"",AT36&lt;&gt;""),MIN(AK36,AT36),""))</f>
        <v>#VALUE!</v>
      </c>
      <c r="K36" s="232" t="str">
        <f t="shared" si="7"/>
        <v/>
      </c>
      <c r="L36" s="232" t="str">
        <f t="shared" si="8"/>
        <v/>
      </c>
      <c r="M36" s="660" t="str">
        <f t="shared" si="9"/>
        <v/>
      </c>
      <c r="N36" s="355"/>
      <c r="O36" s="355"/>
      <c r="P36" s="355"/>
      <c r="Q36" s="355"/>
      <c r="R36" s="600" t="str">
        <f t="shared" si="10"/>
        <v>NA</v>
      </c>
      <c r="S36" s="600"/>
      <c r="T36" s="600"/>
      <c r="U36" s="600"/>
      <c r="V36" s="600"/>
      <c r="W36" s="600"/>
      <c r="X36" s="600"/>
      <c r="Y36" s="600"/>
      <c r="Z36" s="600"/>
      <c r="AA36" s="600"/>
      <c r="AB36" s="600"/>
      <c r="AC36" s="600"/>
      <c r="AD36" s="600">
        <v>25</v>
      </c>
      <c r="AE36" s="600"/>
      <c r="AF36" s="600" t="str">
        <f t="shared" si="11"/>
        <v/>
      </c>
      <c r="AG36" s="600" t="str">
        <f t="shared" si="12"/>
        <v/>
      </c>
      <c r="AH36" s="600" t="str">
        <f t="shared" si="13"/>
        <v/>
      </c>
      <c r="AI36" s="600" t="str">
        <f t="shared" si="14"/>
        <v/>
      </c>
      <c r="AJ36" s="600" t="str">
        <f t="shared" si="15"/>
        <v/>
      </c>
      <c r="AK36" s="600" t="str">
        <f t="shared" si="16"/>
        <v/>
      </c>
      <c r="AL36" s="600" t="str">
        <f t="shared" si="17"/>
        <v/>
      </c>
      <c r="AM36" s="600" t="str">
        <f t="shared" si="18"/>
        <v/>
      </c>
      <c r="AN36" s="600"/>
      <c r="AO36" s="600" t="str">
        <f t="shared" si="19"/>
        <v/>
      </c>
      <c r="AP36" s="600" t="str">
        <f t="shared" si="19"/>
        <v/>
      </c>
      <c r="AQ36" s="600" t="str">
        <f t="shared" si="19"/>
        <v/>
      </c>
      <c r="AR36" s="600" t="str">
        <f t="shared" si="19"/>
        <v/>
      </c>
      <c r="AS36" s="600" t="str">
        <f t="shared" si="19"/>
        <v/>
      </c>
      <c r="AT36" s="600" t="str">
        <f t="shared" si="19"/>
        <v/>
      </c>
      <c r="AU36" s="600" t="str">
        <f t="shared" si="19"/>
        <v/>
      </c>
      <c r="AV36" s="600" t="str">
        <f t="shared" si="19"/>
        <v/>
      </c>
      <c r="AW36" s="600"/>
      <c r="AX36" s="600"/>
      <c r="AY36" s="600"/>
      <c r="AZ36" s="600"/>
      <c r="BA36" s="355"/>
      <c r="BB36" s="355"/>
      <c r="BC36" s="355"/>
      <c r="BD36" s="355"/>
      <c r="BE36" s="355"/>
      <c r="BF36" s="355"/>
      <c r="BG36" s="355"/>
      <c r="BH36" s="355"/>
      <c r="BI36" s="355"/>
      <c r="BJ36" s="355"/>
      <c r="BK36" s="355"/>
      <c r="BL36" s="355"/>
      <c r="BM36" s="355"/>
      <c r="BN36" s="355"/>
      <c r="BO36" s="355"/>
      <c r="BP36" s="355"/>
      <c r="BQ36" s="355"/>
      <c r="BR36" s="355"/>
      <c r="BS36" s="355"/>
      <c r="BT36" s="355"/>
      <c r="BU36" s="355"/>
      <c r="BV36" s="355"/>
      <c r="BW36" s="355"/>
      <c r="BX36" s="355"/>
    </row>
    <row r="37" spans="1:76" s="27" customFormat="1">
      <c r="A37" s="355"/>
      <c r="B37" s="355"/>
      <c r="C37" s="115" t="str">
        <f t="shared" si="4"/>
        <v/>
      </c>
      <c r="D37" s="123" t="str">
        <f t="shared" si="5"/>
        <v/>
      </c>
      <c r="E37" s="232" t="str">
        <f>IF(OR(AF37&lt;&gt;"",AO37&lt;&gt;""),IF(MAX(AF37,AO37)&gt;ABS(MIN(AF37,AO37)),MAX(AF37,AO37),IF(AND($N$9=2,'Shear(M)'!B79="#",'Shear(M)'!B78="#",'Shear(M)'!B80="#"),E36,MIN(AF37,AO37))),"")</f>
        <v/>
      </c>
      <c r="F37" s="232" t="str">
        <f t="shared" si="6"/>
        <v/>
      </c>
      <c r="G37" s="115" t="e">
        <f>IF(AND($N$9=2,'Shear(M)'!B79="#",'Shear(M)'!B78="#",'Shear(M)'!B80="#"),G36,IF(OR(AH37&lt;&gt;"",AQ37&lt;&gt;""),MAX(AH37,AQ37),""))</f>
        <v>#VALUE!</v>
      </c>
      <c r="H37" s="115" t="e">
        <f>IF(AND($N$9=2,'Shear(M)'!B79="#",'Shear(M)'!B78="#",'Shear(M)'!B80="#"),H36,IF(OR(AI37&lt;&gt;"",AR37&lt;&gt;""),MIN(AI37,AR37),""))</f>
        <v>#VALUE!</v>
      </c>
      <c r="I37" s="115" t="e">
        <f>IF(AND($N$9=2,'Shear(M)'!B79="#",'Shear(M)'!B78="#",'Shear(M)'!B80="#"),I36,IF(OR(AJ37&lt;&gt;"",AS37&lt;&gt;""),MAX(AJ37,AS37),""))</f>
        <v>#VALUE!</v>
      </c>
      <c r="J37" s="115" t="e">
        <f>IF(AND($N$9=2,'Shear(M)'!B79="#",'Shear(M)'!B78="#",'Shear(M)'!B80="#"),J36,IF(OR(AK37&lt;&gt;"",AT37&lt;&gt;""),MIN(AK37,AT37),""))</f>
        <v>#VALUE!</v>
      </c>
      <c r="K37" s="232" t="str">
        <f t="shared" si="7"/>
        <v/>
      </c>
      <c r="L37" s="232" t="str">
        <f t="shared" si="8"/>
        <v/>
      </c>
      <c r="M37" s="660" t="str">
        <f t="shared" si="9"/>
        <v/>
      </c>
      <c r="N37" s="355"/>
      <c r="O37" s="355"/>
      <c r="P37" s="355"/>
      <c r="Q37" s="355"/>
      <c r="R37" s="600" t="str">
        <f t="shared" si="10"/>
        <v>NA</v>
      </c>
      <c r="S37" s="600"/>
      <c r="T37" s="600"/>
      <c r="U37" s="600"/>
      <c r="V37" s="600"/>
      <c r="W37" s="600"/>
      <c r="X37" s="600"/>
      <c r="Y37" s="600"/>
      <c r="Z37" s="600"/>
      <c r="AA37" s="600"/>
      <c r="AB37" s="600"/>
      <c r="AC37" s="600"/>
      <c r="AD37" s="600">
        <v>26</v>
      </c>
      <c r="AE37" s="600"/>
      <c r="AF37" s="600" t="str">
        <f t="shared" si="11"/>
        <v/>
      </c>
      <c r="AG37" s="600" t="str">
        <f t="shared" si="12"/>
        <v/>
      </c>
      <c r="AH37" s="600" t="str">
        <f t="shared" si="13"/>
        <v/>
      </c>
      <c r="AI37" s="600" t="str">
        <f t="shared" si="14"/>
        <v/>
      </c>
      <c r="AJ37" s="600" t="str">
        <f t="shared" si="15"/>
        <v/>
      </c>
      <c r="AK37" s="600" t="str">
        <f t="shared" si="16"/>
        <v/>
      </c>
      <c r="AL37" s="600" t="str">
        <f t="shared" si="17"/>
        <v/>
      </c>
      <c r="AM37" s="600" t="str">
        <f t="shared" si="18"/>
        <v/>
      </c>
      <c r="AN37" s="600"/>
      <c r="AO37" s="600" t="str">
        <f t="shared" si="19"/>
        <v/>
      </c>
      <c r="AP37" s="600" t="str">
        <f t="shared" si="19"/>
        <v/>
      </c>
      <c r="AQ37" s="600" t="str">
        <f t="shared" si="19"/>
        <v/>
      </c>
      <c r="AR37" s="600" t="str">
        <f t="shared" si="19"/>
        <v/>
      </c>
      <c r="AS37" s="600" t="str">
        <f t="shared" si="19"/>
        <v/>
      </c>
      <c r="AT37" s="600" t="str">
        <f t="shared" si="19"/>
        <v/>
      </c>
      <c r="AU37" s="600" t="str">
        <f t="shared" si="19"/>
        <v/>
      </c>
      <c r="AV37" s="600" t="str">
        <f t="shared" si="19"/>
        <v/>
      </c>
      <c r="AW37" s="600"/>
      <c r="AX37" s="600"/>
      <c r="AY37" s="600"/>
      <c r="AZ37" s="600"/>
      <c r="BA37" s="355"/>
      <c r="BB37" s="355"/>
      <c r="BC37" s="355"/>
      <c r="BD37" s="355"/>
      <c r="BE37" s="355"/>
      <c r="BF37" s="355"/>
      <c r="BG37" s="355"/>
      <c r="BH37" s="355"/>
      <c r="BI37" s="355"/>
      <c r="BJ37" s="355"/>
      <c r="BK37" s="355"/>
      <c r="BL37" s="355"/>
      <c r="BM37" s="355"/>
      <c r="BN37" s="355"/>
      <c r="BO37" s="355"/>
      <c r="BP37" s="355"/>
      <c r="BQ37" s="355"/>
      <c r="BR37" s="355"/>
      <c r="BS37" s="355"/>
      <c r="BT37" s="355"/>
      <c r="BU37" s="355"/>
      <c r="BV37" s="355"/>
      <c r="BW37" s="355"/>
      <c r="BX37" s="355"/>
    </row>
    <row r="38" spans="1:76" s="27" customFormat="1">
      <c r="A38" s="355"/>
      <c r="B38" s="355"/>
      <c r="C38" s="115" t="str">
        <f t="shared" si="4"/>
        <v/>
      </c>
      <c r="D38" s="123" t="str">
        <f t="shared" si="5"/>
        <v/>
      </c>
      <c r="E38" s="232" t="str">
        <f>IF(OR(AF38&lt;&gt;"",AO38&lt;&gt;""),IF(MAX(AF38,AO38)&gt;ABS(MIN(AF38,AO38)),MAX(AF38,AO38),IF(AND($N$9=2,'Shear(M)'!B80="#",'Shear(M)'!B79="#",'Shear(M)'!B81="#"),E37,MIN(AF38,AO38))),"")</f>
        <v/>
      </c>
      <c r="F38" s="232" t="str">
        <f t="shared" si="6"/>
        <v/>
      </c>
      <c r="G38" s="115" t="e">
        <f>IF(AND($N$9=2,'Shear(M)'!B80="#",'Shear(M)'!B79="#",'Shear(M)'!B81="#"),G37,IF(OR(AH38&lt;&gt;"",AQ38&lt;&gt;""),MAX(AH38,AQ38),""))</f>
        <v>#VALUE!</v>
      </c>
      <c r="H38" s="115" t="e">
        <f>IF(AND($N$9=2,'Shear(M)'!B80="#",'Shear(M)'!B79="#",'Shear(M)'!B81="#"),H37,IF(OR(AI38&lt;&gt;"",AR38&lt;&gt;""),MIN(AI38,AR38),""))</f>
        <v>#VALUE!</v>
      </c>
      <c r="I38" s="115" t="e">
        <f>IF(AND($N$9=2,'Shear(M)'!B80="#",'Shear(M)'!B79="#",'Shear(M)'!B81="#"),I37,IF(OR(AJ38&lt;&gt;"",AS38&lt;&gt;""),MAX(AJ38,AS38),""))</f>
        <v>#VALUE!</v>
      </c>
      <c r="J38" s="115" t="e">
        <f>IF(AND($N$9=2,'Shear(M)'!B80="#",'Shear(M)'!B79="#",'Shear(M)'!B81="#"),J37,IF(OR(AK38&lt;&gt;"",AT38&lt;&gt;""),MIN(AK38,AT38),""))</f>
        <v>#VALUE!</v>
      </c>
      <c r="K38" s="232" t="str">
        <f t="shared" si="7"/>
        <v/>
      </c>
      <c r="L38" s="232" t="str">
        <f t="shared" si="8"/>
        <v/>
      </c>
      <c r="M38" s="660" t="str">
        <f t="shared" si="9"/>
        <v/>
      </c>
      <c r="N38" s="355"/>
      <c r="O38" s="355"/>
      <c r="P38" s="355"/>
      <c r="Q38" s="355"/>
      <c r="R38" s="600" t="str">
        <f t="shared" si="10"/>
        <v>NA</v>
      </c>
      <c r="S38" s="600"/>
      <c r="T38" s="600"/>
      <c r="U38" s="600"/>
      <c r="V38" s="600"/>
      <c r="W38" s="600"/>
      <c r="X38" s="600"/>
      <c r="Y38" s="600"/>
      <c r="Z38" s="600"/>
      <c r="AA38" s="600"/>
      <c r="AB38" s="600"/>
      <c r="AC38" s="600"/>
      <c r="AD38" s="600">
        <v>27</v>
      </c>
      <c r="AE38" s="600"/>
      <c r="AF38" s="600" t="str">
        <f t="shared" si="11"/>
        <v/>
      </c>
      <c r="AG38" s="600" t="str">
        <f t="shared" si="12"/>
        <v/>
      </c>
      <c r="AH38" s="600" t="str">
        <f t="shared" si="13"/>
        <v/>
      </c>
      <c r="AI38" s="600" t="str">
        <f t="shared" si="14"/>
        <v/>
      </c>
      <c r="AJ38" s="600" t="str">
        <f t="shared" si="15"/>
        <v/>
      </c>
      <c r="AK38" s="600" t="str">
        <f t="shared" si="16"/>
        <v/>
      </c>
      <c r="AL38" s="600" t="str">
        <f t="shared" si="17"/>
        <v/>
      </c>
      <c r="AM38" s="600" t="str">
        <f t="shared" si="18"/>
        <v/>
      </c>
      <c r="AN38" s="600"/>
      <c r="AO38" s="600" t="str">
        <f t="shared" si="19"/>
        <v/>
      </c>
      <c r="AP38" s="600" t="str">
        <f t="shared" si="19"/>
        <v/>
      </c>
      <c r="AQ38" s="600" t="str">
        <f t="shared" si="19"/>
        <v/>
      </c>
      <c r="AR38" s="600" t="str">
        <f t="shared" si="19"/>
        <v/>
      </c>
      <c r="AS38" s="600" t="str">
        <f t="shared" si="19"/>
        <v/>
      </c>
      <c r="AT38" s="600" t="str">
        <f t="shared" si="19"/>
        <v/>
      </c>
      <c r="AU38" s="600" t="str">
        <f t="shared" si="19"/>
        <v/>
      </c>
      <c r="AV38" s="600" t="str">
        <f t="shared" si="19"/>
        <v/>
      </c>
      <c r="AW38" s="600"/>
      <c r="AX38" s="600"/>
      <c r="AY38" s="600"/>
      <c r="AZ38" s="600"/>
      <c r="BA38" s="355"/>
      <c r="BB38" s="355"/>
      <c r="BC38" s="355"/>
      <c r="BD38" s="355"/>
      <c r="BE38" s="355"/>
      <c r="BF38" s="355"/>
      <c r="BG38" s="355"/>
      <c r="BH38" s="355"/>
      <c r="BI38" s="355"/>
      <c r="BJ38" s="355"/>
      <c r="BK38" s="355"/>
      <c r="BL38" s="355"/>
      <c r="BM38" s="355"/>
      <c r="BN38" s="355"/>
      <c r="BO38" s="355"/>
      <c r="BP38" s="355"/>
      <c r="BQ38" s="355"/>
      <c r="BR38" s="355"/>
      <c r="BS38" s="355"/>
      <c r="BT38" s="355"/>
      <c r="BU38" s="355"/>
      <c r="BV38" s="355"/>
      <c r="BW38" s="355"/>
      <c r="BX38" s="355"/>
    </row>
    <row r="39" spans="1:76" s="27" customFormat="1">
      <c r="A39" s="355"/>
      <c r="B39" s="355"/>
      <c r="C39" s="115" t="str">
        <f t="shared" si="4"/>
        <v/>
      </c>
      <c r="D39" s="123" t="str">
        <f t="shared" si="5"/>
        <v/>
      </c>
      <c r="E39" s="232" t="str">
        <f>IF(OR(AF39&lt;&gt;"",AO39&lt;&gt;""),IF(MAX(AF39,AO39)&gt;ABS(MIN(AF39,AO39)),MAX(AF39,AO39),IF(AND($N$9=2,'Shear(M)'!B81="#",'Shear(M)'!B80="#",'Shear(M)'!B82="#"),E38,MIN(AF39,AO39))),"")</f>
        <v/>
      </c>
      <c r="F39" s="232" t="str">
        <f t="shared" si="6"/>
        <v/>
      </c>
      <c r="G39" s="115" t="e">
        <f>IF(AND($N$9=2,'Shear(M)'!B81="#",'Shear(M)'!B80="#",'Shear(M)'!B82="#"),G38,IF(OR(AH39&lt;&gt;"",AQ39&lt;&gt;""),MAX(AH39,AQ39),""))</f>
        <v>#VALUE!</v>
      </c>
      <c r="H39" s="115" t="e">
        <f>IF(AND($N$9=2,'Shear(M)'!B81="#",'Shear(M)'!B80="#",'Shear(M)'!B82="#"),H38,IF(OR(AI39&lt;&gt;"",AR39&lt;&gt;""),MIN(AI39,AR39),""))</f>
        <v>#VALUE!</v>
      </c>
      <c r="I39" s="115" t="e">
        <f>IF(AND($N$9=2,'Shear(M)'!B81="#",'Shear(M)'!B80="#",'Shear(M)'!B82="#"),I38,IF(OR(AJ39&lt;&gt;"",AS39&lt;&gt;""),MAX(AJ39,AS39),""))</f>
        <v>#VALUE!</v>
      </c>
      <c r="J39" s="115" t="e">
        <f>IF(AND($N$9=2,'Shear(M)'!B81="#",'Shear(M)'!B80="#",'Shear(M)'!B82="#"),J38,IF(OR(AK39&lt;&gt;"",AT39&lt;&gt;""),MIN(AK39,AT39),""))</f>
        <v>#VALUE!</v>
      </c>
      <c r="K39" s="232" t="str">
        <f t="shared" si="7"/>
        <v/>
      </c>
      <c r="L39" s="232" t="str">
        <f t="shared" si="8"/>
        <v/>
      </c>
      <c r="M39" s="660" t="str">
        <f t="shared" si="9"/>
        <v/>
      </c>
      <c r="N39" s="355"/>
      <c r="O39" s="355"/>
      <c r="P39" s="355"/>
      <c r="Q39" s="355"/>
      <c r="R39" s="600" t="str">
        <f t="shared" si="10"/>
        <v>NA</v>
      </c>
      <c r="S39" s="600"/>
      <c r="T39" s="600"/>
      <c r="U39" s="600"/>
      <c r="V39" s="600"/>
      <c r="W39" s="600"/>
      <c r="X39" s="600"/>
      <c r="Y39" s="600"/>
      <c r="Z39" s="600"/>
      <c r="AA39" s="600"/>
      <c r="AB39" s="600"/>
      <c r="AC39" s="600"/>
      <c r="AD39" s="600">
        <v>28</v>
      </c>
      <c r="AE39" s="600"/>
      <c r="AF39" s="600" t="str">
        <f t="shared" si="11"/>
        <v/>
      </c>
      <c r="AG39" s="600" t="str">
        <f t="shared" si="12"/>
        <v/>
      </c>
      <c r="AH39" s="600" t="str">
        <f t="shared" si="13"/>
        <v/>
      </c>
      <c r="AI39" s="600" t="str">
        <f t="shared" si="14"/>
        <v/>
      </c>
      <c r="AJ39" s="600" t="str">
        <f t="shared" si="15"/>
        <v/>
      </c>
      <c r="AK39" s="600" t="str">
        <f t="shared" si="16"/>
        <v/>
      </c>
      <c r="AL39" s="600" t="str">
        <f t="shared" si="17"/>
        <v/>
      </c>
      <c r="AM39" s="600" t="str">
        <f t="shared" si="18"/>
        <v/>
      </c>
      <c r="AN39" s="600"/>
      <c r="AO39" s="600" t="str">
        <f t="shared" si="19"/>
        <v/>
      </c>
      <c r="AP39" s="600" t="str">
        <f t="shared" si="19"/>
        <v/>
      </c>
      <c r="AQ39" s="600" t="str">
        <f t="shared" si="19"/>
        <v/>
      </c>
      <c r="AR39" s="600" t="str">
        <f t="shared" si="19"/>
        <v/>
      </c>
      <c r="AS39" s="600" t="str">
        <f t="shared" si="19"/>
        <v/>
      </c>
      <c r="AT39" s="600" t="str">
        <f t="shared" si="19"/>
        <v/>
      </c>
      <c r="AU39" s="600" t="str">
        <f t="shared" si="19"/>
        <v/>
      </c>
      <c r="AV39" s="600" t="str">
        <f t="shared" si="19"/>
        <v/>
      </c>
      <c r="AW39" s="600"/>
      <c r="AX39" s="600"/>
      <c r="AY39" s="600"/>
      <c r="AZ39" s="600"/>
      <c r="BA39" s="355"/>
      <c r="BB39" s="355"/>
      <c r="BC39" s="355"/>
      <c r="BD39" s="355"/>
      <c r="BE39" s="355"/>
      <c r="BF39" s="355"/>
      <c r="BG39" s="355"/>
      <c r="BH39" s="355"/>
      <c r="BI39" s="355"/>
      <c r="BJ39" s="355"/>
      <c r="BK39" s="355"/>
      <c r="BL39" s="355"/>
      <c r="BM39" s="355"/>
      <c r="BN39" s="355"/>
      <c r="BO39" s="355"/>
      <c r="BP39" s="355"/>
      <c r="BQ39" s="355"/>
      <c r="BR39" s="355"/>
      <c r="BS39" s="355"/>
      <c r="BT39" s="355"/>
      <c r="BU39" s="355"/>
      <c r="BV39" s="355"/>
      <c r="BW39" s="355"/>
      <c r="BX39" s="355"/>
    </row>
    <row r="40" spans="1:76" s="27" customFormat="1">
      <c r="A40" s="355"/>
      <c r="B40" s="355"/>
      <c r="C40" s="115" t="str">
        <f t="shared" si="4"/>
        <v/>
      </c>
      <c r="D40" s="123" t="str">
        <f t="shared" si="5"/>
        <v/>
      </c>
      <c r="E40" s="232" t="str">
        <f>IF(OR(AF40&lt;&gt;"",AO40&lt;&gt;""),IF(MAX(AF40,AO40)&gt;ABS(MIN(AF40,AO40)),MAX(AF40,AO40),IF(AND($N$9=2,'Shear(M)'!B82="#",'Shear(M)'!B81="#",'Shear(M)'!B83="#"),E39,MIN(AF40,AO40))),"")</f>
        <v/>
      </c>
      <c r="F40" s="232" t="str">
        <f t="shared" si="6"/>
        <v/>
      </c>
      <c r="G40" s="115" t="e">
        <f>IF(AND($N$9=2,'Shear(M)'!B82="#",'Shear(M)'!B81="#",'Shear(M)'!B83="#"),G39,IF(OR(AH40&lt;&gt;"",AQ40&lt;&gt;""),MAX(AH40,AQ40),""))</f>
        <v>#VALUE!</v>
      </c>
      <c r="H40" s="115" t="e">
        <f>IF(AND($N$9=2,'Shear(M)'!B82="#",'Shear(M)'!B81="#",'Shear(M)'!B83="#"),H39,IF(OR(AI40&lt;&gt;"",AR40&lt;&gt;""),MIN(AI40,AR40),""))</f>
        <v>#VALUE!</v>
      </c>
      <c r="I40" s="115" t="e">
        <f>IF(AND($N$9=2,'Shear(M)'!B82="#",'Shear(M)'!B81="#",'Shear(M)'!B83="#"),I39,IF(OR(AJ40&lt;&gt;"",AS40&lt;&gt;""),MAX(AJ40,AS40),""))</f>
        <v>#VALUE!</v>
      </c>
      <c r="J40" s="115" t="e">
        <f>IF(AND($N$9=2,'Shear(M)'!B82="#",'Shear(M)'!B81="#",'Shear(M)'!B83="#"),J39,IF(OR(AK40&lt;&gt;"",AT40&lt;&gt;""),MIN(AK40,AT40),""))</f>
        <v>#VALUE!</v>
      </c>
      <c r="K40" s="232" t="str">
        <f t="shared" si="7"/>
        <v/>
      </c>
      <c r="L40" s="232" t="str">
        <f t="shared" si="8"/>
        <v/>
      </c>
      <c r="M40" s="660" t="str">
        <f t="shared" si="9"/>
        <v/>
      </c>
      <c r="N40" s="355"/>
      <c r="O40" s="355"/>
      <c r="P40" s="355"/>
      <c r="Q40" s="355"/>
      <c r="R40" s="600" t="str">
        <f t="shared" si="10"/>
        <v>NA</v>
      </c>
      <c r="S40" s="600"/>
      <c r="T40" s="600"/>
      <c r="U40" s="600"/>
      <c r="V40" s="600"/>
      <c r="W40" s="600"/>
      <c r="X40" s="600"/>
      <c r="Y40" s="600"/>
      <c r="Z40" s="600"/>
      <c r="AA40" s="600"/>
      <c r="AB40" s="600"/>
      <c r="AC40" s="600"/>
      <c r="AD40" s="600">
        <v>29</v>
      </c>
      <c r="AE40" s="600"/>
      <c r="AF40" s="600" t="str">
        <f t="shared" si="11"/>
        <v/>
      </c>
      <c r="AG40" s="600" t="str">
        <f t="shared" si="12"/>
        <v/>
      </c>
      <c r="AH40" s="600" t="str">
        <f t="shared" si="13"/>
        <v/>
      </c>
      <c r="AI40" s="600" t="str">
        <f t="shared" si="14"/>
        <v/>
      </c>
      <c r="AJ40" s="600" t="str">
        <f t="shared" si="15"/>
        <v/>
      </c>
      <c r="AK40" s="600" t="str">
        <f t="shared" si="16"/>
        <v/>
      </c>
      <c r="AL40" s="600" t="str">
        <f t="shared" si="17"/>
        <v/>
      </c>
      <c r="AM40" s="600" t="str">
        <f t="shared" si="18"/>
        <v/>
      </c>
      <c r="AN40" s="600"/>
      <c r="AO40" s="600" t="str">
        <f t="shared" si="19"/>
        <v/>
      </c>
      <c r="AP40" s="600" t="str">
        <f t="shared" si="19"/>
        <v/>
      </c>
      <c r="AQ40" s="600" t="str">
        <f t="shared" si="19"/>
        <v/>
      </c>
      <c r="AR40" s="600" t="str">
        <f t="shared" si="19"/>
        <v/>
      </c>
      <c r="AS40" s="600" t="str">
        <f t="shared" si="19"/>
        <v/>
      </c>
      <c r="AT40" s="600" t="str">
        <f t="shared" si="19"/>
        <v/>
      </c>
      <c r="AU40" s="600" t="str">
        <f t="shared" si="19"/>
        <v/>
      </c>
      <c r="AV40" s="600" t="str">
        <f t="shared" si="19"/>
        <v/>
      </c>
      <c r="AW40" s="600"/>
      <c r="AX40" s="600"/>
      <c r="AY40" s="600"/>
      <c r="AZ40" s="600"/>
      <c r="BA40" s="355"/>
      <c r="BB40" s="355"/>
      <c r="BC40" s="355"/>
      <c r="BD40" s="355"/>
      <c r="BE40" s="355"/>
      <c r="BF40" s="355"/>
      <c r="BG40" s="355"/>
      <c r="BH40" s="355"/>
      <c r="BI40" s="355"/>
      <c r="BJ40" s="355"/>
      <c r="BK40" s="355"/>
      <c r="BL40" s="355"/>
      <c r="BM40" s="355"/>
      <c r="BN40" s="355"/>
      <c r="BO40" s="355"/>
      <c r="BP40" s="355"/>
      <c r="BQ40" s="355"/>
      <c r="BR40" s="355"/>
      <c r="BS40" s="355"/>
      <c r="BT40" s="355"/>
      <c r="BU40" s="355"/>
      <c r="BV40" s="355"/>
      <c r="BW40" s="355"/>
      <c r="BX40" s="355"/>
    </row>
    <row r="41" spans="1:76" s="27" customFormat="1">
      <c r="A41" s="355"/>
      <c r="B41" s="355"/>
      <c r="C41" s="115" t="str">
        <f t="shared" si="4"/>
        <v/>
      </c>
      <c r="D41" s="123" t="str">
        <f t="shared" si="5"/>
        <v/>
      </c>
      <c r="E41" s="232" t="str">
        <f>IF(OR(AF41&lt;&gt;"",AO41&lt;&gt;""),IF(MAX(AF41,AO41)&gt;ABS(MIN(AF41,AO41)),MAX(AF41,AO41),IF(AND($N$9=2,'Shear(M)'!B83="#",'Shear(M)'!B82="#",'Shear(M)'!B84="#"),E40,MIN(AF41,AO41))),"")</f>
        <v/>
      </c>
      <c r="F41" s="232" t="str">
        <f t="shared" si="6"/>
        <v/>
      </c>
      <c r="G41" s="115" t="e">
        <f>IF(AND($N$9=2,'Shear(M)'!B83="#",'Shear(M)'!B82="#",'Shear(M)'!B84="#"),G40,IF(OR(AH41&lt;&gt;"",AQ41&lt;&gt;""),MAX(AH41,AQ41),""))</f>
        <v>#VALUE!</v>
      </c>
      <c r="H41" s="115" t="e">
        <f>IF(AND($N$9=2,'Shear(M)'!B83="#",'Shear(M)'!B82="#",'Shear(M)'!B84="#"),H40,IF(OR(AI41&lt;&gt;"",AR41&lt;&gt;""),MIN(AI41,AR41),""))</f>
        <v>#VALUE!</v>
      </c>
      <c r="I41" s="115" t="e">
        <f>IF(AND($N$9=2,'Shear(M)'!B83="#",'Shear(M)'!B82="#",'Shear(M)'!B84="#"),I40,IF(OR(AJ41&lt;&gt;"",AS41&lt;&gt;""),MAX(AJ41,AS41),""))</f>
        <v>#VALUE!</v>
      </c>
      <c r="J41" s="115" t="e">
        <f>IF(AND($N$9=2,'Shear(M)'!B83="#",'Shear(M)'!B82="#",'Shear(M)'!B84="#"),J40,IF(OR(AK41&lt;&gt;"",AT41&lt;&gt;""),MIN(AK41,AT41),""))</f>
        <v>#VALUE!</v>
      </c>
      <c r="K41" s="232" t="str">
        <f t="shared" si="7"/>
        <v/>
      </c>
      <c r="L41" s="232" t="str">
        <f t="shared" si="8"/>
        <v/>
      </c>
      <c r="M41" s="660" t="str">
        <f t="shared" si="9"/>
        <v/>
      </c>
      <c r="N41" s="355"/>
      <c r="O41" s="355"/>
      <c r="P41" s="355"/>
      <c r="Q41" s="355"/>
      <c r="R41" s="600" t="str">
        <f t="shared" si="10"/>
        <v>NA</v>
      </c>
      <c r="S41" s="600"/>
      <c r="T41" s="600"/>
      <c r="U41" s="600"/>
      <c r="V41" s="600"/>
      <c r="W41" s="600"/>
      <c r="X41" s="600"/>
      <c r="Y41" s="600"/>
      <c r="Z41" s="600"/>
      <c r="AA41" s="600"/>
      <c r="AB41" s="600"/>
      <c r="AC41" s="600"/>
      <c r="AD41" s="600">
        <v>30</v>
      </c>
      <c r="AE41" s="600"/>
      <c r="AF41" s="600" t="str">
        <f t="shared" si="11"/>
        <v/>
      </c>
      <c r="AG41" s="600" t="str">
        <f t="shared" si="12"/>
        <v/>
      </c>
      <c r="AH41" s="600" t="str">
        <f t="shared" si="13"/>
        <v/>
      </c>
      <c r="AI41" s="600" t="str">
        <f t="shared" si="14"/>
        <v/>
      </c>
      <c r="AJ41" s="600" t="str">
        <f t="shared" si="15"/>
        <v/>
      </c>
      <c r="AK41" s="600" t="str">
        <f t="shared" si="16"/>
        <v/>
      </c>
      <c r="AL41" s="600" t="str">
        <f t="shared" si="17"/>
        <v/>
      </c>
      <c r="AM41" s="600" t="str">
        <f t="shared" si="18"/>
        <v/>
      </c>
      <c r="AN41" s="600"/>
      <c r="AO41" s="600" t="str">
        <f t="shared" si="19"/>
        <v/>
      </c>
      <c r="AP41" s="600" t="str">
        <f t="shared" si="19"/>
        <v/>
      </c>
      <c r="AQ41" s="600" t="str">
        <f t="shared" si="19"/>
        <v/>
      </c>
      <c r="AR41" s="600" t="str">
        <f t="shared" si="19"/>
        <v/>
      </c>
      <c r="AS41" s="600" t="str">
        <f t="shared" si="19"/>
        <v/>
      </c>
      <c r="AT41" s="600" t="str">
        <f t="shared" si="19"/>
        <v/>
      </c>
      <c r="AU41" s="600" t="str">
        <f t="shared" si="19"/>
        <v/>
      </c>
      <c r="AV41" s="600" t="str">
        <f t="shared" si="19"/>
        <v/>
      </c>
      <c r="AW41" s="600"/>
      <c r="AX41" s="600"/>
      <c r="AY41" s="600"/>
      <c r="AZ41" s="600"/>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5"/>
      <c r="BW41" s="355"/>
      <c r="BX41" s="355"/>
    </row>
    <row r="42" spans="1:76" s="27" customFormat="1">
      <c r="A42" s="355"/>
      <c r="B42" s="355"/>
      <c r="C42" s="115" t="str">
        <f t="shared" si="4"/>
        <v/>
      </c>
      <c r="D42" s="123" t="str">
        <f t="shared" si="5"/>
        <v/>
      </c>
      <c r="E42" s="232" t="str">
        <f>IF(OR(AF42&lt;&gt;"",AO42&lt;&gt;""),IF(MAX(AF42,AO42)&gt;ABS(MIN(AF42,AO42)),MAX(AF42,AO42),IF(AND($N$9=2,'Shear(M)'!B84="#",'Shear(M)'!B83="#",'Shear(M)'!B85="#"),E41,MIN(AF42,AO42))),"")</f>
        <v/>
      </c>
      <c r="F42" s="232" t="str">
        <f t="shared" si="6"/>
        <v/>
      </c>
      <c r="G42" s="115" t="e">
        <f>IF(AND($N$9=2,'Shear(M)'!B84="#",'Shear(M)'!B83="#",'Shear(M)'!B85="#"),G41,IF(OR(AH42&lt;&gt;"",AQ42&lt;&gt;""),MAX(AH42,AQ42),""))</f>
        <v>#VALUE!</v>
      </c>
      <c r="H42" s="115" t="e">
        <f>IF(AND($N$9=2,'Shear(M)'!B84="#",'Shear(M)'!B83="#",'Shear(M)'!B85="#"),H41,IF(OR(AI42&lt;&gt;"",AR42&lt;&gt;""),MIN(AI42,AR42),""))</f>
        <v>#VALUE!</v>
      </c>
      <c r="I42" s="115" t="e">
        <f>IF(AND($N$9=2,'Shear(M)'!B84="#",'Shear(M)'!B83="#",'Shear(M)'!B85="#"),I41,IF(OR(AJ42&lt;&gt;"",AS42&lt;&gt;""),MAX(AJ42,AS42),""))</f>
        <v>#VALUE!</v>
      </c>
      <c r="J42" s="115" t="e">
        <f>IF(AND($N$9=2,'Shear(M)'!B84="#",'Shear(M)'!B83="#",'Shear(M)'!B85="#"),J41,IF(OR(AK42&lt;&gt;"",AT42&lt;&gt;""),MIN(AK42,AT42),""))</f>
        <v>#VALUE!</v>
      </c>
      <c r="K42" s="232" t="str">
        <f t="shared" si="7"/>
        <v/>
      </c>
      <c r="L42" s="232" t="str">
        <f t="shared" si="8"/>
        <v/>
      </c>
      <c r="M42" s="660" t="str">
        <f t="shared" si="9"/>
        <v/>
      </c>
      <c r="N42" s="355"/>
      <c r="O42" s="355"/>
      <c r="P42" s="355"/>
      <c r="Q42" s="355"/>
      <c r="R42" s="600" t="str">
        <f t="shared" si="10"/>
        <v>NA</v>
      </c>
      <c r="S42" s="600"/>
      <c r="T42" s="600"/>
      <c r="U42" s="600"/>
      <c r="V42" s="600"/>
      <c r="W42" s="600"/>
      <c r="X42" s="600"/>
      <c r="Y42" s="600"/>
      <c r="Z42" s="600"/>
      <c r="AA42" s="600"/>
      <c r="AB42" s="600"/>
      <c r="AC42" s="600"/>
      <c r="AD42" s="600">
        <v>31</v>
      </c>
      <c r="AE42" s="600"/>
      <c r="AF42" s="600" t="str">
        <f t="shared" si="11"/>
        <v/>
      </c>
      <c r="AG42" s="600" t="str">
        <f t="shared" si="12"/>
        <v/>
      </c>
      <c r="AH42" s="600" t="str">
        <f t="shared" si="13"/>
        <v/>
      </c>
      <c r="AI42" s="600" t="str">
        <f t="shared" si="14"/>
        <v/>
      </c>
      <c r="AJ42" s="600" t="str">
        <f t="shared" si="15"/>
        <v/>
      </c>
      <c r="AK42" s="600" t="str">
        <f t="shared" si="16"/>
        <v/>
      </c>
      <c r="AL42" s="600" t="str">
        <f t="shared" si="17"/>
        <v/>
      </c>
      <c r="AM42" s="600" t="str">
        <f t="shared" si="18"/>
        <v/>
      </c>
      <c r="AN42" s="600"/>
      <c r="AO42" s="600" t="str">
        <f t="shared" si="19"/>
        <v/>
      </c>
      <c r="AP42" s="600" t="str">
        <f t="shared" si="19"/>
        <v/>
      </c>
      <c r="AQ42" s="600" t="str">
        <f t="shared" si="19"/>
        <v/>
      </c>
      <c r="AR42" s="600" t="str">
        <f t="shared" si="19"/>
        <v/>
      </c>
      <c r="AS42" s="600" t="str">
        <f t="shared" si="19"/>
        <v/>
      </c>
      <c r="AT42" s="600" t="str">
        <f t="shared" si="19"/>
        <v/>
      </c>
      <c r="AU42" s="600" t="str">
        <f t="shared" si="19"/>
        <v/>
      </c>
      <c r="AV42" s="600" t="str">
        <f t="shared" si="19"/>
        <v/>
      </c>
      <c r="AW42" s="600"/>
      <c r="AX42" s="600"/>
      <c r="AY42" s="600"/>
      <c r="AZ42" s="600"/>
      <c r="BA42" s="355"/>
      <c r="BB42" s="355"/>
      <c r="BC42" s="355"/>
      <c r="BD42" s="355"/>
      <c r="BE42" s="355"/>
      <c r="BF42" s="355"/>
      <c r="BG42" s="355"/>
      <c r="BH42" s="355"/>
      <c r="BI42" s="355"/>
      <c r="BJ42" s="355"/>
      <c r="BK42" s="355"/>
      <c r="BL42" s="355"/>
      <c r="BM42" s="355"/>
      <c r="BN42" s="355"/>
      <c r="BO42" s="355"/>
      <c r="BP42" s="355"/>
      <c r="BQ42" s="355"/>
      <c r="BR42" s="355"/>
      <c r="BS42" s="355"/>
      <c r="BT42" s="355"/>
      <c r="BU42" s="355"/>
      <c r="BV42" s="355"/>
      <c r="BW42" s="355"/>
      <c r="BX42" s="355"/>
    </row>
    <row r="43" spans="1:76" s="27" customFormat="1">
      <c r="A43" s="355"/>
      <c r="B43" s="355"/>
      <c r="C43" s="115" t="str">
        <f t="shared" si="4"/>
        <v/>
      </c>
      <c r="D43" s="123" t="str">
        <f t="shared" si="5"/>
        <v/>
      </c>
      <c r="E43" s="232" t="str">
        <f>IF(OR(AF43&lt;&gt;"",AO43&lt;&gt;""),IF(MAX(AF43,AO43)&gt;ABS(MIN(AF43,AO43)),MAX(AF43,AO43),IF(AND($N$9=2,'Shear(M)'!B85="#",'Shear(M)'!B84="#",'Shear(M)'!B86="#"),E42,MIN(AF43,AO43))),"")</f>
        <v/>
      </c>
      <c r="F43" s="232" t="str">
        <f t="shared" si="6"/>
        <v/>
      </c>
      <c r="G43" s="115" t="e">
        <f>IF(AND($N$9=2,'Shear(M)'!B85="#",'Shear(M)'!B84="#",'Shear(M)'!B86="#"),G42,IF(OR(AH43&lt;&gt;"",AQ43&lt;&gt;""),MAX(AH43,AQ43),""))</f>
        <v>#VALUE!</v>
      </c>
      <c r="H43" s="115" t="e">
        <f>IF(AND($N$9=2,'Shear(M)'!B85="#",'Shear(M)'!B84="#",'Shear(M)'!B86="#"),H42,IF(OR(AI43&lt;&gt;"",AR43&lt;&gt;""),MIN(AI43,AR43),""))</f>
        <v>#VALUE!</v>
      </c>
      <c r="I43" s="115" t="e">
        <f>IF(AND($N$9=2,'Shear(M)'!B85="#",'Shear(M)'!B84="#",'Shear(M)'!B86="#"),I42,IF(OR(AJ43&lt;&gt;"",AS43&lt;&gt;""),MAX(AJ43,AS43),""))</f>
        <v>#VALUE!</v>
      </c>
      <c r="J43" s="115" t="e">
        <f>IF(AND($N$9=2,'Shear(M)'!B85="#",'Shear(M)'!B84="#",'Shear(M)'!B86="#"),J42,IF(OR(AK43&lt;&gt;"",AT43&lt;&gt;""),MIN(AK43,AT43),""))</f>
        <v>#VALUE!</v>
      </c>
      <c r="K43" s="232" t="str">
        <f t="shared" si="7"/>
        <v/>
      </c>
      <c r="L43" s="232" t="str">
        <f t="shared" si="8"/>
        <v/>
      </c>
      <c r="M43" s="660" t="str">
        <f t="shared" si="9"/>
        <v/>
      </c>
      <c r="N43" s="355"/>
      <c r="O43" s="355"/>
      <c r="P43" s="355"/>
      <c r="Q43" s="355"/>
      <c r="R43" s="600" t="str">
        <f t="shared" si="10"/>
        <v>NA</v>
      </c>
      <c r="S43" s="600"/>
      <c r="T43" s="600"/>
      <c r="U43" s="600"/>
      <c r="V43" s="600"/>
      <c r="W43" s="600"/>
      <c r="X43" s="600"/>
      <c r="Y43" s="600"/>
      <c r="Z43" s="600"/>
      <c r="AA43" s="600"/>
      <c r="AB43" s="600"/>
      <c r="AC43" s="600"/>
      <c r="AD43" s="600">
        <v>32</v>
      </c>
      <c r="AE43" s="600"/>
      <c r="AF43" s="600" t="str">
        <f t="shared" si="11"/>
        <v/>
      </c>
      <c r="AG43" s="600" t="str">
        <f t="shared" si="12"/>
        <v/>
      </c>
      <c r="AH43" s="600" t="str">
        <f t="shared" si="13"/>
        <v/>
      </c>
      <c r="AI43" s="600" t="str">
        <f t="shared" si="14"/>
        <v/>
      </c>
      <c r="AJ43" s="600" t="str">
        <f t="shared" si="15"/>
        <v/>
      </c>
      <c r="AK43" s="600" t="str">
        <f t="shared" si="16"/>
        <v/>
      </c>
      <c r="AL43" s="600" t="str">
        <f t="shared" si="17"/>
        <v/>
      </c>
      <c r="AM43" s="600" t="str">
        <f t="shared" si="18"/>
        <v/>
      </c>
      <c r="AN43" s="600"/>
      <c r="AO43" s="600" t="str">
        <f t="shared" si="19"/>
        <v/>
      </c>
      <c r="AP43" s="600" t="str">
        <f t="shared" si="19"/>
        <v/>
      </c>
      <c r="AQ43" s="600" t="str">
        <f t="shared" si="19"/>
        <v/>
      </c>
      <c r="AR43" s="600" t="str">
        <f t="shared" si="19"/>
        <v/>
      </c>
      <c r="AS43" s="600" t="str">
        <f t="shared" si="19"/>
        <v/>
      </c>
      <c r="AT43" s="600" t="str">
        <f t="shared" si="19"/>
        <v/>
      </c>
      <c r="AU43" s="600" t="str">
        <f t="shared" si="19"/>
        <v/>
      </c>
      <c r="AV43" s="600" t="str">
        <f t="shared" si="19"/>
        <v/>
      </c>
      <c r="AW43" s="600"/>
      <c r="AX43" s="600"/>
      <c r="AY43" s="600"/>
      <c r="AZ43" s="600"/>
      <c r="BA43" s="355"/>
      <c r="BB43" s="355"/>
      <c r="BC43" s="355"/>
      <c r="BD43" s="355"/>
      <c r="BE43" s="355"/>
      <c r="BF43" s="355"/>
      <c r="BG43" s="355"/>
      <c r="BH43" s="355"/>
      <c r="BI43" s="355"/>
      <c r="BJ43" s="355"/>
      <c r="BK43" s="355"/>
      <c r="BL43" s="355"/>
      <c r="BM43" s="355"/>
      <c r="BN43" s="355"/>
      <c r="BO43" s="355"/>
      <c r="BP43" s="355"/>
      <c r="BQ43" s="355"/>
      <c r="BR43" s="355"/>
      <c r="BS43" s="355"/>
      <c r="BT43" s="355"/>
      <c r="BU43" s="355"/>
      <c r="BV43" s="355"/>
      <c r="BW43" s="355"/>
      <c r="BX43" s="355"/>
    </row>
    <row r="44" spans="1:76" s="27" customFormat="1">
      <c r="A44" s="355"/>
      <c r="B44" s="355"/>
      <c r="C44" s="115" t="str">
        <f t="shared" si="4"/>
        <v/>
      </c>
      <c r="D44" s="123" t="str">
        <f t="shared" si="5"/>
        <v/>
      </c>
      <c r="E44" s="232" t="str">
        <f>IF(OR(AF44&lt;&gt;"",AO44&lt;&gt;""),IF(MAX(AF44,AO44)&gt;ABS(MIN(AF44,AO44)),MAX(AF44,AO44),IF(AND($N$9=2,'Shear(M)'!B86="#",'Shear(M)'!B85="#",'Shear(M)'!B87="#"),E43,MIN(AF44,AO44))),"")</f>
        <v/>
      </c>
      <c r="F44" s="232" t="str">
        <f t="shared" si="6"/>
        <v/>
      </c>
      <c r="G44" s="115" t="e">
        <f>IF(AND($N$9=2,'Shear(M)'!B86="#",'Shear(M)'!B85="#",'Shear(M)'!B87="#"),G43,IF(OR(AH44&lt;&gt;"",AQ44&lt;&gt;""),MAX(AH44,AQ44),""))</f>
        <v>#VALUE!</v>
      </c>
      <c r="H44" s="115" t="e">
        <f>IF(AND($N$9=2,'Shear(M)'!B86="#",'Shear(M)'!B85="#",'Shear(M)'!B87="#"),H43,IF(OR(AI44&lt;&gt;"",AR44&lt;&gt;""),MIN(AI44,AR44),""))</f>
        <v>#VALUE!</v>
      </c>
      <c r="I44" s="115" t="e">
        <f>IF(AND($N$9=2,'Shear(M)'!B86="#",'Shear(M)'!B85="#",'Shear(M)'!B87="#"),I43,IF(OR(AJ44&lt;&gt;"",AS44&lt;&gt;""),MAX(AJ44,AS44),""))</f>
        <v>#VALUE!</v>
      </c>
      <c r="J44" s="115" t="e">
        <f>IF(AND($N$9=2,'Shear(M)'!B86="#",'Shear(M)'!B85="#",'Shear(M)'!B87="#"),J43,IF(OR(AK44&lt;&gt;"",AT44&lt;&gt;""),MIN(AK44,AT44),""))</f>
        <v>#VALUE!</v>
      </c>
      <c r="K44" s="232" t="str">
        <f t="shared" si="7"/>
        <v/>
      </c>
      <c r="L44" s="232" t="str">
        <f t="shared" si="8"/>
        <v/>
      </c>
      <c r="M44" s="660" t="str">
        <f t="shared" si="9"/>
        <v/>
      </c>
      <c r="N44" s="355"/>
      <c r="O44" s="355"/>
      <c r="P44" s="355"/>
      <c r="Q44" s="355"/>
      <c r="R44" s="600" t="str">
        <f t="shared" si="10"/>
        <v>NA</v>
      </c>
      <c r="S44" s="600"/>
      <c r="T44" s="600"/>
      <c r="U44" s="600"/>
      <c r="V44" s="600"/>
      <c r="W44" s="600"/>
      <c r="X44" s="600"/>
      <c r="Y44" s="600"/>
      <c r="Z44" s="600"/>
      <c r="AA44" s="600"/>
      <c r="AB44" s="600"/>
      <c r="AC44" s="600"/>
      <c r="AD44" s="600">
        <v>33</v>
      </c>
      <c r="AE44" s="600"/>
      <c r="AF44" s="600" t="str">
        <f t="shared" si="11"/>
        <v/>
      </c>
      <c r="AG44" s="600" t="str">
        <f t="shared" si="12"/>
        <v/>
      </c>
      <c r="AH44" s="600" t="str">
        <f t="shared" si="13"/>
        <v/>
      </c>
      <c r="AI44" s="600" t="str">
        <f t="shared" si="14"/>
        <v/>
      </c>
      <c r="AJ44" s="600" t="str">
        <f t="shared" si="15"/>
        <v/>
      </c>
      <c r="AK44" s="600" t="str">
        <f t="shared" si="16"/>
        <v/>
      </c>
      <c r="AL44" s="600" t="str">
        <f t="shared" si="17"/>
        <v/>
      </c>
      <c r="AM44" s="600" t="str">
        <f t="shared" si="18"/>
        <v/>
      </c>
      <c r="AN44" s="600"/>
      <c r="AO44" s="600" t="str">
        <f t="shared" si="19"/>
        <v/>
      </c>
      <c r="AP44" s="600" t="str">
        <f t="shared" si="19"/>
        <v/>
      </c>
      <c r="AQ44" s="600" t="str">
        <f t="shared" si="19"/>
        <v/>
      </c>
      <c r="AR44" s="600" t="str">
        <f t="shared" si="19"/>
        <v/>
      </c>
      <c r="AS44" s="600" t="str">
        <f t="shared" si="19"/>
        <v/>
      </c>
      <c r="AT44" s="600" t="str">
        <f t="shared" si="19"/>
        <v/>
      </c>
      <c r="AU44" s="600" t="str">
        <f t="shared" si="19"/>
        <v/>
      </c>
      <c r="AV44" s="600" t="str">
        <f t="shared" si="19"/>
        <v/>
      </c>
      <c r="AW44" s="600"/>
      <c r="AX44" s="600"/>
      <c r="AY44" s="600"/>
      <c r="AZ44" s="600"/>
      <c r="BA44" s="355"/>
      <c r="BB44" s="355"/>
      <c r="BC44" s="355"/>
      <c r="BD44" s="355"/>
      <c r="BE44" s="355"/>
      <c r="BF44" s="355"/>
      <c r="BG44" s="355"/>
      <c r="BH44" s="355"/>
      <c r="BI44" s="355"/>
      <c r="BJ44" s="355"/>
      <c r="BK44" s="355"/>
      <c r="BL44" s="355"/>
      <c r="BM44" s="355"/>
      <c r="BN44" s="355"/>
      <c r="BO44" s="355"/>
      <c r="BP44" s="355"/>
      <c r="BQ44" s="355"/>
      <c r="BR44" s="355"/>
      <c r="BS44" s="355"/>
      <c r="BT44" s="355"/>
      <c r="BU44" s="355"/>
      <c r="BV44" s="355"/>
      <c r="BW44" s="355"/>
      <c r="BX44" s="355"/>
    </row>
    <row r="45" spans="1:76" s="27" customFormat="1">
      <c r="A45" s="355"/>
      <c r="B45" s="355"/>
      <c r="C45" s="115" t="str">
        <f t="shared" si="4"/>
        <v/>
      </c>
      <c r="D45" s="123" t="str">
        <f t="shared" si="5"/>
        <v/>
      </c>
      <c r="E45" s="232" t="str">
        <f>IF(OR(AF45&lt;&gt;"",AO45&lt;&gt;""),IF(MAX(AF45,AO45)&gt;ABS(MIN(AF45,AO45)),MAX(AF45,AO45),IF(AND($N$9=2,'Shear(M)'!B87="#",'Shear(M)'!B86="#",'Shear(M)'!B88="#"),E44,MIN(AF45,AO45))),"")</f>
        <v/>
      </c>
      <c r="F45" s="232" t="str">
        <f t="shared" si="6"/>
        <v/>
      </c>
      <c r="G45" s="115" t="e">
        <f>IF(AND($N$9=2,'Shear(M)'!B87="#",'Shear(M)'!B86="#",'Shear(M)'!B88="#"),G44,IF(OR(AH45&lt;&gt;"",AQ45&lt;&gt;""),MAX(AH45,AQ45),""))</f>
        <v>#VALUE!</v>
      </c>
      <c r="H45" s="115" t="e">
        <f>IF(AND($N$9=2,'Shear(M)'!B87="#",'Shear(M)'!B86="#",'Shear(M)'!B88="#"),H44,IF(OR(AI45&lt;&gt;"",AR45&lt;&gt;""),MIN(AI45,AR45),""))</f>
        <v>#VALUE!</v>
      </c>
      <c r="I45" s="115" t="e">
        <f>IF(AND($N$9=2,'Shear(M)'!B87="#",'Shear(M)'!B86="#",'Shear(M)'!B88="#"),I44,IF(OR(AJ45&lt;&gt;"",AS45&lt;&gt;""),MAX(AJ45,AS45),""))</f>
        <v>#VALUE!</v>
      </c>
      <c r="J45" s="115" t="e">
        <f>IF(AND($N$9=2,'Shear(M)'!B87="#",'Shear(M)'!B86="#",'Shear(M)'!B88="#"),J44,IF(OR(AK45&lt;&gt;"",AT45&lt;&gt;""),MIN(AK45,AT45),""))</f>
        <v>#VALUE!</v>
      </c>
      <c r="K45" s="232" t="str">
        <f t="shared" si="7"/>
        <v/>
      </c>
      <c r="L45" s="232" t="str">
        <f t="shared" si="8"/>
        <v/>
      </c>
      <c r="M45" s="660" t="str">
        <f t="shared" si="9"/>
        <v/>
      </c>
      <c r="N45" s="355"/>
      <c r="O45" s="355"/>
      <c r="P45" s="355"/>
      <c r="Q45" s="355"/>
      <c r="R45" s="600" t="str">
        <f t="shared" si="10"/>
        <v>NA</v>
      </c>
      <c r="S45" s="600"/>
      <c r="T45" s="600"/>
      <c r="U45" s="600"/>
      <c r="V45" s="600"/>
      <c r="W45" s="600"/>
      <c r="X45" s="600"/>
      <c r="Y45" s="600"/>
      <c r="Z45" s="600"/>
      <c r="AA45" s="600"/>
      <c r="AB45" s="600"/>
      <c r="AC45" s="600"/>
      <c r="AD45" s="600">
        <v>34</v>
      </c>
      <c r="AE45" s="600"/>
      <c r="AF45" s="600" t="str">
        <f t="shared" si="11"/>
        <v/>
      </c>
      <c r="AG45" s="600" t="str">
        <f t="shared" si="12"/>
        <v/>
      </c>
      <c r="AH45" s="600" t="str">
        <f t="shared" si="13"/>
        <v/>
      </c>
      <c r="AI45" s="600" t="str">
        <f t="shared" si="14"/>
        <v/>
      </c>
      <c r="AJ45" s="600" t="str">
        <f t="shared" si="15"/>
        <v/>
      </c>
      <c r="AK45" s="600" t="str">
        <f t="shared" si="16"/>
        <v/>
      </c>
      <c r="AL45" s="600" t="str">
        <f t="shared" si="17"/>
        <v/>
      </c>
      <c r="AM45" s="600" t="str">
        <f t="shared" si="18"/>
        <v/>
      </c>
      <c r="AN45" s="600"/>
      <c r="AO45" s="600" t="str">
        <f t="shared" si="19"/>
        <v/>
      </c>
      <c r="AP45" s="600" t="str">
        <f t="shared" si="19"/>
        <v/>
      </c>
      <c r="AQ45" s="600" t="str">
        <f t="shared" si="19"/>
        <v/>
      </c>
      <c r="AR45" s="600" t="str">
        <f t="shared" si="19"/>
        <v/>
      </c>
      <c r="AS45" s="600" t="str">
        <f t="shared" si="19"/>
        <v/>
      </c>
      <c r="AT45" s="600" t="str">
        <f t="shared" si="19"/>
        <v/>
      </c>
      <c r="AU45" s="600" t="str">
        <f t="shared" si="19"/>
        <v/>
      </c>
      <c r="AV45" s="600" t="str">
        <f t="shared" si="19"/>
        <v/>
      </c>
      <c r="AW45" s="600"/>
      <c r="AX45" s="600"/>
      <c r="AY45" s="600"/>
      <c r="AZ45" s="600"/>
      <c r="BA45" s="355"/>
      <c r="BB45" s="355"/>
      <c r="BC45" s="355"/>
      <c r="BD45" s="355"/>
      <c r="BE45" s="355"/>
      <c r="BF45" s="355"/>
      <c r="BG45" s="355"/>
      <c r="BH45" s="355"/>
      <c r="BI45" s="355"/>
      <c r="BJ45" s="355"/>
      <c r="BK45" s="355"/>
      <c r="BL45" s="355"/>
      <c r="BM45" s="355"/>
      <c r="BN45" s="355"/>
      <c r="BO45" s="355"/>
      <c r="BP45" s="355"/>
      <c r="BQ45" s="355"/>
      <c r="BR45" s="355"/>
      <c r="BS45" s="355"/>
      <c r="BT45" s="355"/>
      <c r="BU45" s="355"/>
      <c r="BV45" s="355"/>
      <c r="BW45" s="355"/>
      <c r="BX45" s="355"/>
    </row>
    <row r="46" spans="1:76" s="27" customFormat="1">
      <c r="A46" s="355"/>
      <c r="B46" s="355"/>
      <c r="C46" s="115" t="str">
        <f t="shared" si="4"/>
        <v/>
      </c>
      <c r="D46" s="123" t="str">
        <f t="shared" si="5"/>
        <v/>
      </c>
      <c r="E46" s="232" t="str">
        <f>IF(OR(AF46&lt;&gt;"",AO46&lt;&gt;""),IF(MAX(AF46,AO46)&gt;ABS(MIN(AF46,AO46)),MAX(AF46,AO46),IF(AND($N$9=2,'Shear(M)'!B88="#",'Shear(M)'!B87="#",'Shear(M)'!B89="#"),E45,MIN(AF46,AO46))),"")</f>
        <v/>
      </c>
      <c r="F46" s="232" t="str">
        <f t="shared" si="6"/>
        <v/>
      </c>
      <c r="G46" s="115" t="e">
        <f>IF(AND($N$9=2,'Shear(M)'!B88="#",'Shear(M)'!B87="#",'Shear(M)'!B89="#"),G45,IF(OR(AH46&lt;&gt;"",AQ46&lt;&gt;""),MAX(AH46,AQ46),""))</f>
        <v>#VALUE!</v>
      </c>
      <c r="H46" s="115" t="e">
        <f>IF(AND($N$9=2,'Shear(M)'!B88="#",'Shear(M)'!B87="#",'Shear(M)'!B89="#"),H45,IF(OR(AI46&lt;&gt;"",AR46&lt;&gt;""),MIN(AI46,AR46),""))</f>
        <v>#VALUE!</v>
      </c>
      <c r="I46" s="115" t="e">
        <f>IF(AND($N$9=2,'Shear(M)'!B88="#",'Shear(M)'!B87="#",'Shear(M)'!B89="#"),I45,IF(OR(AJ46&lt;&gt;"",AS46&lt;&gt;""),MAX(AJ46,AS46),""))</f>
        <v>#VALUE!</v>
      </c>
      <c r="J46" s="115" t="e">
        <f>IF(AND($N$9=2,'Shear(M)'!B88="#",'Shear(M)'!B87="#",'Shear(M)'!B89="#"),J45,IF(OR(AK46&lt;&gt;"",AT46&lt;&gt;""),MIN(AK46,AT46),""))</f>
        <v>#VALUE!</v>
      </c>
      <c r="K46" s="232" t="str">
        <f t="shared" si="7"/>
        <v/>
      </c>
      <c r="L46" s="232" t="str">
        <f t="shared" si="8"/>
        <v/>
      </c>
      <c r="M46" s="660" t="str">
        <f t="shared" si="9"/>
        <v/>
      </c>
      <c r="N46" s="355"/>
      <c r="O46" s="355"/>
      <c r="P46" s="355"/>
      <c r="Q46" s="355"/>
      <c r="R46" s="600" t="str">
        <f t="shared" si="10"/>
        <v>NA</v>
      </c>
      <c r="S46" s="600"/>
      <c r="T46" s="600"/>
      <c r="U46" s="600"/>
      <c r="V46" s="600"/>
      <c r="W46" s="600"/>
      <c r="X46" s="600"/>
      <c r="Y46" s="600"/>
      <c r="Z46" s="600"/>
      <c r="AA46" s="600"/>
      <c r="AB46" s="600"/>
      <c r="AC46" s="600"/>
      <c r="AD46" s="600">
        <v>35</v>
      </c>
      <c r="AE46" s="600"/>
      <c r="AF46" s="600" t="str">
        <f t="shared" si="11"/>
        <v/>
      </c>
      <c r="AG46" s="600" t="str">
        <f t="shared" si="12"/>
        <v/>
      </c>
      <c r="AH46" s="600" t="str">
        <f t="shared" si="13"/>
        <v/>
      </c>
      <c r="AI46" s="600" t="str">
        <f t="shared" si="14"/>
        <v/>
      </c>
      <c r="AJ46" s="600" t="str">
        <f t="shared" si="15"/>
        <v/>
      </c>
      <c r="AK46" s="600" t="str">
        <f t="shared" si="16"/>
        <v/>
      </c>
      <c r="AL46" s="600" t="str">
        <f t="shared" si="17"/>
        <v/>
      </c>
      <c r="AM46" s="600" t="str">
        <f t="shared" si="18"/>
        <v/>
      </c>
      <c r="AN46" s="600"/>
      <c r="AO46" s="600" t="str">
        <f t="shared" si="19"/>
        <v/>
      </c>
      <c r="AP46" s="600" t="str">
        <f t="shared" si="19"/>
        <v/>
      </c>
      <c r="AQ46" s="600" t="str">
        <f t="shared" si="19"/>
        <v/>
      </c>
      <c r="AR46" s="600" t="str">
        <f t="shared" si="19"/>
        <v/>
      </c>
      <c r="AS46" s="600" t="str">
        <f t="shared" si="19"/>
        <v/>
      </c>
      <c r="AT46" s="600" t="str">
        <f t="shared" si="19"/>
        <v/>
      </c>
      <c r="AU46" s="600" t="str">
        <f t="shared" si="19"/>
        <v/>
      </c>
      <c r="AV46" s="600" t="str">
        <f t="shared" si="19"/>
        <v/>
      </c>
      <c r="AW46" s="600"/>
      <c r="AX46" s="600"/>
      <c r="AY46" s="600"/>
      <c r="AZ46" s="600"/>
      <c r="BA46" s="355"/>
      <c r="BB46" s="355"/>
      <c r="BC46" s="355"/>
      <c r="BD46" s="355"/>
      <c r="BE46" s="355"/>
      <c r="BF46" s="355"/>
      <c r="BG46" s="355"/>
      <c r="BH46" s="355"/>
      <c r="BI46" s="355"/>
      <c r="BJ46" s="355"/>
      <c r="BK46" s="355"/>
      <c r="BL46" s="355"/>
      <c r="BM46" s="355"/>
      <c r="BN46" s="355"/>
      <c r="BO46" s="355"/>
      <c r="BP46" s="355"/>
      <c r="BQ46" s="355"/>
      <c r="BR46" s="355"/>
      <c r="BS46" s="355"/>
      <c r="BT46" s="355"/>
      <c r="BU46" s="355"/>
      <c r="BV46" s="355"/>
      <c r="BW46" s="355"/>
      <c r="BX46" s="355"/>
    </row>
    <row r="47" spans="1:76" s="27" customFormat="1">
      <c r="A47" s="355"/>
      <c r="B47" s="355"/>
      <c r="C47" s="115" t="str">
        <f t="shared" si="4"/>
        <v/>
      </c>
      <c r="D47" s="123" t="str">
        <f t="shared" si="5"/>
        <v/>
      </c>
      <c r="E47" s="232" t="str">
        <f>IF(OR(AF47&lt;&gt;"",AO47&lt;&gt;""),IF(MAX(AF47,AO47)&gt;ABS(MIN(AF47,AO47)),MAX(AF47,AO47),IF(AND($N$9=2,'Shear(M)'!B89="#",'Shear(M)'!B88="#",'Shear(M)'!B90="#"),E46,MIN(AF47,AO47))),"")</f>
        <v/>
      </c>
      <c r="F47" s="232" t="str">
        <f t="shared" si="6"/>
        <v/>
      </c>
      <c r="G47" s="115" t="e">
        <f>IF(AND($N$9=2,'Shear(M)'!B89="#",'Shear(M)'!B88="#",'Shear(M)'!B90="#"),G46,IF(OR(AH47&lt;&gt;"",AQ47&lt;&gt;""),MAX(AH47,AQ47),""))</f>
        <v>#VALUE!</v>
      </c>
      <c r="H47" s="115" t="e">
        <f>IF(AND($N$9=2,'Shear(M)'!B89="#",'Shear(M)'!B88="#",'Shear(M)'!B90="#"),H46,IF(OR(AI47&lt;&gt;"",AR47&lt;&gt;""),MIN(AI47,AR47),""))</f>
        <v>#VALUE!</v>
      </c>
      <c r="I47" s="115" t="e">
        <f>IF(AND($N$9=2,'Shear(M)'!B89="#",'Shear(M)'!B88="#",'Shear(M)'!B90="#"),I46,IF(OR(AJ47&lt;&gt;"",AS47&lt;&gt;""),MAX(AJ47,AS47),""))</f>
        <v>#VALUE!</v>
      </c>
      <c r="J47" s="115" t="e">
        <f>IF(AND($N$9=2,'Shear(M)'!B89="#",'Shear(M)'!B88="#",'Shear(M)'!B90="#"),J46,IF(OR(AK47&lt;&gt;"",AT47&lt;&gt;""),MIN(AK47,AT47),""))</f>
        <v>#VALUE!</v>
      </c>
      <c r="K47" s="232" t="str">
        <f t="shared" si="7"/>
        <v/>
      </c>
      <c r="L47" s="232" t="str">
        <f t="shared" si="8"/>
        <v/>
      </c>
      <c r="M47" s="660" t="str">
        <f t="shared" si="9"/>
        <v/>
      </c>
      <c r="N47" s="355"/>
      <c r="O47" s="355"/>
      <c r="P47" s="355"/>
      <c r="Q47" s="355"/>
      <c r="R47" s="600" t="str">
        <f t="shared" si="10"/>
        <v>NA</v>
      </c>
      <c r="S47" s="600"/>
      <c r="T47" s="600"/>
      <c r="U47" s="600"/>
      <c r="V47" s="600"/>
      <c r="W47" s="600"/>
      <c r="X47" s="600"/>
      <c r="Y47" s="600"/>
      <c r="Z47" s="600"/>
      <c r="AA47" s="600"/>
      <c r="AB47" s="600"/>
      <c r="AC47" s="600"/>
      <c r="AD47" s="600">
        <v>36</v>
      </c>
      <c r="AE47" s="600"/>
      <c r="AF47" s="600" t="str">
        <f t="shared" si="11"/>
        <v/>
      </c>
      <c r="AG47" s="600" t="str">
        <f t="shared" si="12"/>
        <v/>
      </c>
      <c r="AH47" s="600" t="str">
        <f t="shared" si="13"/>
        <v/>
      </c>
      <c r="AI47" s="600" t="str">
        <f t="shared" si="14"/>
        <v/>
      </c>
      <c r="AJ47" s="600" t="str">
        <f t="shared" si="15"/>
        <v/>
      </c>
      <c r="AK47" s="600" t="str">
        <f t="shared" si="16"/>
        <v/>
      </c>
      <c r="AL47" s="600" t="str">
        <f t="shared" si="17"/>
        <v/>
      </c>
      <c r="AM47" s="600" t="str">
        <f t="shared" si="18"/>
        <v/>
      </c>
      <c r="AN47" s="600"/>
      <c r="AO47" s="600" t="str">
        <f t="shared" si="19"/>
        <v/>
      </c>
      <c r="AP47" s="600" t="str">
        <f t="shared" si="19"/>
        <v/>
      </c>
      <c r="AQ47" s="600" t="str">
        <f t="shared" si="19"/>
        <v/>
      </c>
      <c r="AR47" s="600" t="str">
        <f t="shared" si="19"/>
        <v/>
      </c>
      <c r="AS47" s="600" t="str">
        <f t="shared" si="19"/>
        <v/>
      </c>
      <c r="AT47" s="600" t="str">
        <f t="shared" si="19"/>
        <v/>
      </c>
      <c r="AU47" s="600" t="str">
        <f t="shared" si="19"/>
        <v/>
      </c>
      <c r="AV47" s="600" t="str">
        <f t="shared" si="19"/>
        <v/>
      </c>
      <c r="AW47" s="600"/>
      <c r="AX47" s="600"/>
      <c r="AY47" s="600"/>
      <c r="AZ47" s="600"/>
      <c r="BA47" s="355"/>
      <c r="BB47" s="355"/>
      <c r="BC47" s="355"/>
      <c r="BD47" s="355"/>
      <c r="BE47" s="355"/>
      <c r="BF47" s="355"/>
      <c r="BG47" s="355"/>
      <c r="BH47" s="355"/>
      <c r="BI47" s="355"/>
      <c r="BJ47" s="355"/>
      <c r="BK47" s="355"/>
      <c r="BL47" s="355"/>
      <c r="BM47" s="355"/>
      <c r="BN47" s="355"/>
      <c r="BO47" s="355"/>
      <c r="BP47" s="355"/>
      <c r="BQ47" s="355"/>
      <c r="BR47" s="355"/>
      <c r="BS47" s="355"/>
      <c r="BT47" s="355"/>
      <c r="BU47" s="355"/>
      <c r="BV47" s="355"/>
      <c r="BW47" s="355"/>
      <c r="BX47" s="355"/>
    </row>
    <row r="48" spans="1:76" s="27" customFormat="1">
      <c r="A48" s="355"/>
      <c r="B48" s="355"/>
      <c r="C48" s="115" t="str">
        <f t="shared" si="4"/>
        <v/>
      </c>
      <c r="D48" s="123" t="str">
        <f t="shared" si="5"/>
        <v/>
      </c>
      <c r="E48" s="232" t="str">
        <f>IF(OR(AF48&lt;&gt;"",AO48&lt;&gt;""),IF(MAX(AF48,AO48)&gt;ABS(MIN(AF48,AO48)),MAX(AF48,AO48),IF(AND($N$9=2,'Shear(M)'!B90="#",'Shear(M)'!B89="#",'Shear(M)'!B91="#"),E47,MIN(AF48,AO48))),"")</f>
        <v/>
      </c>
      <c r="F48" s="232" t="str">
        <f t="shared" si="6"/>
        <v/>
      </c>
      <c r="G48" s="115" t="e">
        <f>IF(AND($N$9=2,'Shear(M)'!B90="#",'Shear(M)'!B89="#",'Shear(M)'!B91="#"),G47,IF(OR(AH48&lt;&gt;"",AQ48&lt;&gt;""),MAX(AH48,AQ48),""))</f>
        <v>#VALUE!</v>
      </c>
      <c r="H48" s="115" t="e">
        <f>IF(AND($N$9=2,'Shear(M)'!B90="#",'Shear(M)'!B89="#",'Shear(M)'!B91="#"),H47,IF(OR(AI48&lt;&gt;"",AR48&lt;&gt;""),MIN(AI48,AR48),""))</f>
        <v>#VALUE!</v>
      </c>
      <c r="I48" s="115" t="e">
        <f>IF(AND($N$9=2,'Shear(M)'!B90="#",'Shear(M)'!B89="#",'Shear(M)'!B91="#"),I47,IF(OR(AJ48&lt;&gt;"",AS48&lt;&gt;""),MAX(AJ48,AS48),""))</f>
        <v>#VALUE!</v>
      </c>
      <c r="J48" s="115" t="e">
        <f>IF(AND($N$9=2,'Shear(M)'!B90="#",'Shear(M)'!B89="#",'Shear(M)'!B91="#"),J47,IF(OR(AK48&lt;&gt;"",AT48&lt;&gt;""),MIN(AK48,AT48),""))</f>
        <v>#VALUE!</v>
      </c>
      <c r="K48" s="232" t="str">
        <f t="shared" si="7"/>
        <v/>
      </c>
      <c r="L48" s="232" t="str">
        <f t="shared" si="8"/>
        <v/>
      </c>
      <c r="M48" s="660" t="str">
        <f t="shared" si="9"/>
        <v/>
      </c>
      <c r="N48" s="355"/>
      <c r="O48" s="355"/>
      <c r="P48" s="355"/>
      <c r="Q48" s="355"/>
      <c r="R48" s="600" t="str">
        <f t="shared" si="10"/>
        <v>NA</v>
      </c>
      <c r="S48" s="600"/>
      <c r="T48" s="600"/>
      <c r="U48" s="600"/>
      <c r="V48" s="600"/>
      <c r="W48" s="600"/>
      <c r="X48" s="600"/>
      <c r="Y48" s="600"/>
      <c r="Z48" s="600"/>
      <c r="AA48" s="600"/>
      <c r="AB48" s="600"/>
      <c r="AC48" s="600"/>
      <c r="AD48" s="600">
        <v>37</v>
      </c>
      <c r="AE48" s="600"/>
      <c r="AF48" s="600" t="str">
        <f t="shared" si="11"/>
        <v/>
      </c>
      <c r="AG48" s="600" t="str">
        <f t="shared" si="12"/>
        <v/>
      </c>
      <c r="AH48" s="600" t="str">
        <f t="shared" si="13"/>
        <v/>
      </c>
      <c r="AI48" s="600" t="str">
        <f t="shared" si="14"/>
        <v/>
      </c>
      <c r="AJ48" s="600" t="str">
        <f t="shared" si="15"/>
        <v/>
      </c>
      <c r="AK48" s="600" t="str">
        <f t="shared" si="16"/>
        <v/>
      </c>
      <c r="AL48" s="600" t="str">
        <f t="shared" si="17"/>
        <v/>
      </c>
      <c r="AM48" s="600" t="str">
        <f t="shared" si="18"/>
        <v/>
      </c>
      <c r="AN48" s="600"/>
      <c r="AO48" s="600" t="str">
        <f t="shared" si="19"/>
        <v/>
      </c>
      <c r="AP48" s="600" t="str">
        <f t="shared" si="19"/>
        <v/>
      </c>
      <c r="AQ48" s="600" t="str">
        <f t="shared" si="19"/>
        <v/>
      </c>
      <c r="AR48" s="600" t="str">
        <f t="shared" si="19"/>
        <v/>
      </c>
      <c r="AS48" s="600" t="str">
        <f t="shared" si="19"/>
        <v/>
      </c>
      <c r="AT48" s="600" t="str">
        <f t="shared" si="19"/>
        <v/>
      </c>
      <c r="AU48" s="600" t="str">
        <f t="shared" si="19"/>
        <v/>
      </c>
      <c r="AV48" s="600" t="str">
        <f t="shared" si="19"/>
        <v/>
      </c>
      <c r="AW48" s="600"/>
      <c r="AX48" s="600"/>
      <c r="AY48" s="600"/>
      <c r="AZ48" s="600"/>
      <c r="BA48" s="355"/>
      <c r="BB48" s="355"/>
      <c r="BC48" s="355"/>
      <c r="BD48" s="355"/>
      <c r="BE48" s="355"/>
      <c r="BF48" s="355"/>
      <c r="BG48" s="355"/>
      <c r="BH48" s="355"/>
      <c r="BI48" s="355"/>
      <c r="BJ48" s="355"/>
      <c r="BK48" s="355"/>
      <c r="BL48" s="355"/>
      <c r="BM48" s="355"/>
      <c r="BN48" s="355"/>
      <c r="BO48" s="355"/>
      <c r="BP48" s="355"/>
      <c r="BQ48" s="355"/>
      <c r="BR48" s="355"/>
      <c r="BS48" s="355"/>
      <c r="BT48" s="355"/>
      <c r="BU48" s="355"/>
      <c r="BV48" s="355"/>
      <c r="BW48" s="355"/>
      <c r="BX48" s="355"/>
    </row>
    <row r="49" spans="1:76" s="27" customFormat="1">
      <c r="A49" s="355"/>
      <c r="B49" s="355"/>
      <c r="C49" s="115" t="str">
        <f t="shared" si="4"/>
        <v/>
      </c>
      <c r="D49" s="123" t="str">
        <f t="shared" si="5"/>
        <v/>
      </c>
      <c r="E49" s="232" t="str">
        <f>IF(OR(AF49&lt;&gt;"",AO49&lt;&gt;""),IF(MAX(AF49,AO49)&gt;ABS(MIN(AF49,AO49)),MAX(AF49,AO49),IF(AND($N$9=2,'Shear(M)'!B91="#",'Shear(M)'!B90="#",'Shear(M)'!B92="#"),E48,MIN(AF49,AO49))),"")</f>
        <v/>
      </c>
      <c r="F49" s="232" t="str">
        <f t="shared" si="6"/>
        <v/>
      </c>
      <c r="G49" s="115" t="e">
        <f>IF(AND($N$9=2,'Shear(M)'!B91="#",'Shear(M)'!B90="#",'Shear(M)'!B92="#"),G48,IF(OR(AH49&lt;&gt;"",AQ49&lt;&gt;""),MAX(AH49,AQ49),""))</f>
        <v>#VALUE!</v>
      </c>
      <c r="H49" s="115" t="e">
        <f>IF(AND($N$9=2,'Shear(M)'!B91="#",'Shear(M)'!B90="#",'Shear(M)'!B92="#"),H48,IF(OR(AI49&lt;&gt;"",AR49&lt;&gt;""),MIN(AI49,AR49),""))</f>
        <v>#VALUE!</v>
      </c>
      <c r="I49" s="115" t="e">
        <f>IF(AND($N$9=2,'Shear(M)'!B91="#",'Shear(M)'!B90="#",'Shear(M)'!B92="#"),I48,IF(OR(AJ49&lt;&gt;"",AS49&lt;&gt;""),MAX(AJ49,AS49),""))</f>
        <v>#VALUE!</v>
      </c>
      <c r="J49" s="115" t="e">
        <f>IF(AND($N$9=2,'Shear(M)'!B91="#",'Shear(M)'!B90="#",'Shear(M)'!B92="#"),J48,IF(OR(AK49&lt;&gt;"",AT49&lt;&gt;""),MIN(AK49,AT49),""))</f>
        <v>#VALUE!</v>
      </c>
      <c r="K49" s="232" t="str">
        <f t="shared" si="7"/>
        <v/>
      </c>
      <c r="L49" s="232" t="str">
        <f t="shared" si="8"/>
        <v/>
      </c>
      <c r="M49" s="660" t="str">
        <f t="shared" si="9"/>
        <v/>
      </c>
      <c r="N49" s="355"/>
      <c r="O49" s="355"/>
      <c r="P49" s="355"/>
      <c r="Q49" s="355"/>
      <c r="R49" s="600" t="str">
        <f t="shared" si="10"/>
        <v>NA</v>
      </c>
      <c r="S49" s="600"/>
      <c r="T49" s="600"/>
      <c r="U49" s="600"/>
      <c r="V49" s="600"/>
      <c r="W49" s="600"/>
      <c r="X49" s="600"/>
      <c r="Y49" s="600"/>
      <c r="Z49" s="600"/>
      <c r="AA49" s="600"/>
      <c r="AB49" s="600"/>
      <c r="AC49" s="600"/>
      <c r="AD49" s="600">
        <v>38</v>
      </c>
      <c r="AE49" s="600"/>
      <c r="AF49" s="600" t="str">
        <f t="shared" si="11"/>
        <v/>
      </c>
      <c r="AG49" s="600" t="str">
        <f t="shared" si="12"/>
        <v/>
      </c>
      <c r="AH49" s="600" t="str">
        <f t="shared" si="13"/>
        <v/>
      </c>
      <c r="AI49" s="600" t="str">
        <f t="shared" si="14"/>
        <v/>
      </c>
      <c r="AJ49" s="600" t="str">
        <f t="shared" si="15"/>
        <v/>
      </c>
      <c r="AK49" s="600" t="str">
        <f t="shared" si="16"/>
        <v/>
      </c>
      <c r="AL49" s="600" t="str">
        <f t="shared" si="17"/>
        <v/>
      </c>
      <c r="AM49" s="600" t="str">
        <f t="shared" si="18"/>
        <v/>
      </c>
      <c r="AN49" s="600"/>
      <c r="AO49" s="600" t="str">
        <f t="shared" si="19"/>
        <v/>
      </c>
      <c r="AP49" s="600" t="str">
        <f t="shared" si="19"/>
        <v/>
      </c>
      <c r="AQ49" s="600" t="str">
        <f t="shared" si="19"/>
        <v/>
      </c>
      <c r="AR49" s="600" t="str">
        <f t="shared" si="19"/>
        <v/>
      </c>
      <c r="AS49" s="600" t="str">
        <f t="shared" si="19"/>
        <v/>
      </c>
      <c r="AT49" s="600" t="str">
        <f t="shared" si="19"/>
        <v/>
      </c>
      <c r="AU49" s="600" t="str">
        <f t="shared" si="19"/>
        <v/>
      </c>
      <c r="AV49" s="600" t="str">
        <f t="shared" si="19"/>
        <v/>
      </c>
      <c r="AW49" s="600"/>
      <c r="AX49" s="600"/>
      <c r="AY49" s="600"/>
      <c r="AZ49" s="600"/>
      <c r="BA49" s="355"/>
      <c r="BB49" s="355"/>
      <c r="BC49" s="355"/>
      <c r="BD49" s="355"/>
      <c r="BE49" s="355"/>
      <c r="BF49" s="355"/>
      <c r="BG49" s="355"/>
      <c r="BH49" s="355"/>
      <c r="BI49" s="355"/>
      <c r="BJ49" s="355"/>
      <c r="BK49" s="355"/>
      <c r="BL49" s="355"/>
      <c r="BM49" s="355"/>
      <c r="BN49" s="355"/>
      <c r="BO49" s="355"/>
      <c r="BP49" s="355"/>
      <c r="BQ49" s="355"/>
      <c r="BR49" s="355"/>
      <c r="BS49" s="355"/>
      <c r="BT49" s="355"/>
      <c r="BU49" s="355"/>
      <c r="BV49" s="355"/>
      <c r="BW49" s="355"/>
      <c r="BX49" s="355"/>
    </row>
    <row r="50" spans="1:76" s="27" customFormat="1">
      <c r="A50" s="355"/>
      <c r="B50" s="355"/>
      <c r="C50" s="115" t="str">
        <f t="shared" si="4"/>
        <v/>
      </c>
      <c r="D50" s="123" t="str">
        <f t="shared" si="5"/>
        <v/>
      </c>
      <c r="E50" s="232" t="str">
        <f>IF(OR(AF50&lt;&gt;"",AO50&lt;&gt;""),IF(MAX(AF50,AO50)&gt;ABS(MIN(AF50,AO50)),MAX(AF50,AO50),IF(AND($N$9=2,'Shear(M)'!B92="#",'Shear(M)'!B91="#",'Shear(M)'!B93="#"),E49,MIN(AF50,AO50))),"")</f>
        <v/>
      </c>
      <c r="F50" s="232" t="str">
        <f t="shared" si="6"/>
        <v/>
      </c>
      <c r="G50" s="115" t="e">
        <f>IF(AND($N$9=2,'Shear(M)'!B92="#",'Shear(M)'!B91="#",'Shear(M)'!B93="#"),G49,IF(OR(AH50&lt;&gt;"",AQ50&lt;&gt;""),MAX(AH50,AQ50),""))</f>
        <v>#VALUE!</v>
      </c>
      <c r="H50" s="115" t="e">
        <f>IF(AND($N$9=2,'Shear(M)'!B92="#",'Shear(M)'!B91="#",'Shear(M)'!B93="#"),H49,IF(OR(AI50&lt;&gt;"",AR50&lt;&gt;""),MIN(AI50,AR50),""))</f>
        <v>#VALUE!</v>
      </c>
      <c r="I50" s="115" t="e">
        <f>IF(AND($N$9=2,'Shear(M)'!B92="#",'Shear(M)'!B91="#",'Shear(M)'!B93="#"),I49,IF(OR(AJ50&lt;&gt;"",AS50&lt;&gt;""),MAX(AJ50,AS50),""))</f>
        <v>#VALUE!</v>
      </c>
      <c r="J50" s="115" t="e">
        <f>IF(AND($N$9=2,'Shear(M)'!B92="#",'Shear(M)'!B91="#",'Shear(M)'!B93="#"),J49,IF(OR(AK50&lt;&gt;"",AT50&lt;&gt;""),MIN(AK50,AT50),""))</f>
        <v>#VALUE!</v>
      </c>
      <c r="K50" s="232" t="str">
        <f t="shared" si="7"/>
        <v/>
      </c>
      <c r="L50" s="232" t="str">
        <f t="shared" si="8"/>
        <v/>
      </c>
      <c r="M50" s="660" t="str">
        <f t="shared" si="9"/>
        <v/>
      </c>
      <c r="N50" s="355"/>
      <c r="O50" s="355"/>
      <c r="P50" s="355"/>
      <c r="Q50" s="355"/>
      <c r="R50" s="600" t="str">
        <f t="shared" si="10"/>
        <v>NA</v>
      </c>
      <c r="S50" s="600"/>
      <c r="T50" s="600"/>
      <c r="U50" s="600"/>
      <c r="V50" s="600"/>
      <c r="W50" s="600"/>
      <c r="X50" s="600"/>
      <c r="Y50" s="600"/>
      <c r="Z50" s="600"/>
      <c r="AA50" s="600"/>
      <c r="AB50" s="600"/>
      <c r="AC50" s="600"/>
      <c r="AD50" s="600">
        <v>39</v>
      </c>
      <c r="AE50" s="600"/>
      <c r="AF50" s="600" t="str">
        <f t="shared" si="11"/>
        <v/>
      </c>
      <c r="AG50" s="600" t="str">
        <f t="shared" si="12"/>
        <v/>
      </c>
      <c r="AH50" s="600" t="str">
        <f t="shared" si="13"/>
        <v/>
      </c>
      <c r="AI50" s="600" t="str">
        <f t="shared" si="14"/>
        <v/>
      </c>
      <c r="AJ50" s="600" t="str">
        <f t="shared" si="15"/>
        <v/>
      </c>
      <c r="AK50" s="600" t="str">
        <f t="shared" si="16"/>
        <v/>
      </c>
      <c r="AL50" s="600" t="str">
        <f t="shared" si="17"/>
        <v/>
      </c>
      <c r="AM50" s="600" t="str">
        <f t="shared" si="18"/>
        <v/>
      </c>
      <c r="AN50" s="600"/>
      <c r="AO50" s="600" t="str">
        <f t="shared" si="19"/>
        <v/>
      </c>
      <c r="AP50" s="600" t="str">
        <f t="shared" si="19"/>
        <v/>
      </c>
      <c r="AQ50" s="600" t="str">
        <f t="shared" si="19"/>
        <v/>
      </c>
      <c r="AR50" s="600" t="str">
        <f t="shared" si="19"/>
        <v/>
      </c>
      <c r="AS50" s="600" t="str">
        <f t="shared" si="19"/>
        <v/>
      </c>
      <c r="AT50" s="600" t="str">
        <f t="shared" si="19"/>
        <v/>
      </c>
      <c r="AU50" s="600" t="str">
        <f t="shared" si="19"/>
        <v/>
      </c>
      <c r="AV50" s="600" t="str">
        <f t="shared" si="19"/>
        <v/>
      </c>
      <c r="AW50" s="600"/>
      <c r="AX50" s="600"/>
      <c r="AY50" s="600"/>
      <c r="AZ50" s="600"/>
      <c r="BA50" s="355"/>
      <c r="BB50" s="355"/>
      <c r="BC50" s="355"/>
      <c r="BD50" s="355"/>
      <c r="BE50" s="355"/>
      <c r="BF50" s="355"/>
      <c r="BG50" s="355"/>
      <c r="BH50" s="355"/>
      <c r="BI50" s="355"/>
      <c r="BJ50" s="355"/>
      <c r="BK50" s="355"/>
      <c r="BL50" s="355"/>
      <c r="BM50" s="355"/>
      <c r="BN50" s="355"/>
      <c r="BO50" s="355"/>
      <c r="BP50" s="355"/>
      <c r="BQ50" s="355"/>
      <c r="BR50" s="355"/>
      <c r="BS50" s="355"/>
      <c r="BT50" s="355"/>
      <c r="BU50" s="355"/>
      <c r="BV50" s="355"/>
      <c r="BW50" s="355"/>
      <c r="BX50" s="355"/>
    </row>
    <row r="51" spans="1:76" s="27" customFormat="1">
      <c r="A51" s="355"/>
      <c r="B51" s="355"/>
      <c r="C51" s="115" t="str">
        <f t="shared" si="4"/>
        <v/>
      </c>
      <c r="D51" s="123" t="str">
        <f t="shared" si="5"/>
        <v/>
      </c>
      <c r="E51" s="232" t="str">
        <f>IF(OR(AF51&lt;&gt;"",AO51&lt;&gt;""),IF(MAX(AF51,AO51)&gt;ABS(MIN(AF51,AO51)),MAX(AF51,AO51),IF(AND($N$9=2,'Shear(M)'!B93="#",'Shear(M)'!B92="#",'Shear(M)'!B94="#"),E50,MIN(AF51,AO51))),"")</f>
        <v/>
      </c>
      <c r="F51" s="232" t="str">
        <f t="shared" si="6"/>
        <v/>
      </c>
      <c r="G51" s="115" t="e">
        <f>IF(AND($N$9=2,'Shear(M)'!B93="#",'Shear(M)'!B92="#",'Shear(M)'!B94="#"),G50,IF(OR(AH51&lt;&gt;"",AQ51&lt;&gt;""),MAX(AH51,AQ51),""))</f>
        <v>#VALUE!</v>
      </c>
      <c r="H51" s="115" t="e">
        <f>IF(AND($N$9=2,'Shear(M)'!B93="#",'Shear(M)'!B92="#",'Shear(M)'!B94="#"),H50,IF(OR(AI51&lt;&gt;"",AR51&lt;&gt;""),MIN(AI51,AR51),""))</f>
        <v>#VALUE!</v>
      </c>
      <c r="I51" s="115" t="e">
        <f>IF(AND($N$9=2,'Shear(M)'!B93="#",'Shear(M)'!B92="#",'Shear(M)'!B94="#"),I50,IF(OR(AJ51&lt;&gt;"",AS51&lt;&gt;""),MAX(AJ51,AS51),""))</f>
        <v>#VALUE!</v>
      </c>
      <c r="J51" s="115" t="e">
        <f>IF(AND($N$9=2,'Shear(M)'!B93="#",'Shear(M)'!B92="#",'Shear(M)'!B94="#"),J50,IF(OR(AK51&lt;&gt;"",AT51&lt;&gt;""),MIN(AK51,AT51),""))</f>
        <v>#VALUE!</v>
      </c>
      <c r="K51" s="232" t="str">
        <f t="shared" si="7"/>
        <v/>
      </c>
      <c r="L51" s="232" t="str">
        <f t="shared" si="8"/>
        <v/>
      </c>
      <c r="M51" s="660" t="str">
        <f t="shared" si="9"/>
        <v/>
      </c>
      <c r="N51" s="355"/>
      <c r="O51" s="355"/>
      <c r="P51" s="355"/>
      <c r="Q51" s="355"/>
      <c r="R51" s="600" t="str">
        <f t="shared" si="10"/>
        <v>NA</v>
      </c>
      <c r="S51" s="600"/>
      <c r="T51" s="600"/>
      <c r="U51" s="600"/>
      <c r="V51" s="600"/>
      <c r="W51" s="600"/>
      <c r="X51" s="600"/>
      <c r="Y51" s="600"/>
      <c r="Z51" s="600"/>
      <c r="AA51" s="600"/>
      <c r="AB51" s="600"/>
      <c r="AC51" s="600"/>
      <c r="AD51" s="600">
        <v>40</v>
      </c>
      <c r="AE51" s="600"/>
      <c r="AF51" s="600" t="str">
        <f t="shared" si="11"/>
        <v/>
      </c>
      <c r="AG51" s="600" t="str">
        <f t="shared" si="12"/>
        <v/>
      </c>
      <c r="AH51" s="600" t="str">
        <f t="shared" si="13"/>
        <v/>
      </c>
      <c r="AI51" s="600" t="str">
        <f t="shared" si="14"/>
        <v/>
      </c>
      <c r="AJ51" s="600" t="str">
        <f t="shared" si="15"/>
        <v/>
      </c>
      <c r="AK51" s="600" t="str">
        <f t="shared" si="16"/>
        <v/>
      </c>
      <c r="AL51" s="600" t="str">
        <f t="shared" si="17"/>
        <v/>
      </c>
      <c r="AM51" s="600" t="str">
        <f t="shared" si="18"/>
        <v/>
      </c>
      <c r="AN51" s="600"/>
      <c r="AO51" s="600" t="str">
        <f t="shared" si="19"/>
        <v/>
      </c>
      <c r="AP51" s="600" t="str">
        <f t="shared" si="19"/>
        <v/>
      </c>
      <c r="AQ51" s="600" t="str">
        <f t="shared" si="19"/>
        <v/>
      </c>
      <c r="AR51" s="600" t="str">
        <f t="shared" si="19"/>
        <v/>
      </c>
      <c r="AS51" s="600" t="str">
        <f t="shared" si="19"/>
        <v/>
      </c>
      <c r="AT51" s="600" t="str">
        <f t="shared" si="19"/>
        <v/>
      </c>
      <c r="AU51" s="600" t="str">
        <f t="shared" si="19"/>
        <v/>
      </c>
      <c r="AV51" s="600" t="str">
        <f t="shared" si="19"/>
        <v/>
      </c>
      <c r="AW51" s="600"/>
      <c r="AX51" s="600"/>
      <c r="AY51" s="600"/>
      <c r="AZ51" s="600"/>
      <c r="BA51" s="355"/>
      <c r="BB51" s="355"/>
      <c r="BC51" s="355"/>
      <c r="BD51" s="355"/>
      <c r="BE51" s="355"/>
      <c r="BF51" s="355"/>
      <c r="BG51" s="355"/>
      <c r="BH51" s="355"/>
      <c r="BI51" s="355"/>
      <c r="BJ51" s="355"/>
      <c r="BK51" s="355"/>
      <c r="BL51" s="355"/>
      <c r="BM51" s="355"/>
      <c r="BN51" s="355"/>
      <c r="BO51" s="355"/>
      <c r="BP51" s="355"/>
      <c r="BQ51" s="355"/>
      <c r="BR51" s="355"/>
      <c r="BS51" s="355"/>
      <c r="BT51" s="355"/>
      <c r="BU51" s="355"/>
      <c r="BV51" s="355"/>
      <c r="BW51" s="355"/>
      <c r="BX51" s="355"/>
    </row>
    <row r="52" spans="1:76" s="27" customFormat="1">
      <c r="A52" s="355"/>
      <c r="B52" s="355"/>
      <c r="C52" s="115" t="str">
        <f t="shared" si="4"/>
        <v/>
      </c>
      <c r="D52" s="123" t="str">
        <f t="shared" si="5"/>
        <v/>
      </c>
      <c r="E52" s="232" t="str">
        <f>IF(OR(AF52&lt;&gt;"",AO52&lt;&gt;""),IF(MAX(AF52,AO52)&gt;ABS(MIN(AF52,AO52)),MAX(AF52,AO52),IF(AND($N$9=2,'Shear(M)'!B94="#",'Shear(M)'!B93="#",'Shear(M)'!B95="#"),E51,MIN(AF52,AO52))),"")</f>
        <v/>
      </c>
      <c r="F52" s="232" t="str">
        <f t="shared" si="6"/>
        <v/>
      </c>
      <c r="G52" s="115" t="e">
        <f>IF(AND($N$9=2,'Shear(M)'!B94="#",'Shear(M)'!B93="#",'Shear(M)'!B95="#"),G51,IF(OR(AH52&lt;&gt;"",AQ52&lt;&gt;""),MAX(AH52,AQ52),""))</f>
        <v>#VALUE!</v>
      </c>
      <c r="H52" s="115" t="e">
        <f>IF(AND($N$9=2,'Shear(M)'!B94="#",'Shear(M)'!B93="#",'Shear(M)'!B95="#"),H51,IF(OR(AI52&lt;&gt;"",AR52&lt;&gt;""),MIN(AI52,AR52),""))</f>
        <v>#VALUE!</v>
      </c>
      <c r="I52" s="115" t="e">
        <f>IF(AND($N$9=2,'Shear(M)'!B94="#",'Shear(M)'!B93="#",'Shear(M)'!B95="#"),I51,IF(OR(AJ52&lt;&gt;"",AS52&lt;&gt;""),MAX(AJ52,AS52),""))</f>
        <v>#VALUE!</v>
      </c>
      <c r="J52" s="115" t="e">
        <f>IF(AND($N$9=2,'Shear(M)'!B94="#",'Shear(M)'!B93="#",'Shear(M)'!B95="#"),J51,IF(OR(AK52&lt;&gt;"",AT52&lt;&gt;""),MIN(AK52,AT52),""))</f>
        <v>#VALUE!</v>
      </c>
      <c r="K52" s="232" t="str">
        <f t="shared" si="7"/>
        <v/>
      </c>
      <c r="L52" s="232" t="str">
        <f t="shared" si="8"/>
        <v/>
      </c>
      <c r="M52" s="660" t="str">
        <f t="shared" si="9"/>
        <v/>
      </c>
      <c r="N52" s="355"/>
      <c r="O52" s="355"/>
      <c r="P52" s="355"/>
      <c r="Q52" s="355"/>
      <c r="R52" s="600" t="str">
        <f t="shared" si="10"/>
        <v>NA</v>
      </c>
      <c r="S52" s="600"/>
      <c r="T52" s="600"/>
      <c r="U52" s="600"/>
      <c r="V52" s="600"/>
      <c r="W52" s="600"/>
      <c r="X52" s="600"/>
      <c r="Y52" s="600"/>
      <c r="Z52" s="600"/>
      <c r="AA52" s="600"/>
      <c r="AB52" s="600"/>
      <c r="AC52" s="600"/>
      <c r="AD52" s="600">
        <v>41</v>
      </c>
      <c r="AE52" s="600"/>
      <c r="AF52" s="600" t="str">
        <f t="shared" si="11"/>
        <v/>
      </c>
      <c r="AG52" s="600" t="str">
        <f t="shared" si="12"/>
        <v/>
      </c>
      <c r="AH52" s="600" t="str">
        <f t="shared" si="13"/>
        <v/>
      </c>
      <c r="AI52" s="600" t="str">
        <f t="shared" si="14"/>
        <v/>
      </c>
      <c r="AJ52" s="600" t="str">
        <f t="shared" si="15"/>
        <v/>
      </c>
      <c r="AK52" s="600" t="str">
        <f t="shared" si="16"/>
        <v/>
      </c>
      <c r="AL52" s="600" t="str">
        <f t="shared" si="17"/>
        <v/>
      </c>
      <c r="AM52" s="600" t="str">
        <f t="shared" si="18"/>
        <v/>
      </c>
      <c r="AN52" s="600"/>
      <c r="AO52" s="600" t="str">
        <f t="shared" si="19"/>
        <v/>
      </c>
      <c r="AP52" s="600" t="str">
        <f t="shared" si="19"/>
        <v/>
      </c>
      <c r="AQ52" s="600" t="str">
        <f t="shared" si="19"/>
        <v/>
      </c>
      <c r="AR52" s="600" t="str">
        <f t="shared" si="19"/>
        <v/>
      </c>
      <c r="AS52" s="600" t="str">
        <f t="shared" si="19"/>
        <v/>
      </c>
      <c r="AT52" s="600" t="str">
        <f t="shared" si="19"/>
        <v/>
      </c>
      <c r="AU52" s="600" t="str">
        <f t="shared" si="19"/>
        <v/>
      </c>
      <c r="AV52" s="600" t="str">
        <f t="shared" si="19"/>
        <v/>
      </c>
      <c r="AW52" s="600"/>
      <c r="AX52" s="600"/>
      <c r="AY52" s="600"/>
      <c r="AZ52" s="600"/>
      <c r="BA52" s="355"/>
      <c r="BB52" s="355"/>
      <c r="BC52" s="355"/>
      <c r="BD52" s="355"/>
      <c r="BE52" s="355"/>
      <c r="BF52" s="355"/>
      <c r="BG52" s="355"/>
      <c r="BH52" s="355"/>
      <c r="BI52" s="355"/>
      <c r="BJ52" s="355"/>
      <c r="BK52" s="355"/>
      <c r="BL52" s="355"/>
      <c r="BM52" s="355"/>
      <c r="BN52" s="355"/>
      <c r="BO52" s="355"/>
      <c r="BP52" s="355"/>
      <c r="BQ52" s="355"/>
      <c r="BR52" s="355"/>
      <c r="BS52" s="355"/>
      <c r="BT52" s="355"/>
      <c r="BU52" s="355"/>
      <c r="BV52" s="355"/>
      <c r="BW52" s="355"/>
      <c r="BX52" s="355"/>
    </row>
    <row r="53" spans="1:76" s="27" customFormat="1">
      <c r="A53" s="355"/>
      <c r="B53" s="355"/>
      <c r="C53" s="115" t="str">
        <f t="shared" si="4"/>
        <v/>
      </c>
      <c r="D53" s="123" t="str">
        <f t="shared" si="5"/>
        <v/>
      </c>
      <c r="E53" s="232" t="str">
        <f>IF(OR(AF53&lt;&gt;"",AO53&lt;&gt;""),IF(MAX(AF53,AO53)&gt;ABS(MIN(AF53,AO53)),MAX(AF53,AO53),IF(AND($N$9=2,'Shear(M)'!B95="#",'Shear(M)'!B94="#",'Shear(M)'!B96="#"),E52,MIN(AF53,AO53))),"")</f>
        <v/>
      </c>
      <c r="F53" s="232" t="str">
        <f t="shared" si="6"/>
        <v/>
      </c>
      <c r="G53" s="115" t="e">
        <f>IF(AND($N$9=2,'Shear(M)'!B95="#",'Shear(M)'!B94="#",'Shear(M)'!B96="#"),G52,IF(OR(AH53&lt;&gt;"",AQ53&lt;&gt;""),MAX(AH53,AQ53),""))</f>
        <v>#VALUE!</v>
      </c>
      <c r="H53" s="115" t="e">
        <f>IF(AND($N$9=2,'Shear(M)'!B95="#",'Shear(M)'!B94="#",'Shear(M)'!B96="#"),H52,IF(OR(AI53&lt;&gt;"",AR53&lt;&gt;""),MIN(AI53,AR53),""))</f>
        <v>#VALUE!</v>
      </c>
      <c r="I53" s="115" t="e">
        <f>IF(AND($N$9=2,'Shear(M)'!B95="#",'Shear(M)'!B94="#",'Shear(M)'!B96="#"),I52,IF(OR(AJ53&lt;&gt;"",AS53&lt;&gt;""),MAX(AJ53,AS53),""))</f>
        <v>#VALUE!</v>
      </c>
      <c r="J53" s="115" t="e">
        <f>IF(AND($N$9=2,'Shear(M)'!B95="#",'Shear(M)'!B94="#",'Shear(M)'!B96="#"),J52,IF(OR(AK53&lt;&gt;"",AT53&lt;&gt;""),MIN(AK53,AT53),""))</f>
        <v>#VALUE!</v>
      </c>
      <c r="K53" s="232" t="str">
        <f t="shared" si="7"/>
        <v/>
      </c>
      <c r="L53" s="232" t="str">
        <f t="shared" si="8"/>
        <v/>
      </c>
      <c r="M53" s="660" t="str">
        <f t="shared" si="9"/>
        <v/>
      </c>
      <c r="N53" s="355"/>
      <c r="O53" s="355"/>
      <c r="P53" s="355"/>
      <c r="Q53" s="355"/>
      <c r="R53" s="600" t="str">
        <f t="shared" si="10"/>
        <v>NA</v>
      </c>
      <c r="S53" s="600"/>
      <c r="T53" s="600"/>
      <c r="U53" s="600"/>
      <c r="V53" s="600"/>
      <c r="W53" s="600"/>
      <c r="X53" s="600"/>
      <c r="Y53" s="600"/>
      <c r="Z53" s="600"/>
      <c r="AA53" s="600"/>
      <c r="AB53" s="600"/>
      <c r="AC53" s="600"/>
      <c r="AD53" s="600">
        <v>42</v>
      </c>
      <c r="AE53" s="600"/>
      <c r="AF53" s="600" t="str">
        <f t="shared" si="11"/>
        <v/>
      </c>
      <c r="AG53" s="600" t="str">
        <f t="shared" si="12"/>
        <v/>
      </c>
      <c r="AH53" s="600" t="str">
        <f t="shared" si="13"/>
        <v/>
      </c>
      <c r="AI53" s="600" t="str">
        <f t="shared" si="14"/>
        <v/>
      </c>
      <c r="AJ53" s="600" t="str">
        <f t="shared" si="15"/>
        <v/>
      </c>
      <c r="AK53" s="600" t="str">
        <f t="shared" si="16"/>
        <v/>
      </c>
      <c r="AL53" s="600" t="str">
        <f t="shared" si="17"/>
        <v/>
      </c>
      <c r="AM53" s="600" t="str">
        <f t="shared" si="18"/>
        <v/>
      </c>
      <c r="AN53" s="600"/>
      <c r="AO53" s="600" t="str">
        <f t="shared" si="19"/>
        <v/>
      </c>
      <c r="AP53" s="600" t="str">
        <f t="shared" si="19"/>
        <v/>
      </c>
      <c r="AQ53" s="600" t="str">
        <f t="shared" si="19"/>
        <v/>
      </c>
      <c r="AR53" s="600" t="str">
        <f t="shared" si="19"/>
        <v/>
      </c>
      <c r="AS53" s="600" t="str">
        <f t="shared" si="19"/>
        <v/>
      </c>
      <c r="AT53" s="600" t="str">
        <f t="shared" si="19"/>
        <v/>
      </c>
      <c r="AU53" s="600" t="str">
        <f t="shared" si="19"/>
        <v/>
      </c>
      <c r="AV53" s="600" t="str">
        <f t="shared" si="19"/>
        <v/>
      </c>
      <c r="AW53" s="600"/>
      <c r="AX53" s="600"/>
      <c r="AY53" s="600"/>
      <c r="AZ53" s="600"/>
      <c r="BA53" s="355"/>
      <c r="BB53" s="355"/>
      <c r="BC53" s="355"/>
      <c r="BD53" s="355"/>
      <c r="BE53" s="355"/>
      <c r="BF53" s="355"/>
      <c r="BG53" s="355"/>
      <c r="BH53" s="355"/>
      <c r="BI53" s="355"/>
      <c r="BJ53" s="355"/>
      <c r="BK53" s="355"/>
      <c r="BL53" s="355"/>
      <c r="BM53" s="355"/>
      <c r="BN53" s="355"/>
      <c r="BO53" s="355"/>
      <c r="BP53" s="355"/>
      <c r="BQ53" s="355"/>
      <c r="BR53" s="355"/>
      <c r="BS53" s="355"/>
      <c r="BT53" s="355"/>
      <c r="BU53" s="355"/>
      <c r="BV53" s="355"/>
      <c r="BW53" s="355"/>
      <c r="BX53" s="355"/>
    </row>
    <row r="54" spans="1:76" s="27" customFormat="1">
      <c r="A54" s="355"/>
      <c r="B54" s="355"/>
      <c r="C54" s="115" t="str">
        <f t="shared" si="4"/>
        <v/>
      </c>
      <c r="D54" s="123" t="str">
        <f t="shared" si="5"/>
        <v/>
      </c>
      <c r="E54" s="232" t="str">
        <f>IF(OR(AF54&lt;&gt;"",AO54&lt;&gt;""),IF(MAX(AF54,AO54)&gt;ABS(MIN(AF54,AO54)),MAX(AF54,AO54),IF(AND($N$9=2,'Shear(M)'!B96="#",'Shear(M)'!B95="#",'Shear(M)'!B97="#"),E53,MIN(AF54,AO54))),"")</f>
        <v/>
      </c>
      <c r="F54" s="232" t="str">
        <f t="shared" si="6"/>
        <v/>
      </c>
      <c r="G54" s="115" t="e">
        <f>IF(AND($N$9=2,'Shear(M)'!B96="#",'Shear(M)'!B95="#",'Shear(M)'!B97="#"),G53,IF(OR(AH54&lt;&gt;"",AQ54&lt;&gt;""),MAX(AH54,AQ54),""))</f>
        <v>#VALUE!</v>
      </c>
      <c r="H54" s="115" t="e">
        <f>IF(AND($N$9=2,'Shear(M)'!B96="#",'Shear(M)'!B95="#",'Shear(M)'!B97="#"),H53,IF(OR(AI54&lt;&gt;"",AR54&lt;&gt;""),MIN(AI54,AR54),""))</f>
        <v>#VALUE!</v>
      </c>
      <c r="I54" s="115" t="e">
        <f>IF(AND($N$9=2,'Shear(M)'!B96="#",'Shear(M)'!B95="#",'Shear(M)'!B97="#"),I53,IF(OR(AJ54&lt;&gt;"",AS54&lt;&gt;""),MAX(AJ54,AS54),""))</f>
        <v>#VALUE!</v>
      </c>
      <c r="J54" s="115" t="e">
        <f>IF(AND($N$9=2,'Shear(M)'!B96="#",'Shear(M)'!B95="#",'Shear(M)'!B97="#"),J53,IF(OR(AK54&lt;&gt;"",AT54&lt;&gt;""),MIN(AK54,AT54),""))</f>
        <v>#VALUE!</v>
      </c>
      <c r="K54" s="232" t="str">
        <f t="shared" si="7"/>
        <v/>
      </c>
      <c r="L54" s="232" t="str">
        <f t="shared" si="8"/>
        <v/>
      </c>
      <c r="M54" s="660" t="str">
        <f t="shared" si="9"/>
        <v/>
      </c>
      <c r="N54" s="355"/>
      <c r="O54" s="355"/>
      <c r="P54" s="355"/>
      <c r="Q54" s="355"/>
      <c r="R54" s="600" t="str">
        <f t="shared" si="10"/>
        <v>NA</v>
      </c>
      <c r="S54" s="600"/>
      <c r="T54" s="600"/>
      <c r="U54" s="600"/>
      <c r="V54" s="600"/>
      <c r="W54" s="600"/>
      <c r="X54" s="600"/>
      <c r="Y54" s="600"/>
      <c r="Z54" s="600"/>
      <c r="AA54" s="600"/>
      <c r="AB54" s="600"/>
      <c r="AC54" s="600"/>
      <c r="AD54" s="600">
        <v>43</v>
      </c>
      <c r="AE54" s="600"/>
      <c r="AF54" s="600" t="str">
        <f t="shared" si="11"/>
        <v/>
      </c>
      <c r="AG54" s="600" t="str">
        <f t="shared" si="12"/>
        <v/>
      </c>
      <c r="AH54" s="600" t="str">
        <f t="shared" si="13"/>
        <v/>
      </c>
      <c r="AI54" s="600" t="str">
        <f t="shared" si="14"/>
        <v/>
      </c>
      <c r="AJ54" s="600" t="str">
        <f t="shared" si="15"/>
        <v/>
      </c>
      <c r="AK54" s="600" t="str">
        <f t="shared" si="16"/>
        <v/>
      </c>
      <c r="AL54" s="600" t="str">
        <f t="shared" si="17"/>
        <v/>
      </c>
      <c r="AM54" s="600" t="str">
        <f t="shared" si="18"/>
        <v/>
      </c>
      <c r="AN54" s="600"/>
      <c r="AO54" s="600" t="str">
        <f t="shared" si="19"/>
        <v/>
      </c>
      <c r="AP54" s="600" t="str">
        <f t="shared" si="19"/>
        <v/>
      </c>
      <c r="AQ54" s="600" t="str">
        <f t="shared" si="19"/>
        <v/>
      </c>
      <c r="AR54" s="600" t="str">
        <f t="shared" si="19"/>
        <v/>
      </c>
      <c r="AS54" s="600" t="str">
        <f t="shared" si="19"/>
        <v/>
      </c>
      <c r="AT54" s="600" t="str">
        <f t="shared" si="19"/>
        <v/>
      </c>
      <c r="AU54" s="600" t="str">
        <f t="shared" si="19"/>
        <v/>
      </c>
      <c r="AV54" s="600" t="str">
        <f t="shared" si="19"/>
        <v/>
      </c>
      <c r="AW54" s="600"/>
      <c r="AX54" s="600"/>
      <c r="AY54" s="600"/>
      <c r="AZ54" s="600"/>
      <c r="BA54" s="355"/>
      <c r="BB54" s="355"/>
      <c r="BC54" s="355"/>
      <c r="BD54" s="355"/>
      <c r="BE54" s="355"/>
      <c r="BF54" s="355"/>
      <c r="BG54" s="355"/>
      <c r="BH54" s="355"/>
      <c r="BI54" s="355"/>
      <c r="BJ54" s="355"/>
      <c r="BK54" s="355"/>
      <c r="BL54" s="355"/>
      <c r="BM54" s="355"/>
      <c r="BN54" s="355"/>
      <c r="BO54" s="355"/>
      <c r="BP54" s="355"/>
      <c r="BQ54" s="355"/>
      <c r="BR54" s="355"/>
      <c r="BS54" s="355"/>
      <c r="BT54" s="355"/>
      <c r="BU54" s="355"/>
      <c r="BV54" s="355"/>
      <c r="BW54" s="355"/>
      <c r="BX54" s="355"/>
    </row>
    <row r="55" spans="1:76" s="27" customFormat="1">
      <c r="A55" s="355"/>
      <c r="B55" s="355"/>
      <c r="C55" s="115" t="str">
        <f t="shared" si="4"/>
        <v/>
      </c>
      <c r="D55" s="123" t="str">
        <f t="shared" si="5"/>
        <v/>
      </c>
      <c r="E55" s="232" t="str">
        <f>IF(OR(AF55&lt;&gt;"",AO55&lt;&gt;""),IF(MAX(AF55,AO55)&gt;ABS(MIN(AF55,AO55)),MAX(AF55,AO55),IF(AND($N$9=2,'Shear(M)'!B97="#",'Shear(M)'!B96="#",'Shear(M)'!B98="#"),E54,MIN(AF55,AO55))),"")</f>
        <v/>
      </c>
      <c r="F55" s="232" t="str">
        <f t="shared" si="6"/>
        <v/>
      </c>
      <c r="G55" s="115" t="e">
        <f>IF(AND($N$9=2,'Shear(M)'!B97="#",'Shear(M)'!B96="#",'Shear(M)'!B98="#"),G54,IF(OR(AH55&lt;&gt;"",AQ55&lt;&gt;""),MAX(AH55,AQ55),""))</f>
        <v>#VALUE!</v>
      </c>
      <c r="H55" s="115" t="e">
        <f>IF(AND($N$9=2,'Shear(M)'!B97="#",'Shear(M)'!B96="#",'Shear(M)'!B98="#"),H54,IF(OR(AI55&lt;&gt;"",AR55&lt;&gt;""),MIN(AI55,AR55),""))</f>
        <v>#VALUE!</v>
      </c>
      <c r="I55" s="115" t="e">
        <f>IF(AND($N$9=2,'Shear(M)'!B97="#",'Shear(M)'!B96="#",'Shear(M)'!B98="#"),I54,IF(OR(AJ55&lt;&gt;"",AS55&lt;&gt;""),MAX(AJ55,AS55),""))</f>
        <v>#VALUE!</v>
      </c>
      <c r="J55" s="115" t="e">
        <f>IF(AND($N$9=2,'Shear(M)'!B97="#",'Shear(M)'!B96="#",'Shear(M)'!B98="#"),J54,IF(OR(AK55&lt;&gt;"",AT55&lt;&gt;""),MIN(AK55,AT55),""))</f>
        <v>#VALUE!</v>
      </c>
      <c r="K55" s="232" t="str">
        <f t="shared" si="7"/>
        <v/>
      </c>
      <c r="L55" s="232" t="str">
        <f t="shared" si="8"/>
        <v/>
      </c>
      <c r="M55" s="660" t="str">
        <f t="shared" si="9"/>
        <v/>
      </c>
      <c r="N55" s="355"/>
      <c r="O55" s="355"/>
      <c r="P55" s="355"/>
      <c r="Q55" s="355"/>
      <c r="R55" s="600" t="str">
        <f t="shared" si="10"/>
        <v>NA</v>
      </c>
      <c r="S55" s="600"/>
      <c r="T55" s="600"/>
      <c r="U55" s="600"/>
      <c r="V55" s="600"/>
      <c r="W55" s="600"/>
      <c r="X55" s="600"/>
      <c r="Y55" s="600"/>
      <c r="Z55" s="600"/>
      <c r="AA55" s="600"/>
      <c r="AB55" s="600"/>
      <c r="AC55" s="600"/>
      <c r="AD55" s="600">
        <v>44</v>
      </c>
      <c r="AE55" s="600"/>
      <c r="AF55" s="600" t="str">
        <f t="shared" si="11"/>
        <v/>
      </c>
      <c r="AG55" s="600" t="str">
        <f t="shared" si="12"/>
        <v/>
      </c>
      <c r="AH55" s="600" t="str">
        <f t="shared" si="13"/>
        <v/>
      </c>
      <c r="AI55" s="600" t="str">
        <f t="shared" si="14"/>
        <v/>
      </c>
      <c r="AJ55" s="600" t="str">
        <f t="shared" si="15"/>
        <v/>
      </c>
      <c r="AK55" s="600" t="str">
        <f t="shared" si="16"/>
        <v/>
      </c>
      <c r="AL55" s="600" t="str">
        <f t="shared" si="17"/>
        <v/>
      </c>
      <c r="AM55" s="600" t="str">
        <f t="shared" si="18"/>
        <v/>
      </c>
      <c r="AN55" s="600"/>
      <c r="AO55" s="600" t="str">
        <f t="shared" si="19"/>
        <v/>
      </c>
      <c r="AP55" s="600" t="str">
        <f t="shared" si="19"/>
        <v/>
      </c>
      <c r="AQ55" s="600" t="str">
        <f t="shared" si="19"/>
        <v/>
      </c>
      <c r="AR55" s="600" t="str">
        <f t="shared" si="19"/>
        <v/>
      </c>
      <c r="AS55" s="600" t="str">
        <f t="shared" si="19"/>
        <v/>
      </c>
      <c r="AT55" s="600" t="str">
        <f t="shared" si="19"/>
        <v/>
      </c>
      <c r="AU55" s="600" t="str">
        <f t="shared" si="19"/>
        <v/>
      </c>
      <c r="AV55" s="600" t="str">
        <f t="shared" si="19"/>
        <v/>
      </c>
      <c r="AW55" s="600"/>
      <c r="AX55" s="600"/>
      <c r="AY55" s="600"/>
      <c r="AZ55" s="600"/>
      <c r="BA55" s="355"/>
      <c r="BB55" s="355"/>
      <c r="BC55" s="355"/>
      <c r="BD55" s="355"/>
      <c r="BE55" s="355"/>
      <c r="BF55" s="355"/>
      <c r="BG55" s="355"/>
      <c r="BH55" s="355"/>
      <c r="BI55" s="355"/>
      <c r="BJ55" s="355"/>
      <c r="BK55" s="355"/>
      <c r="BL55" s="355"/>
      <c r="BM55" s="355"/>
      <c r="BN55" s="355"/>
      <c r="BO55" s="355"/>
      <c r="BP55" s="355"/>
      <c r="BQ55" s="355"/>
      <c r="BR55" s="355"/>
      <c r="BS55" s="355"/>
      <c r="BT55" s="355"/>
      <c r="BU55" s="355"/>
      <c r="BV55" s="355"/>
      <c r="BW55" s="355"/>
      <c r="BX55" s="355"/>
    </row>
    <row r="56" spans="1:76" s="27" customFormat="1">
      <c r="A56" s="355"/>
      <c r="B56" s="355"/>
      <c r="C56" s="115" t="str">
        <f t="shared" si="4"/>
        <v/>
      </c>
      <c r="D56" s="123" t="str">
        <f t="shared" si="5"/>
        <v/>
      </c>
      <c r="E56" s="232" t="str">
        <f>IF(OR(AF56&lt;&gt;"",AO56&lt;&gt;""),IF(MAX(AF56,AO56)&gt;ABS(MIN(AF56,AO56)),MAX(AF56,AO56),IF(AND($N$9=2,'Shear(M)'!B98="#",'Shear(M)'!B97="#",'Shear(M)'!B99="#"),E55,MIN(AF56,AO56))),"")</f>
        <v/>
      </c>
      <c r="F56" s="232" t="str">
        <f t="shared" si="6"/>
        <v/>
      </c>
      <c r="G56" s="115" t="e">
        <f>IF(AND($N$9=2,'Shear(M)'!B98="#",'Shear(M)'!B97="#",'Shear(M)'!B99="#"),G55,IF(OR(AH56&lt;&gt;"",AQ56&lt;&gt;""),MAX(AH56,AQ56),""))</f>
        <v>#VALUE!</v>
      </c>
      <c r="H56" s="115" t="e">
        <f>IF(AND($N$9=2,'Shear(M)'!B98="#",'Shear(M)'!B97="#",'Shear(M)'!B99="#"),H55,IF(OR(AI56&lt;&gt;"",AR56&lt;&gt;""),MIN(AI56,AR56),""))</f>
        <v>#VALUE!</v>
      </c>
      <c r="I56" s="115" t="e">
        <f>IF(AND($N$9=2,'Shear(M)'!B98="#",'Shear(M)'!B97="#",'Shear(M)'!B99="#"),I55,IF(OR(AJ56&lt;&gt;"",AS56&lt;&gt;""),MAX(AJ56,AS56),""))</f>
        <v>#VALUE!</v>
      </c>
      <c r="J56" s="115" t="e">
        <f>IF(AND($N$9=2,'Shear(M)'!B98="#",'Shear(M)'!B97="#",'Shear(M)'!B99="#"),J55,IF(OR(AK56&lt;&gt;"",AT56&lt;&gt;""),MIN(AK56,AT56),""))</f>
        <v>#VALUE!</v>
      </c>
      <c r="K56" s="232" t="str">
        <f t="shared" si="7"/>
        <v/>
      </c>
      <c r="L56" s="232" t="str">
        <f t="shared" si="8"/>
        <v/>
      </c>
      <c r="M56" s="660" t="str">
        <f t="shared" si="9"/>
        <v/>
      </c>
      <c r="N56" s="355"/>
      <c r="O56" s="355"/>
      <c r="P56" s="355"/>
      <c r="Q56" s="355"/>
      <c r="R56" s="600" t="str">
        <f t="shared" si="10"/>
        <v>NA</v>
      </c>
      <c r="S56" s="600"/>
      <c r="T56" s="600"/>
      <c r="U56" s="600"/>
      <c r="V56" s="600"/>
      <c r="W56" s="600"/>
      <c r="X56" s="600"/>
      <c r="Y56" s="600"/>
      <c r="Z56" s="600"/>
      <c r="AA56" s="600"/>
      <c r="AB56" s="600"/>
      <c r="AC56" s="600"/>
      <c r="AD56" s="600">
        <v>45</v>
      </c>
      <c r="AE56" s="600"/>
      <c r="AF56" s="600" t="str">
        <f t="shared" si="11"/>
        <v/>
      </c>
      <c r="AG56" s="600" t="str">
        <f t="shared" si="12"/>
        <v/>
      </c>
      <c r="AH56" s="600" t="str">
        <f t="shared" si="13"/>
        <v/>
      </c>
      <c r="AI56" s="600" t="str">
        <f t="shared" si="14"/>
        <v/>
      </c>
      <c r="AJ56" s="600" t="str">
        <f t="shared" si="15"/>
        <v/>
      </c>
      <c r="AK56" s="600" t="str">
        <f t="shared" si="16"/>
        <v/>
      </c>
      <c r="AL56" s="600" t="str">
        <f t="shared" si="17"/>
        <v/>
      </c>
      <c r="AM56" s="600" t="str">
        <f t="shared" si="18"/>
        <v/>
      </c>
      <c r="AN56" s="600"/>
      <c r="AO56" s="600" t="str">
        <f t="shared" si="19"/>
        <v/>
      </c>
      <c r="AP56" s="600" t="str">
        <f t="shared" si="19"/>
        <v/>
      </c>
      <c r="AQ56" s="600" t="str">
        <f t="shared" si="19"/>
        <v/>
      </c>
      <c r="AR56" s="600" t="str">
        <f t="shared" si="19"/>
        <v/>
      </c>
      <c r="AS56" s="600" t="str">
        <f t="shared" si="19"/>
        <v/>
      </c>
      <c r="AT56" s="600" t="str">
        <f t="shared" si="19"/>
        <v/>
      </c>
      <c r="AU56" s="600" t="str">
        <f t="shared" si="19"/>
        <v/>
      </c>
      <c r="AV56" s="600" t="str">
        <f t="shared" si="19"/>
        <v/>
      </c>
      <c r="AW56" s="600"/>
      <c r="AX56" s="600"/>
      <c r="AY56" s="600"/>
      <c r="AZ56" s="600"/>
      <c r="BA56" s="355"/>
      <c r="BB56" s="355"/>
      <c r="BC56" s="355"/>
      <c r="BD56" s="355"/>
      <c r="BE56" s="355"/>
      <c r="BF56" s="355"/>
      <c r="BG56" s="355"/>
      <c r="BH56" s="355"/>
      <c r="BI56" s="355"/>
      <c r="BJ56" s="355"/>
      <c r="BK56" s="355"/>
      <c r="BL56" s="355"/>
      <c r="BM56" s="355"/>
      <c r="BN56" s="355"/>
      <c r="BO56" s="355"/>
      <c r="BP56" s="355"/>
      <c r="BQ56" s="355"/>
      <c r="BR56" s="355"/>
      <c r="BS56" s="355"/>
      <c r="BT56" s="355"/>
      <c r="BU56" s="355"/>
      <c r="BV56" s="355"/>
      <c r="BW56" s="355"/>
      <c r="BX56" s="355"/>
    </row>
    <row r="57" spans="1:76" s="27" customFormat="1">
      <c r="A57" s="355"/>
      <c r="B57" s="355"/>
      <c r="C57" s="115" t="str">
        <f t="shared" si="4"/>
        <v/>
      </c>
      <c r="D57" s="123" t="str">
        <f t="shared" si="5"/>
        <v/>
      </c>
      <c r="E57" s="232" t="str">
        <f>IF(OR(AF57&lt;&gt;"",AO57&lt;&gt;""),IF(MAX(AF57,AO57)&gt;ABS(MIN(AF57,AO57)),MAX(AF57,AO57),IF(AND($N$9=2,'Shear(M)'!B99="#",'Shear(M)'!B98="#",'Shear(M)'!B100="#"),E56,MIN(AF57,AO57))),"")</f>
        <v/>
      </c>
      <c r="F57" s="232" t="str">
        <f t="shared" si="6"/>
        <v/>
      </c>
      <c r="G57" s="115" t="e">
        <f>IF(AND($N$9=2,'Shear(M)'!B99="#",'Shear(M)'!B98="#",'Shear(M)'!B100="#"),G56,IF(OR(AH57&lt;&gt;"",AQ57&lt;&gt;""),MAX(AH57,AQ57),""))</f>
        <v>#VALUE!</v>
      </c>
      <c r="H57" s="115" t="e">
        <f>IF(AND($N$9=2,'Shear(M)'!B99="#",'Shear(M)'!B98="#",'Shear(M)'!B100="#"),H56,IF(OR(AI57&lt;&gt;"",AR57&lt;&gt;""),MIN(AI57,AR57),""))</f>
        <v>#VALUE!</v>
      </c>
      <c r="I57" s="115" t="e">
        <f>IF(AND($N$9=2,'Shear(M)'!B99="#",'Shear(M)'!B98="#",'Shear(M)'!B100="#"),I56,IF(OR(AJ57&lt;&gt;"",AS57&lt;&gt;""),MAX(AJ57,AS57),""))</f>
        <v>#VALUE!</v>
      </c>
      <c r="J57" s="115" t="e">
        <f>IF(AND($N$9=2,'Shear(M)'!B99="#",'Shear(M)'!B98="#",'Shear(M)'!B100="#"),J56,IF(OR(AK57&lt;&gt;"",AT57&lt;&gt;""),MIN(AK57,AT57),""))</f>
        <v>#VALUE!</v>
      </c>
      <c r="K57" s="232" t="str">
        <f t="shared" si="7"/>
        <v/>
      </c>
      <c r="L57" s="232" t="str">
        <f t="shared" si="8"/>
        <v/>
      </c>
      <c r="M57" s="660" t="str">
        <f t="shared" si="9"/>
        <v/>
      </c>
      <c r="N57" s="355"/>
      <c r="O57" s="355"/>
      <c r="P57" s="355"/>
      <c r="Q57" s="355"/>
      <c r="R57" s="600" t="str">
        <f t="shared" si="10"/>
        <v>NA</v>
      </c>
      <c r="S57" s="600"/>
      <c r="T57" s="600"/>
      <c r="U57" s="600"/>
      <c r="V57" s="600"/>
      <c r="W57" s="600"/>
      <c r="X57" s="600"/>
      <c r="Y57" s="600"/>
      <c r="Z57" s="600"/>
      <c r="AA57" s="600"/>
      <c r="AB57" s="600"/>
      <c r="AC57" s="600"/>
      <c r="AD57" s="600">
        <v>46</v>
      </c>
      <c r="AE57" s="600"/>
      <c r="AF57" s="600" t="str">
        <f t="shared" si="11"/>
        <v/>
      </c>
      <c r="AG57" s="600" t="str">
        <f t="shared" si="12"/>
        <v/>
      </c>
      <c r="AH57" s="600" t="str">
        <f t="shared" si="13"/>
        <v/>
      </c>
      <c r="AI57" s="600" t="str">
        <f t="shared" si="14"/>
        <v/>
      </c>
      <c r="AJ57" s="600" t="str">
        <f t="shared" si="15"/>
        <v/>
      </c>
      <c r="AK57" s="600" t="str">
        <f t="shared" si="16"/>
        <v/>
      </c>
      <c r="AL57" s="600" t="str">
        <f t="shared" si="17"/>
        <v/>
      </c>
      <c r="AM57" s="600" t="str">
        <f t="shared" si="18"/>
        <v/>
      </c>
      <c r="AN57" s="600"/>
      <c r="AO57" s="600" t="str">
        <f t="shared" si="19"/>
        <v/>
      </c>
      <c r="AP57" s="600" t="str">
        <f t="shared" si="19"/>
        <v/>
      </c>
      <c r="AQ57" s="600" t="str">
        <f t="shared" si="19"/>
        <v/>
      </c>
      <c r="AR57" s="600" t="str">
        <f t="shared" si="19"/>
        <v/>
      </c>
      <c r="AS57" s="600" t="str">
        <f t="shared" si="19"/>
        <v/>
      </c>
      <c r="AT57" s="600" t="str">
        <f t="shared" si="19"/>
        <v/>
      </c>
      <c r="AU57" s="600" t="str">
        <f t="shared" si="19"/>
        <v/>
      </c>
      <c r="AV57" s="600" t="str">
        <f t="shared" si="19"/>
        <v/>
      </c>
      <c r="AW57" s="600"/>
      <c r="AX57" s="600"/>
      <c r="AY57" s="600"/>
      <c r="AZ57" s="600"/>
      <c r="BA57" s="355"/>
      <c r="BB57" s="355"/>
      <c r="BC57" s="355"/>
      <c r="BD57" s="355"/>
      <c r="BE57" s="355"/>
      <c r="BF57" s="355"/>
      <c r="BG57" s="355"/>
      <c r="BH57" s="355"/>
      <c r="BI57" s="355"/>
      <c r="BJ57" s="355"/>
      <c r="BK57" s="355"/>
      <c r="BL57" s="355"/>
      <c r="BM57" s="355"/>
      <c r="BN57" s="355"/>
      <c r="BO57" s="355"/>
      <c r="BP57" s="355"/>
      <c r="BQ57" s="355"/>
      <c r="BR57" s="355"/>
      <c r="BS57" s="355"/>
      <c r="BT57" s="355"/>
      <c r="BU57" s="355"/>
      <c r="BV57" s="355"/>
      <c r="BW57" s="355"/>
      <c r="BX57" s="355"/>
    </row>
    <row r="58" spans="1:76" s="27" customFormat="1">
      <c r="A58" s="355"/>
      <c r="B58" s="355"/>
      <c r="C58" s="115" t="str">
        <f t="shared" si="4"/>
        <v/>
      </c>
      <c r="D58" s="123" t="str">
        <f t="shared" si="5"/>
        <v/>
      </c>
      <c r="E58" s="232" t="str">
        <f>IF(OR(AF58&lt;&gt;"",AO58&lt;&gt;""),IF(MAX(AF58,AO58)&gt;ABS(MIN(AF58,AO58)),MAX(AF58,AO58),IF(AND($N$9=2,'Shear(M)'!B100="#",'Shear(M)'!B99="#",'Shear(M)'!B101="#"),E57,MIN(AF58,AO58))),"")</f>
        <v/>
      </c>
      <c r="F58" s="232" t="str">
        <f t="shared" si="6"/>
        <v/>
      </c>
      <c r="G58" s="115" t="e">
        <f>IF(AND($N$9=2,'Shear(M)'!B100="#",'Shear(M)'!B99="#",'Shear(M)'!B101="#"),G57,IF(OR(AH58&lt;&gt;"",AQ58&lt;&gt;""),MAX(AH58,AQ58),""))</f>
        <v>#VALUE!</v>
      </c>
      <c r="H58" s="115" t="e">
        <f>IF(AND($N$9=2,'Shear(M)'!B100="#",'Shear(M)'!B99="#",'Shear(M)'!B101="#"),H57,IF(OR(AI58&lt;&gt;"",AR58&lt;&gt;""),MIN(AI58,AR58),""))</f>
        <v>#VALUE!</v>
      </c>
      <c r="I58" s="115" t="e">
        <f>IF(AND($N$9=2,'Shear(M)'!B100="#",'Shear(M)'!B99="#",'Shear(M)'!B101="#"),I57,IF(OR(AJ58&lt;&gt;"",AS58&lt;&gt;""),MAX(AJ58,AS58),""))</f>
        <v>#VALUE!</v>
      </c>
      <c r="J58" s="115" t="e">
        <f>IF(AND($N$9=2,'Shear(M)'!B100="#",'Shear(M)'!B99="#",'Shear(M)'!B101="#"),J57,IF(OR(AK58&lt;&gt;"",AT58&lt;&gt;""),MIN(AK58,AT58),""))</f>
        <v>#VALUE!</v>
      </c>
      <c r="K58" s="232" t="str">
        <f t="shared" si="7"/>
        <v/>
      </c>
      <c r="L58" s="232" t="str">
        <f t="shared" si="8"/>
        <v/>
      </c>
      <c r="M58" s="660" t="str">
        <f t="shared" si="9"/>
        <v/>
      </c>
      <c r="N58" s="355"/>
      <c r="O58" s="355"/>
      <c r="P58" s="355"/>
      <c r="Q58" s="355"/>
      <c r="R58" s="600" t="str">
        <f t="shared" si="10"/>
        <v>NA</v>
      </c>
      <c r="S58" s="600"/>
      <c r="T58" s="600"/>
      <c r="U58" s="600"/>
      <c r="V58" s="600"/>
      <c r="W58" s="600"/>
      <c r="X58" s="600"/>
      <c r="Y58" s="600"/>
      <c r="Z58" s="600"/>
      <c r="AA58" s="600"/>
      <c r="AB58" s="600"/>
      <c r="AC58" s="600"/>
      <c r="AD58" s="600">
        <v>47</v>
      </c>
      <c r="AE58" s="600"/>
      <c r="AF58" s="600" t="str">
        <f t="shared" si="11"/>
        <v/>
      </c>
      <c r="AG58" s="600" t="str">
        <f t="shared" si="12"/>
        <v/>
      </c>
      <c r="AH58" s="600" t="str">
        <f t="shared" si="13"/>
        <v/>
      </c>
      <c r="AI58" s="600" t="str">
        <f t="shared" si="14"/>
        <v/>
      </c>
      <c r="AJ58" s="600" t="str">
        <f t="shared" si="15"/>
        <v/>
      </c>
      <c r="AK58" s="600" t="str">
        <f t="shared" si="16"/>
        <v/>
      </c>
      <c r="AL58" s="600" t="str">
        <f t="shared" si="17"/>
        <v/>
      </c>
      <c r="AM58" s="600" t="str">
        <f t="shared" si="18"/>
        <v/>
      </c>
      <c r="AN58" s="600"/>
      <c r="AO58" s="600" t="str">
        <f t="shared" si="19"/>
        <v/>
      </c>
      <c r="AP58" s="600" t="str">
        <f t="shared" si="19"/>
        <v/>
      </c>
      <c r="AQ58" s="600" t="str">
        <f t="shared" si="19"/>
        <v/>
      </c>
      <c r="AR58" s="600" t="str">
        <f t="shared" si="19"/>
        <v/>
      </c>
      <c r="AS58" s="600" t="str">
        <f t="shared" si="19"/>
        <v/>
      </c>
      <c r="AT58" s="600" t="str">
        <f t="shared" si="19"/>
        <v/>
      </c>
      <c r="AU58" s="600" t="str">
        <f t="shared" si="19"/>
        <v/>
      </c>
      <c r="AV58" s="600" t="str">
        <f t="shared" si="19"/>
        <v/>
      </c>
      <c r="AW58" s="600"/>
      <c r="AX58" s="600"/>
      <c r="AY58" s="600"/>
      <c r="AZ58" s="600"/>
      <c r="BA58" s="355"/>
      <c r="BB58" s="355"/>
      <c r="BC58" s="355"/>
      <c r="BD58" s="355"/>
      <c r="BE58" s="355"/>
      <c r="BF58" s="355"/>
      <c r="BG58" s="355"/>
      <c r="BH58" s="355"/>
      <c r="BI58" s="355"/>
      <c r="BJ58" s="355"/>
      <c r="BK58" s="355"/>
      <c r="BL58" s="355"/>
      <c r="BM58" s="355"/>
      <c r="BN58" s="355"/>
      <c r="BO58" s="355"/>
      <c r="BP58" s="355"/>
      <c r="BQ58" s="355"/>
      <c r="BR58" s="355"/>
      <c r="BS58" s="355"/>
      <c r="BT58" s="355"/>
      <c r="BU58" s="355"/>
      <c r="BV58" s="355"/>
      <c r="BW58" s="355"/>
      <c r="BX58" s="355"/>
    </row>
    <row r="59" spans="1:76" s="27" customFormat="1">
      <c r="A59" s="355"/>
      <c r="B59" s="355"/>
      <c r="C59" s="115" t="str">
        <f t="shared" si="4"/>
        <v/>
      </c>
      <c r="D59" s="123" t="str">
        <f t="shared" si="5"/>
        <v/>
      </c>
      <c r="E59" s="232" t="str">
        <f>IF(OR(AF59&lt;&gt;"",AO59&lt;&gt;""),IF(MAX(AF59,AO59)&gt;ABS(MIN(AF59,AO59)),MAX(AF59,AO59),IF(AND($N$9=2,'Shear(M)'!B101="#",'Shear(M)'!B100="#",'Shear(M)'!B102="#"),E58,MIN(AF59,AO59))),"")</f>
        <v/>
      </c>
      <c r="F59" s="232" t="str">
        <f t="shared" si="6"/>
        <v/>
      </c>
      <c r="G59" s="115" t="e">
        <f>IF(AND($N$9=2,'Shear(M)'!B101="#",'Shear(M)'!B100="#",'Shear(M)'!B102="#"),G58,IF(OR(AH59&lt;&gt;"",AQ59&lt;&gt;""),MAX(AH59,AQ59),""))</f>
        <v>#VALUE!</v>
      </c>
      <c r="H59" s="115" t="e">
        <f>IF(AND($N$9=2,'Shear(M)'!B101="#",'Shear(M)'!B100="#",'Shear(M)'!B102="#"),H58,IF(OR(AI59&lt;&gt;"",AR59&lt;&gt;""),MIN(AI59,AR59),""))</f>
        <v>#VALUE!</v>
      </c>
      <c r="I59" s="115" t="e">
        <f>IF(AND($N$9=2,'Shear(M)'!B101="#",'Shear(M)'!B100="#",'Shear(M)'!B102="#"),I58,IF(OR(AJ59&lt;&gt;"",AS59&lt;&gt;""),MAX(AJ59,AS59),""))</f>
        <v>#VALUE!</v>
      </c>
      <c r="J59" s="115" t="e">
        <f>IF(AND($N$9=2,'Shear(M)'!B101="#",'Shear(M)'!B100="#",'Shear(M)'!B102="#"),J58,IF(OR(AK59&lt;&gt;"",AT59&lt;&gt;""),MIN(AK59,AT59),""))</f>
        <v>#VALUE!</v>
      </c>
      <c r="K59" s="232" t="str">
        <f t="shared" si="7"/>
        <v/>
      </c>
      <c r="L59" s="232" t="str">
        <f t="shared" si="8"/>
        <v/>
      </c>
      <c r="M59" s="660" t="str">
        <f t="shared" si="9"/>
        <v/>
      </c>
      <c r="N59" s="355"/>
      <c r="O59" s="355"/>
      <c r="P59" s="355"/>
      <c r="Q59" s="355"/>
      <c r="R59" s="600" t="str">
        <f t="shared" si="10"/>
        <v>NA</v>
      </c>
      <c r="S59" s="600"/>
      <c r="T59" s="600"/>
      <c r="U59" s="600"/>
      <c r="V59" s="600"/>
      <c r="W59" s="600"/>
      <c r="X59" s="600"/>
      <c r="Y59" s="600"/>
      <c r="Z59" s="600"/>
      <c r="AA59" s="600"/>
      <c r="AB59" s="600"/>
      <c r="AC59" s="600"/>
      <c r="AD59" s="600">
        <v>48</v>
      </c>
      <c r="AE59" s="600"/>
      <c r="AF59" s="600" t="str">
        <f t="shared" si="11"/>
        <v/>
      </c>
      <c r="AG59" s="600" t="str">
        <f t="shared" si="12"/>
        <v/>
      </c>
      <c r="AH59" s="600" t="str">
        <f t="shared" si="13"/>
        <v/>
      </c>
      <c r="AI59" s="600" t="str">
        <f t="shared" si="14"/>
        <v/>
      </c>
      <c r="AJ59" s="600" t="str">
        <f t="shared" si="15"/>
        <v/>
      </c>
      <c r="AK59" s="600" t="str">
        <f t="shared" si="16"/>
        <v/>
      </c>
      <c r="AL59" s="600" t="str">
        <f t="shared" si="17"/>
        <v/>
      </c>
      <c r="AM59" s="600" t="str">
        <f t="shared" si="18"/>
        <v/>
      </c>
      <c r="AN59" s="600"/>
      <c r="AO59" s="600" t="str">
        <f t="shared" si="19"/>
        <v/>
      </c>
      <c r="AP59" s="600" t="str">
        <f t="shared" si="19"/>
        <v/>
      </c>
      <c r="AQ59" s="600" t="str">
        <f t="shared" si="19"/>
        <v/>
      </c>
      <c r="AR59" s="600" t="str">
        <f t="shared" si="19"/>
        <v/>
      </c>
      <c r="AS59" s="600" t="str">
        <f t="shared" si="19"/>
        <v/>
      </c>
      <c r="AT59" s="600" t="str">
        <f t="shared" si="19"/>
        <v/>
      </c>
      <c r="AU59" s="600" t="str">
        <f t="shared" si="19"/>
        <v/>
      </c>
      <c r="AV59" s="600" t="str">
        <f t="shared" ref="AO59:AV91" si="20">IF(TRIM(INDEX($S:$S,$AD59+$AE$11+11,1))&lt;&gt;$AN$10,"",IF(AV$10="X",INDEX($V:$AC,$AD59+$AE$11+11,AV$9),""))</f>
        <v/>
      </c>
      <c r="AW59" s="600"/>
      <c r="AX59" s="600"/>
      <c r="AY59" s="600"/>
      <c r="AZ59" s="600"/>
      <c r="BA59" s="355"/>
      <c r="BB59" s="355"/>
      <c r="BC59" s="355"/>
      <c r="BD59" s="355"/>
      <c r="BE59" s="355"/>
      <c r="BF59" s="355"/>
      <c r="BG59" s="355"/>
      <c r="BH59" s="355"/>
      <c r="BI59" s="355"/>
      <c r="BJ59" s="355"/>
      <c r="BK59" s="355"/>
      <c r="BL59" s="355"/>
      <c r="BM59" s="355"/>
      <c r="BN59" s="355"/>
      <c r="BO59" s="355"/>
      <c r="BP59" s="355"/>
      <c r="BQ59" s="355"/>
      <c r="BR59" s="355"/>
      <c r="BS59" s="355"/>
      <c r="BT59" s="355"/>
      <c r="BU59" s="355"/>
      <c r="BV59" s="355"/>
      <c r="BW59" s="355"/>
      <c r="BX59" s="355"/>
    </row>
    <row r="60" spans="1:76" s="27" customFormat="1">
      <c r="A60" s="355"/>
      <c r="B60" s="355"/>
      <c r="C60" s="115" t="str">
        <f t="shared" si="4"/>
        <v/>
      </c>
      <c r="D60" s="123" t="str">
        <f t="shared" si="5"/>
        <v/>
      </c>
      <c r="E60" s="232" t="str">
        <f>IF(OR(AF60&lt;&gt;"",AO60&lt;&gt;""),IF(MAX(AF60,AO60)&gt;ABS(MIN(AF60,AO60)),MAX(AF60,AO60),IF(AND($N$9=2,'Shear(M)'!B102="#",'Shear(M)'!B101="#",'Shear(M)'!B103="#"),E59,MIN(AF60,AO60))),"")</f>
        <v/>
      </c>
      <c r="F60" s="232" t="str">
        <f t="shared" si="6"/>
        <v/>
      </c>
      <c r="G60" s="115" t="e">
        <f>IF(AND($N$9=2,'Shear(M)'!B102="#",'Shear(M)'!B101="#",'Shear(M)'!B103="#"),G59,IF(OR(AH60&lt;&gt;"",AQ60&lt;&gt;""),MAX(AH60,AQ60),""))</f>
        <v>#VALUE!</v>
      </c>
      <c r="H60" s="115" t="e">
        <f>IF(AND($N$9=2,'Shear(M)'!B102="#",'Shear(M)'!B101="#",'Shear(M)'!B103="#"),H59,IF(OR(AI60&lt;&gt;"",AR60&lt;&gt;""),MIN(AI60,AR60),""))</f>
        <v>#VALUE!</v>
      </c>
      <c r="I60" s="115" t="e">
        <f>IF(AND($N$9=2,'Shear(M)'!B102="#",'Shear(M)'!B101="#",'Shear(M)'!B103="#"),I59,IF(OR(AJ60&lt;&gt;"",AS60&lt;&gt;""),MAX(AJ60,AS60),""))</f>
        <v>#VALUE!</v>
      </c>
      <c r="J60" s="115" t="e">
        <f>IF(AND($N$9=2,'Shear(M)'!B102="#",'Shear(M)'!B101="#",'Shear(M)'!B103="#"),J59,IF(OR(AK60&lt;&gt;"",AT60&lt;&gt;""),MIN(AK60,AT60),""))</f>
        <v>#VALUE!</v>
      </c>
      <c r="K60" s="232" t="str">
        <f t="shared" si="7"/>
        <v/>
      </c>
      <c r="L60" s="232" t="str">
        <f t="shared" si="8"/>
        <v/>
      </c>
      <c r="M60" s="660" t="str">
        <f t="shared" si="9"/>
        <v/>
      </c>
      <c r="N60" s="355"/>
      <c r="O60" s="355"/>
      <c r="P60" s="355"/>
      <c r="Q60" s="355"/>
      <c r="R60" s="600" t="str">
        <f t="shared" si="10"/>
        <v>NA</v>
      </c>
      <c r="S60" s="600"/>
      <c r="T60" s="600"/>
      <c r="U60" s="600"/>
      <c r="V60" s="600"/>
      <c r="W60" s="600"/>
      <c r="X60" s="600"/>
      <c r="Y60" s="600"/>
      <c r="Z60" s="600"/>
      <c r="AA60" s="600"/>
      <c r="AB60" s="600"/>
      <c r="AC60" s="600"/>
      <c r="AD60" s="600">
        <v>49</v>
      </c>
      <c r="AE60" s="600"/>
      <c r="AF60" s="600" t="str">
        <f t="shared" si="11"/>
        <v/>
      </c>
      <c r="AG60" s="600" t="str">
        <f t="shared" si="12"/>
        <v/>
      </c>
      <c r="AH60" s="600" t="str">
        <f t="shared" si="13"/>
        <v/>
      </c>
      <c r="AI60" s="600" t="str">
        <f t="shared" si="14"/>
        <v/>
      </c>
      <c r="AJ60" s="600" t="str">
        <f t="shared" si="15"/>
        <v/>
      </c>
      <c r="AK60" s="600" t="str">
        <f t="shared" si="16"/>
        <v/>
      </c>
      <c r="AL60" s="600" t="str">
        <f t="shared" si="17"/>
        <v/>
      </c>
      <c r="AM60" s="600" t="str">
        <f t="shared" si="18"/>
        <v/>
      </c>
      <c r="AN60" s="600"/>
      <c r="AO60" s="600" t="str">
        <f t="shared" si="20"/>
        <v/>
      </c>
      <c r="AP60" s="600" t="str">
        <f t="shared" si="20"/>
        <v/>
      </c>
      <c r="AQ60" s="600" t="str">
        <f t="shared" si="20"/>
        <v/>
      </c>
      <c r="AR60" s="600" t="str">
        <f t="shared" si="20"/>
        <v/>
      </c>
      <c r="AS60" s="600" t="str">
        <f t="shared" si="20"/>
        <v/>
      </c>
      <c r="AT60" s="600" t="str">
        <f t="shared" si="20"/>
        <v/>
      </c>
      <c r="AU60" s="600" t="str">
        <f t="shared" si="20"/>
        <v/>
      </c>
      <c r="AV60" s="600" t="str">
        <f t="shared" si="20"/>
        <v/>
      </c>
      <c r="AW60" s="600"/>
      <c r="AX60" s="600"/>
      <c r="AY60" s="600"/>
      <c r="AZ60" s="600"/>
      <c r="BA60" s="355"/>
      <c r="BB60" s="355"/>
      <c r="BC60" s="355"/>
      <c r="BD60" s="355"/>
      <c r="BE60" s="355"/>
      <c r="BF60" s="355"/>
      <c r="BG60" s="355"/>
      <c r="BH60" s="355"/>
      <c r="BI60" s="355"/>
      <c r="BJ60" s="355"/>
      <c r="BK60" s="355"/>
      <c r="BL60" s="355"/>
      <c r="BM60" s="355"/>
      <c r="BN60" s="355"/>
      <c r="BO60" s="355"/>
      <c r="BP60" s="355"/>
      <c r="BQ60" s="355"/>
      <c r="BR60" s="355"/>
      <c r="BS60" s="355"/>
      <c r="BT60" s="355"/>
      <c r="BU60" s="355"/>
      <c r="BV60" s="355"/>
      <c r="BW60" s="355"/>
      <c r="BX60" s="355"/>
    </row>
    <row r="61" spans="1:76" s="27" customFormat="1">
      <c r="A61" s="355"/>
      <c r="B61" s="355"/>
      <c r="C61" s="115" t="str">
        <f t="shared" si="4"/>
        <v/>
      </c>
      <c r="D61" s="123" t="str">
        <f t="shared" si="5"/>
        <v/>
      </c>
      <c r="E61" s="232" t="str">
        <f>IF(OR(AF61&lt;&gt;"",AO61&lt;&gt;""),IF(MAX(AF61,AO61)&gt;ABS(MIN(AF61,AO61)),MAX(AF61,AO61),IF(AND($N$9=2,'Shear(M)'!B103="#",'Shear(M)'!B102="#",'Shear(M)'!B104="#"),E60,MIN(AF61,AO61))),"")</f>
        <v/>
      </c>
      <c r="F61" s="232" t="str">
        <f t="shared" si="6"/>
        <v/>
      </c>
      <c r="G61" s="115" t="e">
        <f>IF(AND($N$9=2,'Shear(M)'!B103="#",'Shear(M)'!B102="#",'Shear(M)'!B104="#"),G60,IF(OR(AH61&lt;&gt;"",AQ61&lt;&gt;""),MAX(AH61,AQ61),""))</f>
        <v>#VALUE!</v>
      </c>
      <c r="H61" s="115" t="e">
        <f>IF(AND($N$9=2,'Shear(M)'!B103="#",'Shear(M)'!B102="#",'Shear(M)'!B104="#"),H60,IF(OR(AI61&lt;&gt;"",AR61&lt;&gt;""),MIN(AI61,AR61),""))</f>
        <v>#VALUE!</v>
      </c>
      <c r="I61" s="115" t="e">
        <f>IF(AND($N$9=2,'Shear(M)'!B103="#",'Shear(M)'!B102="#",'Shear(M)'!B104="#"),I60,IF(OR(AJ61&lt;&gt;"",AS61&lt;&gt;""),MAX(AJ61,AS61),""))</f>
        <v>#VALUE!</v>
      </c>
      <c r="J61" s="115" t="e">
        <f>IF(AND($N$9=2,'Shear(M)'!B103="#",'Shear(M)'!B102="#",'Shear(M)'!B104="#"),J60,IF(OR(AK61&lt;&gt;"",AT61&lt;&gt;""),MIN(AK61,AT61),""))</f>
        <v>#VALUE!</v>
      </c>
      <c r="K61" s="232" t="str">
        <f t="shared" si="7"/>
        <v/>
      </c>
      <c r="L61" s="232" t="str">
        <f t="shared" si="8"/>
        <v/>
      </c>
      <c r="M61" s="660" t="str">
        <f t="shared" si="9"/>
        <v/>
      </c>
      <c r="N61" s="355"/>
      <c r="O61" s="355"/>
      <c r="P61" s="355"/>
      <c r="Q61" s="355"/>
      <c r="R61" s="600" t="str">
        <f t="shared" si="10"/>
        <v>NA</v>
      </c>
      <c r="S61" s="600"/>
      <c r="T61" s="600"/>
      <c r="U61" s="600"/>
      <c r="V61" s="600"/>
      <c r="W61" s="600"/>
      <c r="X61" s="600"/>
      <c r="Y61" s="600"/>
      <c r="Z61" s="600"/>
      <c r="AA61" s="600"/>
      <c r="AB61" s="600"/>
      <c r="AC61" s="600"/>
      <c r="AD61" s="600">
        <v>50</v>
      </c>
      <c r="AE61" s="600"/>
      <c r="AF61" s="600" t="str">
        <f t="shared" si="11"/>
        <v/>
      </c>
      <c r="AG61" s="600" t="str">
        <f t="shared" si="12"/>
        <v/>
      </c>
      <c r="AH61" s="600" t="str">
        <f t="shared" si="13"/>
        <v/>
      </c>
      <c r="AI61" s="600" t="str">
        <f t="shared" si="14"/>
        <v/>
      </c>
      <c r="AJ61" s="600" t="str">
        <f t="shared" si="15"/>
        <v/>
      </c>
      <c r="AK61" s="600" t="str">
        <f t="shared" si="16"/>
        <v/>
      </c>
      <c r="AL61" s="600" t="str">
        <f t="shared" si="17"/>
        <v/>
      </c>
      <c r="AM61" s="600" t="str">
        <f t="shared" si="18"/>
        <v/>
      </c>
      <c r="AN61" s="600"/>
      <c r="AO61" s="600" t="str">
        <f t="shared" si="20"/>
        <v/>
      </c>
      <c r="AP61" s="600" t="str">
        <f t="shared" si="20"/>
        <v/>
      </c>
      <c r="AQ61" s="600" t="str">
        <f t="shared" si="20"/>
        <v/>
      </c>
      <c r="AR61" s="600" t="str">
        <f t="shared" si="20"/>
        <v/>
      </c>
      <c r="AS61" s="600" t="str">
        <f t="shared" si="20"/>
        <v/>
      </c>
      <c r="AT61" s="600" t="str">
        <f t="shared" si="20"/>
        <v/>
      </c>
      <c r="AU61" s="600" t="str">
        <f t="shared" si="20"/>
        <v/>
      </c>
      <c r="AV61" s="600" t="str">
        <f t="shared" si="20"/>
        <v/>
      </c>
      <c r="AW61" s="600"/>
      <c r="AX61" s="600"/>
      <c r="AY61" s="600"/>
      <c r="AZ61" s="600"/>
      <c r="BA61" s="355"/>
      <c r="BB61" s="355"/>
      <c r="BC61" s="355"/>
      <c r="BD61" s="355"/>
      <c r="BE61" s="355"/>
      <c r="BF61" s="355"/>
      <c r="BG61" s="355"/>
      <c r="BH61" s="355"/>
      <c r="BI61" s="355"/>
      <c r="BJ61" s="355"/>
      <c r="BK61" s="355"/>
      <c r="BL61" s="355"/>
      <c r="BM61" s="355"/>
      <c r="BN61" s="355"/>
      <c r="BO61" s="355"/>
      <c r="BP61" s="355"/>
      <c r="BQ61" s="355"/>
      <c r="BR61" s="355"/>
      <c r="BS61" s="355"/>
      <c r="BT61" s="355"/>
      <c r="BU61" s="355"/>
      <c r="BV61" s="355"/>
      <c r="BW61" s="355"/>
      <c r="BX61" s="355"/>
    </row>
    <row r="62" spans="1:76" s="27" customFormat="1">
      <c r="A62" s="355"/>
      <c r="B62" s="355"/>
      <c r="C62" s="115" t="str">
        <f t="shared" si="4"/>
        <v/>
      </c>
      <c r="D62" s="123" t="str">
        <f t="shared" si="5"/>
        <v/>
      </c>
      <c r="E62" s="232" t="str">
        <f>IF(OR(AF62&lt;&gt;"",AO62&lt;&gt;""),IF(MAX(AF62,AO62)&gt;ABS(MIN(AF62,AO62)),MAX(AF62,AO62),IF(AND($N$9=2,'Shear(M)'!B104="#",'Shear(M)'!B103="#",'Shear(M)'!B105="#"),E61,MIN(AF62,AO62))),"")</f>
        <v/>
      </c>
      <c r="F62" s="232" t="str">
        <f t="shared" si="6"/>
        <v/>
      </c>
      <c r="G62" s="115" t="e">
        <f>IF(AND($N$9=2,'Shear(M)'!B104="#",'Shear(M)'!B103="#",'Shear(M)'!B105="#"),G61,IF(OR(AH62&lt;&gt;"",AQ62&lt;&gt;""),MAX(AH62,AQ62),""))</f>
        <v>#VALUE!</v>
      </c>
      <c r="H62" s="115" t="e">
        <f>IF(AND($N$9=2,'Shear(M)'!B104="#",'Shear(M)'!B103="#",'Shear(M)'!B105="#"),H61,IF(OR(AI62&lt;&gt;"",AR62&lt;&gt;""),MIN(AI62,AR62),""))</f>
        <v>#VALUE!</v>
      </c>
      <c r="I62" s="115" t="e">
        <f>IF(AND($N$9=2,'Shear(M)'!B104="#",'Shear(M)'!B103="#",'Shear(M)'!B105="#"),I61,IF(OR(AJ62&lt;&gt;"",AS62&lt;&gt;""),MAX(AJ62,AS62),""))</f>
        <v>#VALUE!</v>
      </c>
      <c r="J62" s="115" t="e">
        <f>IF(AND($N$9=2,'Shear(M)'!B104="#",'Shear(M)'!B103="#",'Shear(M)'!B105="#"),J61,IF(OR(AK62&lt;&gt;"",AT62&lt;&gt;""),MIN(AK62,AT62),""))</f>
        <v>#VALUE!</v>
      </c>
      <c r="K62" s="232" t="str">
        <f t="shared" si="7"/>
        <v/>
      </c>
      <c r="L62" s="232" t="str">
        <f t="shared" si="8"/>
        <v/>
      </c>
      <c r="M62" s="660" t="str">
        <f t="shared" si="9"/>
        <v/>
      </c>
      <c r="N62" s="355"/>
      <c r="O62" s="355"/>
      <c r="P62" s="355"/>
      <c r="Q62" s="355"/>
      <c r="R62" s="600" t="str">
        <f t="shared" si="10"/>
        <v>NA</v>
      </c>
      <c r="S62" s="600"/>
      <c r="T62" s="600"/>
      <c r="U62" s="600"/>
      <c r="V62" s="600"/>
      <c r="W62" s="600"/>
      <c r="X62" s="600"/>
      <c r="Y62" s="600"/>
      <c r="Z62" s="600"/>
      <c r="AA62" s="600"/>
      <c r="AB62" s="600"/>
      <c r="AC62" s="600"/>
      <c r="AD62" s="600">
        <v>51</v>
      </c>
      <c r="AE62" s="600"/>
      <c r="AF62" s="600" t="str">
        <f t="shared" si="11"/>
        <v/>
      </c>
      <c r="AG62" s="600" t="str">
        <f t="shared" si="12"/>
        <v/>
      </c>
      <c r="AH62" s="600" t="str">
        <f t="shared" si="13"/>
        <v/>
      </c>
      <c r="AI62" s="600" t="str">
        <f t="shared" si="14"/>
        <v/>
      </c>
      <c r="AJ62" s="600" t="str">
        <f t="shared" si="15"/>
        <v/>
      </c>
      <c r="AK62" s="600" t="str">
        <f t="shared" si="16"/>
        <v/>
      </c>
      <c r="AL62" s="600" t="str">
        <f t="shared" si="17"/>
        <v/>
      </c>
      <c r="AM62" s="600" t="str">
        <f t="shared" si="18"/>
        <v/>
      </c>
      <c r="AN62" s="600"/>
      <c r="AO62" s="600" t="str">
        <f t="shared" si="20"/>
        <v/>
      </c>
      <c r="AP62" s="600" t="str">
        <f t="shared" si="20"/>
        <v/>
      </c>
      <c r="AQ62" s="600" t="str">
        <f t="shared" si="20"/>
        <v/>
      </c>
      <c r="AR62" s="600" t="str">
        <f t="shared" si="20"/>
        <v/>
      </c>
      <c r="AS62" s="600" t="str">
        <f t="shared" si="20"/>
        <v/>
      </c>
      <c r="AT62" s="600" t="str">
        <f t="shared" si="20"/>
        <v/>
      </c>
      <c r="AU62" s="600" t="str">
        <f t="shared" si="20"/>
        <v/>
      </c>
      <c r="AV62" s="600" t="str">
        <f t="shared" si="20"/>
        <v/>
      </c>
      <c r="AW62" s="600"/>
      <c r="AX62" s="600"/>
      <c r="AY62" s="600"/>
      <c r="AZ62" s="600"/>
      <c r="BA62" s="355"/>
      <c r="BB62" s="355"/>
      <c r="BC62" s="355"/>
      <c r="BD62" s="355"/>
      <c r="BE62" s="355"/>
      <c r="BF62" s="355"/>
      <c r="BG62" s="355"/>
      <c r="BH62" s="355"/>
      <c r="BI62" s="355"/>
      <c r="BJ62" s="355"/>
      <c r="BK62" s="355"/>
      <c r="BL62" s="355"/>
      <c r="BM62" s="355"/>
      <c r="BN62" s="355"/>
      <c r="BO62" s="355"/>
      <c r="BP62" s="355"/>
      <c r="BQ62" s="355"/>
      <c r="BR62" s="355"/>
      <c r="BS62" s="355"/>
      <c r="BT62" s="355"/>
      <c r="BU62" s="355"/>
      <c r="BV62" s="355"/>
      <c r="BW62" s="355"/>
      <c r="BX62" s="355"/>
    </row>
    <row r="63" spans="1:76" s="27" customFormat="1">
      <c r="A63" s="355"/>
      <c r="B63" s="355"/>
      <c r="C63" s="115" t="str">
        <f t="shared" si="4"/>
        <v/>
      </c>
      <c r="D63" s="123" t="str">
        <f t="shared" si="5"/>
        <v/>
      </c>
      <c r="E63" s="232" t="str">
        <f>IF(OR(AF63&lt;&gt;"",AO63&lt;&gt;""),IF(MAX(AF63,AO63)&gt;ABS(MIN(AF63,AO63)),MAX(AF63,AO63),IF(AND($N$9=2,'Shear(M)'!B105="#",'Shear(M)'!B104="#",'Shear(M)'!B106="#"),E62,MIN(AF63,AO63))),"")</f>
        <v/>
      </c>
      <c r="F63" s="232" t="str">
        <f t="shared" si="6"/>
        <v/>
      </c>
      <c r="G63" s="115" t="e">
        <f>IF(AND($N$9=2,'Shear(M)'!B105="#",'Shear(M)'!B104="#",'Shear(M)'!B106="#"),G62,IF(OR(AH63&lt;&gt;"",AQ63&lt;&gt;""),MAX(AH63,AQ63),""))</f>
        <v>#VALUE!</v>
      </c>
      <c r="H63" s="115" t="e">
        <f>IF(AND($N$9=2,'Shear(M)'!B105="#",'Shear(M)'!B104="#",'Shear(M)'!B106="#"),H62,IF(OR(AI63&lt;&gt;"",AR63&lt;&gt;""),MIN(AI63,AR63),""))</f>
        <v>#VALUE!</v>
      </c>
      <c r="I63" s="115" t="e">
        <f>IF(AND($N$9=2,'Shear(M)'!B105="#",'Shear(M)'!B104="#",'Shear(M)'!B106="#"),I62,IF(OR(AJ63&lt;&gt;"",AS63&lt;&gt;""),MAX(AJ63,AS63),""))</f>
        <v>#VALUE!</v>
      </c>
      <c r="J63" s="115" t="e">
        <f>IF(AND($N$9=2,'Shear(M)'!B105="#",'Shear(M)'!B104="#",'Shear(M)'!B106="#"),J62,IF(OR(AK63&lt;&gt;"",AT63&lt;&gt;""),MIN(AK63,AT63),""))</f>
        <v>#VALUE!</v>
      </c>
      <c r="K63" s="232" t="str">
        <f t="shared" si="7"/>
        <v/>
      </c>
      <c r="L63" s="232" t="str">
        <f t="shared" si="8"/>
        <v/>
      </c>
      <c r="M63" s="660" t="str">
        <f t="shared" si="9"/>
        <v/>
      </c>
      <c r="N63" s="355"/>
      <c r="O63" s="355"/>
      <c r="P63" s="355"/>
      <c r="Q63" s="355"/>
      <c r="R63" s="600" t="str">
        <f t="shared" si="10"/>
        <v>NA</v>
      </c>
      <c r="S63" s="600"/>
      <c r="T63" s="600"/>
      <c r="U63" s="600"/>
      <c r="V63" s="600"/>
      <c r="W63" s="600"/>
      <c r="X63" s="600"/>
      <c r="Y63" s="600"/>
      <c r="Z63" s="600"/>
      <c r="AA63" s="600"/>
      <c r="AB63" s="600"/>
      <c r="AC63" s="600"/>
      <c r="AD63" s="600">
        <v>52</v>
      </c>
      <c r="AE63" s="600"/>
      <c r="AF63" s="600" t="str">
        <f t="shared" si="11"/>
        <v/>
      </c>
      <c r="AG63" s="600" t="str">
        <f t="shared" si="12"/>
        <v/>
      </c>
      <c r="AH63" s="600" t="str">
        <f t="shared" si="13"/>
        <v/>
      </c>
      <c r="AI63" s="600" t="str">
        <f t="shared" si="14"/>
        <v/>
      </c>
      <c r="AJ63" s="600" t="str">
        <f t="shared" si="15"/>
        <v/>
      </c>
      <c r="AK63" s="600" t="str">
        <f t="shared" si="16"/>
        <v/>
      </c>
      <c r="AL63" s="600" t="str">
        <f t="shared" si="17"/>
        <v/>
      </c>
      <c r="AM63" s="600" t="str">
        <f t="shared" si="18"/>
        <v/>
      </c>
      <c r="AN63" s="600"/>
      <c r="AO63" s="600" t="str">
        <f t="shared" si="20"/>
        <v/>
      </c>
      <c r="AP63" s="600" t="str">
        <f t="shared" si="20"/>
        <v/>
      </c>
      <c r="AQ63" s="600" t="str">
        <f t="shared" si="20"/>
        <v/>
      </c>
      <c r="AR63" s="600" t="str">
        <f t="shared" si="20"/>
        <v/>
      </c>
      <c r="AS63" s="600" t="str">
        <f t="shared" si="20"/>
        <v/>
      </c>
      <c r="AT63" s="600" t="str">
        <f t="shared" si="20"/>
        <v/>
      </c>
      <c r="AU63" s="600" t="str">
        <f t="shared" si="20"/>
        <v/>
      </c>
      <c r="AV63" s="600" t="str">
        <f t="shared" si="20"/>
        <v/>
      </c>
      <c r="AW63" s="600"/>
      <c r="AX63" s="600"/>
      <c r="AY63" s="600"/>
      <c r="AZ63" s="600"/>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5"/>
      <c r="BW63" s="355"/>
      <c r="BX63" s="355"/>
    </row>
    <row r="64" spans="1:76" s="27" customFormat="1">
      <c r="A64" s="355"/>
      <c r="B64" s="355"/>
      <c r="C64" s="115" t="str">
        <f t="shared" si="4"/>
        <v/>
      </c>
      <c r="D64" s="123" t="str">
        <f t="shared" si="5"/>
        <v/>
      </c>
      <c r="E64" s="232" t="str">
        <f>IF(OR(AF64&lt;&gt;"",AO64&lt;&gt;""),IF(MAX(AF64,AO64)&gt;ABS(MIN(AF64,AO64)),MAX(AF64,AO64),IF(AND($N$9=2,'Shear(M)'!B106="#",'Shear(M)'!B105="#",'Shear(M)'!B107="#"),E63,MIN(AF64,AO64))),"")</f>
        <v/>
      </c>
      <c r="F64" s="232" t="str">
        <f t="shared" si="6"/>
        <v/>
      </c>
      <c r="G64" s="115" t="e">
        <f>IF(AND($N$9=2,'Shear(M)'!B106="#",'Shear(M)'!B105="#",'Shear(M)'!B107="#"),G63,IF(OR(AH64&lt;&gt;"",AQ64&lt;&gt;""),MAX(AH64,AQ64),""))</f>
        <v>#VALUE!</v>
      </c>
      <c r="H64" s="115" t="e">
        <f>IF(AND($N$9=2,'Shear(M)'!B106="#",'Shear(M)'!B105="#",'Shear(M)'!B107="#"),H63,IF(OR(AI64&lt;&gt;"",AR64&lt;&gt;""),MIN(AI64,AR64),""))</f>
        <v>#VALUE!</v>
      </c>
      <c r="I64" s="115" t="e">
        <f>IF(AND($N$9=2,'Shear(M)'!B106="#",'Shear(M)'!B105="#",'Shear(M)'!B107="#"),I63,IF(OR(AJ64&lt;&gt;"",AS64&lt;&gt;""),MAX(AJ64,AS64),""))</f>
        <v>#VALUE!</v>
      </c>
      <c r="J64" s="115" t="e">
        <f>IF(AND($N$9=2,'Shear(M)'!B106="#",'Shear(M)'!B105="#",'Shear(M)'!B107="#"),J63,IF(OR(AK64&lt;&gt;"",AT64&lt;&gt;""),MIN(AK64,AT64),""))</f>
        <v>#VALUE!</v>
      </c>
      <c r="K64" s="232" t="str">
        <f t="shared" si="7"/>
        <v/>
      </c>
      <c r="L64" s="232" t="str">
        <f t="shared" si="8"/>
        <v/>
      </c>
      <c r="M64" s="660" t="str">
        <f t="shared" si="9"/>
        <v/>
      </c>
      <c r="N64" s="355"/>
      <c r="O64" s="355"/>
      <c r="P64" s="355"/>
      <c r="Q64" s="355"/>
      <c r="R64" s="600" t="str">
        <f t="shared" si="10"/>
        <v>NA</v>
      </c>
      <c r="S64" s="600"/>
      <c r="T64" s="600"/>
      <c r="U64" s="600"/>
      <c r="V64" s="600"/>
      <c r="W64" s="600"/>
      <c r="X64" s="600"/>
      <c r="Y64" s="600"/>
      <c r="Z64" s="600"/>
      <c r="AA64" s="600"/>
      <c r="AB64" s="600"/>
      <c r="AC64" s="600"/>
      <c r="AD64" s="600">
        <v>53</v>
      </c>
      <c r="AE64" s="600"/>
      <c r="AF64" s="600" t="str">
        <f t="shared" si="11"/>
        <v/>
      </c>
      <c r="AG64" s="600" t="str">
        <f t="shared" si="12"/>
        <v/>
      </c>
      <c r="AH64" s="600" t="str">
        <f t="shared" si="13"/>
        <v/>
      </c>
      <c r="AI64" s="600" t="str">
        <f t="shared" si="14"/>
        <v/>
      </c>
      <c r="AJ64" s="600" t="str">
        <f t="shared" si="15"/>
        <v/>
      </c>
      <c r="AK64" s="600" t="str">
        <f t="shared" si="16"/>
        <v/>
      </c>
      <c r="AL64" s="600" t="str">
        <f t="shared" si="17"/>
        <v/>
      </c>
      <c r="AM64" s="600" t="str">
        <f t="shared" si="18"/>
        <v/>
      </c>
      <c r="AN64" s="600"/>
      <c r="AO64" s="600" t="str">
        <f t="shared" si="20"/>
        <v/>
      </c>
      <c r="AP64" s="600" t="str">
        <f t="shared" si="20"/>
        <v/>
      </c>
      <c r="AQ64" s="600" t="str">
        <f t="shared" si="20"/>
        <v/>
      </c>
      <c r="AR64" s="600" t="str">
        <f t="shared" si="20"/>
        <v/>
      </c>
      <c r="AS64" s="600" t="str">
        <f t="shared" si="20"/>
        <v/>
      </c>
      <c r="AT64" s="600" t="str">
        <f t="shared" si="20"/>
        <v/>
      </c>
      <c r="AU64" s="600" t="str">
        <f t="shared" si="20"/>
        <v/>
      </c>
      <c r="AV64" s="600" t="str">
        <f t="shared" si="20"/>
        <v/>
      </c>
      <c r="AW64" s="600"/>
      <c r="AX64" s="600"/>
      <c r="AY64" s="600"/>
      <c r="AZ64" s="600"/>
      <c r="BA64" s="355"/>
      <c r="BB64" s="355"/>
      <c r="BC64" s="355"/>
      <c r="BD64" s="355"/>
      <c r="BE64" s="355"/>
      <c r="BF64" s="355"/>
      <c r="BG64" s="355"/>
      <c r="BH64" s="355"/>
      <c r="BI64" s="355"/>
      <c r="BJ64" s="355"/>
      <c r="BK64" s="355"/>
      <c r="BL64" s="355"/>
      <c r="BM64" s="355"/>
      <c r="BN64" s="355"/>
      <c r="BO64" s="355"/>
      <c r="BP64" s="355"/>
      <c r="BQ64" s="355"/>
      <c r="BR64" s="355"/>
      <c r="BS64" s="355"/>
      <c r="BT64" s="355"/>
      <c r="BU64" s="355"/>
      <c r="BV64" s="355"/>
      <c r="BW64" s="355"/>
      <c r="BX64" s="355"/>
    </row>
    <row r="65" spans="1:76" s="27" customFormat="1">
      <c r="A65" s="355"/>
      <c r="B65" s="355"/>
      <c r="C65" s="115" t="str">
        <f t="shared" si="4"/>
        <v/>
      </c>
      <c r="D65" s="123" t="str">
        <f t="shared" si="5"/>
        <v/>
      </c>
      <c r="E65" s="232" t="str">
        <f>IF(OR(AF65&lt;&gt;"",AO65&lt;&gt;""),IF(MAX(AF65,AO65)&gt;ABS(MIN(AF65,AO65)),MAX(AF65,AO65),IF(AND($N$9=2,'Shear(M)'!B107="#",'Shear(M)'!B106="#",'Shear(M)'!B108="#"),E64,MIN(AF65,AO65))),"")</f>
        <v/>
      </c>
      <c r="F65" s="232" t="str">
        <f t="shared" si="6"/>
        <v/>
      </c>
      <c r="G65" s="115" t="e">
        <f>IF(AND($N$9=2,'Shear(M)'!B107="#",'Shear(M)'!B106="#",'Shear(M)'!B108="#"),G64,IF(OR(AH65&lt;&gt;"",AQ65&lt;&gt;""),MAX(AH65,AQ65),""))</f>
        <v>#VALUE!</v>
      </c>
      <c r="H65" s="115" t="e">
        <f>IF(AND($N$9=2,'Shear(M)'!B107="#",'Shear(M)'!B106="#",'Shear(M)'!B108="#"),H64,IF(OR(AI65&lt;&gt;"",AR65&lt;&gt;""),MIN(AI65,AR65),""))</f>
        <v>#VALUE!</v>
      </c>
      <c r="I65" s="115" t="e">
        <f>IF(AND($N$9=2,'Shear(M)'!B107="#",'Shear(M)'!B106="#",'Shear(M)'!B108="#"),I64,IF(OR(AJ65&lt;&gt;"",AS65&lt;&gt;""),MAX(AJ65,AS65),""))</f>
        <v>#VALUE!</v>
      </c>
      <c r="J65" s="115" t="e">
        <f>IF(AND($N$9=2,'Shear(M)'!B107="#",'Shear(M)'!B106="#",'Shear(M)'!B108="#"),J64,IF(OR(AK65&lt;&gt;"",AT65&lt;&gt;""),MIN(AK65,AT65),""))</f>
        <v>#VALUE!</v>
      </c>
      <c r="K65" s="232" t="str">
        <f t="shared" si="7"/>
        <v/>
      </c>
      <c r="L65" s="232" t="str">
        <f t="shared" si="8"/>
        <v/>
      </c>
      <c r="M65" s="660" t="str">
        <f t="shared" si="9"/>
        <v/>
      </c>
      <c r="N65" s="355"/>
      <c r="O65" s="355"/>
      <c r="P65" s="355"/>
      <c r="Q65" s="355"/>
      <c r="R65" s="600" t="str">
        <f t="shared" si="10"/>
        <v>NA</v>
      </c>
      <c r="S65" s="600"/>
      <c r="T65" s="600"/>
      <c r="U65" s="600"/>
      <c r="V65" s="600"/>
      <c r="W65" s="600"/>
      <c r="X65" s="600"/>
      <c r="Y65" s="600"/>
      <c r="Z65" s="600"/>
      <c r="AA65" s="600"/>
      <c r="AB65" s="600"/>
      <c r="AC65" s="600"/>
      <c r="AD65" s="600">
        <v>54</v>
      </c>
      <c r="AE65" s="600"/>
      <c r="AF65" s="600" t="str">
        <f t="shared" si="11"/>
        <v/>
      </c>
      <c r="AG65" s="600" t="str">
        <f t="shared" si="12"/>
        <v/>
      </c>
      <c r="AH65" s="600" t="str">
        <f t="shared" si="13"/>
        <v/>
      </c>
      <c r="AI65" s="600" t="str">
        <f t="shared" si="14"/>
        <v/>
      </c>
      <c r="AJ65" s="600" t="str">
        <f t="shared" si="15"/>
        <v/>
      </c>
      <c r="AK65" s="600" t="str">
        <f t="shared" si="16"/>
        <v/>
      </c>
      <c r="AL65" s="600" t="str">
        <f t="shared" si="17"/>
        <v/>
      </c>
      <c r="AM65" s="600" t="str">
        <f t="shared" si="18"/>
        <v/>
      </c>
      <c r="AN65" s="600"/>
      <c r="AO65" s="600" t="str">
        <f t="shared" si="20"/>
        <v/>
      </c>
      <c r="AP65" s="600" t="str">
        <f t="shared" si="20"/>
        <v/>
      </c>
      <c r="AQ65" s="600" t="str">
        <f t="shared" si="20"/>
        <v/>
      </c>
      <c r="AR65" s="600" t="str">
        <f t="shared" si="20"/>
        <v/>
      </c>
      <c r="AS65" s="600" t="str">
        <f t="shared" si="20"/>
        <v/>
      </c>
      <c r="AT65" s="600" t="str">
        <f t="shared" si="20"/>
        <v/>
      </c>
      <c r="AU65" s="600" t="str">
        <f t="shared" si="20"/>
        <v/>
      </c>
      <c r="AV65" s="600" t="str">
        <f t="shared" si="20"/>
        <v/>
      </c>
      <c r="AW65" s="600"/>
      <c r="AX65" s="600"/>
      <c r="AY65" s="600"/>
      <c r="AZ65" s="600"/>
      <c r="BA65" s="355"/>
      <c r="BB65" s="355"/>
      <c r="BC65" s="355"/>
      <c r="BD65" s="355"/>
      <c r="BE65" s="355"/>
      <c r="BF65" s="355"/>
      <c r="BG65" s="355"/>
      <c r="BH65" s="355"/>
      <c r="BI65" s="355"/>
      <c r="BJ65" s="355"/>
      <c r="BK65" s="355"/>
      <c r="BL65" s="355"/>
      <c r="BM65" s="355"/>
      <c r="BN65" s="355"/>
      <c r="BO65" s="355"/>
      <c r="BP65" s="355"/>
      <c r="BQ65" s="355"/>
      <c r="BR65" s="355"/>
      <c r="BS65" s="355"/>
      <c r="BT65" s="355"/>
      <c r="BU65" s="355"/>
      <c r="BV65" s="355"/>
      <c r="BW65" s="355"/>
      <c r="BX65" s="355"/>
    </row>
    <row r="66" spans="1:76" s="27" customFormat="1">
      <c r="A66" s="355"/>
      <c r="B66" s="355"/>
      <c r="C66" s="115" t="str">
        <f t="shared" si="4"/>
        <v/>
      </c>
      <c r="D66" s="123" t="str">
        <f t="shared" si="5"/>
        <v/>
      </c>
      <c r="E66" s="232" t="str">
        <f>IF(OR(AF66&lt;&gt;"",AO66&lt;&gt;""),IF(MAX(AF66,AO66)&gt;ABS(MIN(AF66,AO66)),MAX(AF66,AO66),IF(AND($N$9=2,'Shear(M)'!B108="#",'Shear(M)'!B107="#",'Shear(M)'!B109="#"),E65,MIN(AF66,AO66))),"")</f>
        <v/>
      </c>
      <c r="F66" s="232" t="str">
        <f t="shared" si="6"/>
        <v/>
      </c>
      <c r="G66" s="115" t="e">
        <f>IF(AND($N$9=2,'Shear(M)'!B108="#",'Shear(M)'!B107="#",'Shear(M)'!B109="#"),G65,IF(OR(AH66&lt;&gt;"",AQ66&lt;&gt;""),MAX(AH66,AQ66),""))</f>
        <v>#VALUE!</v>
      </c>
      <c r="H66" s="115" t="e">
        <f>IF(AND($N$9=2,'Shear(M)'!B108="#",'Shear(M)'!B107="#",'Shear(M)'!B109="#"),H65,IF(OR(AI66&lt;&gt;"",AR66&lt;&gt;""),MIN(AI66,AR66),""))</f>
        <v>#VALUE!</v>
      </c>
      <c r="I66" s="115" t="e">
        <f>IF(AND($N$9=2,'Shear(M)'!B108="#",'Shear(M)'!B107="#",'Shear(M)'!B109="#"),I65,IF(OR(AJ66&lt;&gt;"",AS66&lt;&gt;""),MAX(AJ66,AS66),""))</f>
        <v>#VALUE!</v>
      </c>
      <c r="J66" s="115" t="e">
        <f>IF(AND($N$9=2,'Shear(M)'!B108="#",'Shear(M)'!B107="#",'Shear(M)'!B109="#"),J65,IF(OR(AK66&lt;&gt;"",AT66&lt;&gt;""),MIN(AK66,AT66),""))</f>
        <v>#VALUE!</v>
      </c>
      <c r="K66" s="232" t="str">
        <f t="shared" si="7"/>
        <v/>
      </c>
      <c r="L66" s="232" t="str">
        <f t="shared" si="8"/>
        <v/>
      </c>
      <c r="M66" s="660" t="str">
        <f t="shared" si="9"/>
        <v/>
      </c>
      <c r="N66" s="355"/>
      <c r="O66" s="355"/>
      <c r="P66" s="355"/>
      <c r="Q66" s="355"/>
      <c r="R66" s="600" t="str">
        <f t="shared" si="10"/>
        <v>NA</v>
      </c>
      <c r="S66" s="600"/>
      <c r="T66" s="600"/>
      <c r="U66" s="600"/>
      <c r="V66" s="600"/>
      <c r="W66" s="600"/>
      <c r="X66" s="600"/>
      <c r="Y66" s="600"/>
      <c r="Z66" s="600"/>
      <c r="AA66" s="600"/>
      <c r="AB66" s="600"/>
      <c r="AC66" s="600"/>
      <c r="AD66" s="600">
        <v>55</v>
      </c>
      <c r="AE66" s="600"/>
      <c r="AF66" s="600" t="str">
        <f t="shared" si="11"/>
        <v/>
      </c>
      <c r="AG66" s="600" t="str">
        <f t="shared" si="12"/>
        <v/>
      </c>
      <c r="AH66" s="600" t="str">
        <f t="shared" si="13"/>
        <v/>
      </c>
      <c r="AI66" s="600" t="str">
        <f t="shared" si="14"/>
        <v/>
      </c>
      <c r="AJ66" s="600" t="str">
        <f t="shared" si="15"/>
        <v/>
      </c>
      <c r="AK66" s="600" t="str">
        <f t="shared" si="16"/>
        <v/>
      </c>
      <c r="AL66" s="600" t="str">
        <f t="shared" si="17"/>
        <v/>
      </c>
      <c r="AM66" s="600" t="str">
        <f t="shared" si="18"/>
        <v/>
      </c>
      <c r="AN66" s="600"/>
      <c r="AO66" s="600" t="str">
        <f t="shared" si="20"/>
        <v/>
      </c>
      <c r="AP66" s="600" t="str">
        <f t="shared" si="20"/>
        <v/>
      </c>
      <c r="AQ66" s="600" t="str">
        <f t="shared" si="20"/>
        <v/>
      </c>
      <c r="AR66" s="600" t="str">
        <f t="shared" si="20"/>
        <v/>
      </c>
      <c r="AS66" s="600" t="str">
        <f t="shared" si="20"/>
        <v/>
      </c>
      <c r="AT66" s="600" t="str">
        <f t="shared" si="20"/>
        <v/>
      </c>
      <c r="AU66" s="600" t="str">
        <f t="shared" si="20"/>
        <v/>
      </c>
      <c r="AV66" s="600" t="str">
        <f t="shared" si="20"/>
        <v/>
      </c>
      <c r="AW66" s="600"/>
      <c r="AX66" s="600"/>
      <c r="AY66" s="600"/>
      <c r="AZ66" s="600"/>
      <c r="BA66" s="355"/>
      <c r="BB66" s="355"/>
      <c r="BC66" s="355"/>
      <c r="BD66" s="355"/>
      <c r="BE66" s="355"/>
      <c r="BF66" s="355"/>
      <c r="BG66" s="355"/>
      <c r="BH66" s="355"/>
      <c r="BI66" s="355"/>
      <c r="BJ66" s="355"/>
      <c r="BK66" s="355"/>
      <c r="BL66" s="355"/>
      <c r="BM66" s="355"/>
      <c r="BN66" s="355"/>
      <c r="BO66" s="355"/>
      <c r="BP66" s="355"/>
      <c r="BQ66" s="355"/>
      <c r="BR66" s="355"/>
      <c r="BS66" s="355"/>
      <c r="BT66" s="355"/>
      <c r="BU66" s="355"/>
      <c r="BV66" s="355"/>
      <c r="BW66" s="355"/>
      <c r="BX66" s="355"/>
    </row>
    <row r="67" spans="1:76" s="27" customFormat="1">
      <c r="A67" s="355"/>
      <c r="B67" s="355"/>
      <c r="C67" s="115" t="str">
        <f t="shared" si="4"/>
        <v/>
      </c>
      <c r="D67" s="123" t="str">
        <f t="shared" si="5"/>
        <v/>
      </c>
      <c r="E67" s="232" t="str">
        <f>IF(OR(AF67&lt;&gt;"",AO67&lt;&gt;""),IF(MAX(AF67,AO67)&gt;ABS(MIN(AF67,AO67)),MAX(AF67,AO67),IF(AND($N$9=2,'Shear(M)'!B109="#",'Shear(M)'!B108="#",'Shear(M)'!B110="#"),E66,MIN(AF67,AO67))),"")</f>
        <v/>
      </c>
      <c r="F67" s="232" t="str">
        <f t="shared" si="6"/>
        <v/>
      </c>
      <c r="G67" s="115" t="e">
        <f>IF(AND($N$9=2,'Shear(M)'!B109="#",'Shear(M)'!B108="#",'Shear(M)'!B110="#"),G66,IF(OR(AH67&lt;&gt;"",AQ67&lt;&gt;""),MAX(AH67,AQ67),""))</f>
        <v>#VALUE!</v>
      </c>
      <c r="H67" s="115" t="e">
        <f>IF(AND($N$9=2,'Shear(M)'!B109="#",'Shear(M)'!B108="#",'Shear(M)'!B110="#"),H66,IF(OR(AI67&lt;&gt;"",AR67&lt;&gt;""),MIN(AI67,AR67),""))</f>
        <v>#VALUE!</v>
      </c>
      <c r="I67" s="115" t="e">
        <f>IF(AND($N$9=2,'Shear(M)'!B109="#",'Shear(M)'!B108="#",'Shear(M)'!B110="#"),I66,IF(OR(AJ67&lt;&gt;"",AS67&lt;&gt;""),MAX(AJ67,AS67),""))</f>
        <v>#VALUE!</v>
      </c>
      <c r="J67" s="115" t="e">
        <f>IF(AND($N$9=2,'Shear(M)'!B109="#",'Shear(M)'!B108="#",'Shear(M)'!B110="#"),J66,IF(OR(AK67&lt;&gt;"",AT67&lt;&gt;""),MIN(AK67,AT67),""))</f>
        <v>#VALUE!</v>
      </c>
      <c r="K67" s="232" t="str">
        <f t="shared" si="7"/>
        <v/>
      </c>
      <c r="L67" s="232" t="str">
        <f t="shared" si="8"/>
        <v/>
      </c>
      <c r="M67" s="660" t="str">
        <f t="shared" si="9"/>
        <v/>
      </c>
      <c r="N67" s="355"/>
      <c r="O67" s="355"/>
      <c r="P67" s="355"/>
      <c r="Q67" s="355"/>
      <c r="R67" s="600" t="str">
        <f t="shared" si="10"/>
        <v>NA</v>
      </c>
      <c r="S67" s="600"/>
      <c r="T67" s="600"/>
      <c r="U67" s="600"/>
      <c r="V67" s="600"/>
      <c r="W67" s="600"/>
      <c r="X67" s="600"/>
      <c r="Y67" s="600"/>
      <c r="Z67" s="600"/>
      <c r="AA67" s="600"/>
      <c r="AB67" s="600"/>
      <c r="AC67" s="600"/>
      <c r="AD67" s="600">
        <v>56</v>
      </c>
      <c r="AE67" s="600"/>
      <c r="AF67" s="600" t="str">
        <f t="shared" si="11"/>
        <v/>
      </c>
      <c r="AG67" s="600" t="str">
        <f t="shared" si="12"/>
        <v/>
      </c>
      <c r="AH67" s="600" t="str">
        <f t="shared" si="13"/>
        <v/>
      </c>
      <c r="AI67" s="600" t="str">
        <f t="shared" si="14"/>
        <v/>
      </c>
      <c r="AJ67" s="600" t="str">
        <f t="shared" si="15"/>
        <v/>
      </c>
      <c r="AK67" s="600" t="str">
        <f t="shared" si="16"/>
        <v/>
      </c>
      <c r="AL67" s="600" t="str">
        <f t="shared" si="17"/>
        <v/>
      </c>
      <c r="AM67" s="600" t="str">
        <f t="shared" si="18"/>
        <v/>
      </c>
      <c r="AN67" s="600"/>
      <c r="AO67" s="600" t="str">
        <f t="shared" si="20"/>
        <v/>
      </c>
      <c r="AP67" s="600" t="str">
        <f t="shared" si="20"/>
        <v/>
      </c>
      <c r="AQ67" s="600" t="str">
        <f t="shared" si="20"/>
        <v/>
      </c>
      <c r="AR67" s="600" t="str">
        <f t="shared" si="20"/>
        <v/>
      </c>
      <c r="AS67" s="600" t="str">
        <f t="shared" si="20"/>
        <v/>
      </c>
      <c r="AT67" s="600" t="str">
        <f t="shared" si="20"/>
        <v/>
      </c>
      <c r="AU67" s="600" t="str">
        <f t="shared" si="20"/>
        <v/>
      </c>
      <c r="AV67" s="600" t="str">
        <f t="shared" si="20"/>
        <v/>
      </c>
      <c r="AW67" s="600"/>
      <c r="AX67" s="600"/>
      <c r="AY67" s="600"/>
      <c r="AZ67" s="600"/>
      <c r="BA67" s="355"/>
      <c r="BB67" s="355"/>
      <c r="BC67" s="355"/>
      <c r="BD67" s="355"/>
      <c r="BE67" s="355"/>
      <c r="BF67" s="355"/>
      <c r="BG67" s="355"/>
      <c r="BH67" s="355"/>
      <c r="BI67" s="355"/>
      <c r="BJ67" s="355"/>
      <c r="BK67" s="355"/>
      <c r="BL67" s="355"/>
      <c r="BM67" s="355"/>
      <c r="BN67" s="355"/>
      <c r="BO67" s="355"/>
      <c r="BP67" s="355"/>
      <c r="BQ67" s="355"/>
      <c r="BR67" s="355"/>
      <c r="BS67" s="355"/>
      <c r="BT67" s="355"/>
      <c r="BU67" s="355"/>
      <c r="BV67" s="355"/>
      <c r="BW67" s="355"/>
      <c r="BX67" s="355"/>
    </row>
    <row r="68" spans="1:76" s="27" customFormat="1">
      <c r="A68" s="355"/>
      <c r="B68" s="355"/>
      <c r="C68" s="115" t="str">
        <f t="shared" si="4"/>
        <v/>
      </c>
      <c r="D68" s="123" t="str">
        <f t="shared" si="5"/>
        <v/>
      </c>
      <c r="E68" s="232" t="str">
        <f>IF(OR(AF68&lt;&gt;"",AO68&lt;&gt;""),IF(MAX(AF68,AO68)&gt;ABS(MIN(AF68,AO68)),MAX(AF68,AO68),IF(AND($N$9=2,'Shear(M)'!B110="#",'Shear(M)'!B109="#",'Shear(M)'!B111="#"),E67,MIN(AF68,AO68))),"")</f>
        <v/>
      </c>
      <c r="F68" s="232" t="str">
        <f t="shared" si="6"/>
        <v/>
      </c>
      <c r="G68" s="115" t="e">
        <f>IF(AND($N$9=2,'Shear(M)'!B110="#",'Shear(M)'!B109="#",'Shear(M)'!B111="#"),G67,IF(OR(AH68&lt;&gt;"",AQ68&lt;&gt;""),MAX(AH68,AQ68),""))</f>
        <v>#VALUE!</v>
      </c>
      <c r="H68" s="115" t="e">
        <f>IF(AND($N$9=2,'Shear(M)'!B110="#",'Shear(M)'!B109="#",'Shear(M)'!B111="#"),H67,IF(OR(AI68&lt;&gt;"",AR68&lt;&gt;""),MIN(AI68,AR68),""))</f>
        <v>#VALUE!</v>
      </c>
      <c r="I68" s="115" t="e">
        <f>IF(AND($N$9=2,'Shear(M)'!B110="#",'Shear(M)'!B109="#",'Shear(M)'!B111="#"),I67,IF(OR(AJ68&lt;&gt;"",AS68&lt;&gt;""),MAX(AJ68,AS68),""))</f>
        <v>#VALUE!</v>
      </c>
      <c r="J68" s="115" t="e">
        <f>IF(AND($N$9=2,'Shear(M)'!B110="#",'Shear(M)'!B109="#",'Shear(M)'!B111="#"),J67,IF(OR(AK68&lt;&gt;"",AT68&lt;&gt;""),MIN(AK68,AT68),""))</f>
        <v>#VALUE!</v>
      </c>
      <c r="K68" s="232" t="str">
        <f t="shared" si="7"/>
        <v/>
      </c>
      <c r="L68" s="232" t="str">
        <f t="shared" si="8"/>
        <v/>
      </c>
      <c r="M68" s="660" t="str">
        <f t="shared" si="9"/>
        <v/>
      </c>
      <c r="N68" s="355"/>
      <c r="O68" s="355"/>
      <c r="P68" s="355"/>
      <c r="Q68" s="355"/>
      <c r="R68" s="600" t="str">
        <f t="shared" si="10"/>
        <v>NA</v>
      </c>
      <c r="S68" s="600"/>
      <c r="T68" s="600"/>
      <c r="U68" s="600"/>
      <c r="V68" s="600"/>
      <c r="W68" s="600"/>
      <c r="X68" s="600"/>
      <c r="Y68" s="600"/>
      <c r="Z68" s="600"/>
      <c r="AA68" s="600"/>
      <c r="AB68" s="600"/>
      <c r="AC68" s="600"/>
      <c r="AD68" s="600">
        <v>57</v>
      </c>
      <c r="AE68" s="600"/>
      <c r="AF68" s="600" t="str">
        <f t="shared" si="11"/>
        <v/>
      </c>
      <c r="AG68" s="600" t="str">
        <f t="shared" si="12"/>
        <v/>
      </c>
      <c r="AH68" s="600" t="str">
        <f t="shared" si="13"/>
        <v/>
      </c>
      <c r="AI68" s="600" t="str">
        <f t="shared" si="14"/>
        <v/>
      </c>
      <c r="AJ68" s="600" t="str">
        <f t="shared" si="15"/>
        <v/>
      </c>
      <c r="AK68" s="600" t="str">
        <f t="shared" si="16"/>
        <v/>
      </c>
      <c r="AL68" s="600" t="str">
        <f t="shared" si="17"/>
        <v/>
      </c>
      <c r="AM68" s="600" t="str">
        <f t="shared" si="18"/>
        <v/>
      </c>
      <c r="AN68" s="600"/>
      <c r="AO68" s="600" t="str">
        <f t="shared" si="20"/>
        <v/>
      </c>
      <c r="AP68" s="600" t="str">
        <f t="shared" si="20"/>
        <v/>
      </c>
      <c r="AQ68" s="600" t="str">
        <f t="shared" si="20"/>
        <v/>
      </c>
      <c r="AR68" s="600" t="str">
        <f t="shared" si="20"/>
        <v/>
      </c>
      <c r="AS68" s="600" t="str">
        <f t="shared" si="20"/>
        <v/>
      </c>
      <c r="AT68" s="600" t="str">
        <f t="shared" si="20"/>
        <v/>
      </c>
      <c r="AU68" s="600" t="str">
        <f t="shared" si="20"/>
        <v/>
      </c>
      <c r="AV68" s="600" t="str">
        <f t="shared" si="20"/>
        <v/>
      </c>
      <c r="AW68" s="600"/>
      <c r="AX68" s="600"/>
      <c r="AY68" s="600"/>
      <c r="AZ68" s="600"/>
      <c r="BA68" s="355"/>
      <c r="BB68" s="355"/>
      <c r="BC68" s="355"/>
      <c r="BD68" s="355"/>
      <c r="BE68" s="355"/>
      <c r="BF68" s="355"/>
      <c r="BG68" s="355"/>
      <c r="BH68" s="355"/>
      <c r="BI68" s="355"/>
      <c r="BJ68" s="355"/>
      <c r="BK68" s="355"/>
      <c r="BL68" s="355"/>
      <c r="BM68" s="355"/>
      <c r="BN68" s="355"/>
      <c r="BO68" s="355"/>
      <c r="BP68" s="355"/>
      <c r="BQ68" s="355"/>
      <c r="BR68" s="355"/>
      <c r="BS68" s="355"/>
      <c r="BT68" s="355"/>
      <c r="BU68" s="355"/>
      <c r="BV68" s="355"/>
      <c r="BW68" s="355"/>
      <c r="BX68" s="355"/>
    </row>
    <row r="69" spans="1:76" s="27" customFormat="1">
      <c r="A69" s="355"/>
      <c r="B69" s="355"/>
      <c r="C69" s="115" t="str">
        <f t="shared" si="4"/>
        <v/>
      </c>
      <c r="D69" s="123" t="str">
        <f t="shared" si="5"/>
        <v/>
      </c>
      <c r="E69" s="232" t="str">
        <f>IF(OR(AF69&lt;&gt;"",AO69&lt;&gt;""),IF(MAX(AF69,AO69)&gt;ABS(MIN(AF69,AO69)),MAX(AF69,AO69),IF(AND($N$9=2,'Shear(M)'!B111="#",'Shear(M)'!B110="#",'Shear(M)'!B112="#"),E68,MIN(AF69,AO69))),"")</f>
        <v/>
      </c>
      <c r="F69" s="232" t="str">
        <f t="shared" si="6"/>
        <v/>
      </c>
      <c r="G69" s="115" t="e">
        <f>IF(AND($N$9=2,'Shear(M)'!B111="#",'Shear(M)'!B110="#",'Shear(M)'!B112="#"),G68,IF(OR(AH69&lt;&gt;"",AQ69&lt;&gt;""),MAX(AH69,AQ69),""))</f>
        <v>#VALUE!</v>
      </c>
      <c r="H69" s="115" t="e">
        <f>IF(AND($N$9=2,'Shear(M)'!B111="#",'Shear(M)'!B110="#",'Shear(M)'!B112="#"),H68,IF(OR(AI69&lt;&gt;"",AR69&lt;&gt;""),MIN(AI69,AR69),""))</f>
        <v>#VALUE!</v>
      </c>
      <c r="I69" s="115" t="e">
        <f>IF(AND($N$9=2,'Shear(M)'!B111="#",'Shear(M)'!B110="#",'Shear(M)'!B112="#"),I68,IF(OR(AJ69&lt;&gt;"",AS69&lt;&gt;""),MAX(AJ69,AS69),""))</f>
        <v>#VALUE!</v>
      </c>
      <c r="J69" s="115" t="e">
        <f>IF(AND($N$9=2,'Shear(M)'!B111="#",'Shear(M)'!B110="#",'Shear(M)'!B112="#"),J68,IF(OR(AK69&lt;&gt;"",AT69&lt;&gt;""),MIN(AK69,AT69),""))</f>
        <v>#VALUE!</v>
      </c>
      <c r="K69" s="232" t="str">
        <f t="shared" si="7"/>
        <v/>
      </c>
      <c r="L69" s="232" t="str">
        <f t="shared" si="8"/>
        <v/>
      </c>
      <c r="M69" s="660" t="str">
        <f t="shared" si="9"/>
        <v/>
      </c>
      <c r="N69" s="355"/>
      <c r="O69" s="355"/>
      <c r="P69" s="355"/>
      <c r="Q69" s="355"/>
      <c r="R69" s="600" t="str">
        <f t="shared" si="10"/>
        <v>NA</v>
      </c>
      <c r="S69" s="600"/>
      <c r="T69" s="600"/>
      <c r="U69" s="600"/>
      <c r="V69" s="600"/>
      <c r="W69" s="600"/>
      <c r="X69" s="600"/>
      <c r="Y69" s="600"/>
      <c r="Z69" s="600"/>
      <c r="AA69" s="600"/>
      <c r="AB69" s="600"/>
      <c r="AC69" s="600"/>
      <c r="AD69" s="600">
        <v>58</v>
      </c>
      <c r="AE69" s="600"/>
      <c r="AF69" s="600" t="str">
        <f t="shared" si="11"/>
        <v/>
      </c>
      <c r="AG69" s="600" t="str">
        <f t="shared" si="12"/>
        <v/>
      </c>
      <c r="AH69" s="600" t="str">
        <f t="shared" si="13"/>
        <v/>
      </c>
      <c r="AI69" s="600" t="str">
        <f t="shared" si="14"/>
        <v/>
      </c>
      <c r="AJ69" s="600" t="str">
        <f t="shared" si="15"/>
        <v/>
      </c>
      <c r="AK69" s="600" t="str">
        <f t="shared" si="16"/>
        <v/>
      </c>
      <c r="AL69" s="600" t="str">
        <f t="shared" si="17"/>
        <v/>
      </c>
      <c r="AM69" s="600" t="str">
        <f t="shared" si="18"/>
        <v/>
      </c>
      <c r="AN69" s="600"/>
      <c r="AO69" s="600" t="str">
        <f t="shared" si="20"/>
        <v/>
      </c>
      <c r="AP69" s="600" t="str">
        <f t="shared" si="20"/>
        <v/>
      </c>
      <c r="AQ69" s="600" t="str">
        <f t="shared" si="20"/>
        <v/>
      </c>
      <c r="AR69" s="600" t="str">
        <f t="shared" si="20"/>
        <v/>
      </c>
      <c r="AS69" s="600" t="str">
        <f t="shared" si="20"/>
        <v/>
      </c>
      <c r="AT69" s="600" t="str">
        <f t="shared" si="20"/>
        <v/>
      </c>
      <c r="AU69" s="600" t="str">
        <f t="shared" si="20"/>
        <v/>
      </c>
      <c r="AV69" s="600" t="str">
        <f t="shared" si="20"/>
        <v/>
      </c>
      <c r="AW69" s="600"/>
      <c r="AX69" s="600"/>
      <c r="AY69" s="600"/>
      <c r="AZ69" s="600"/>
      <c r="BA69" s="355"/>
      <c r="BB69" s="355"/>
      <c r="BC69" s="355"/>
      <c r="BD69" s="355"/>
      <c r="BE69" s="355"/>
      <c r="BF69" s="355"/>
      <c r="BG69" s="355"/>
      <c r="BH69" s="355"/>
      <c r="BI69" s="355"/>
      <c r="BJ69" s="355"/>
      <c r="BK69" s="355"/>
      <c r="BL69" s="355"/>
      <c r="BM69" s="355"/>
      <c r="BN69" s="355"/>
      <c r="BO69" s="355"/>
      <c r="BP69" s="355"/>
      <c r="BQ69" s="355"/>
      <c r="BR69" s="355"/>
      <c r="BS69" s="355"/>
      <c r="BT69" s="355"/>
      <c r="BU69" s="355"/>
      <c r="BV69" s="355"/>
      <c r="BW69" s="355"/>
      <c r="BX69" s="355"/>
    </row>
    <row r="70" spans="1:76" s="27" customFormat="1">
      <c r="A70" s="355"/>
      <c r="B70" s="355"/>
      <c r="C70" s="115" t="str">
        <f t="shared" si="4"/>
        <v/>
      </c>
      <c r="D70" s="123" t="str">
        <f t="shared" si="5"/>
        <v/>
      </c>
      <c r="E70" s="232" t="str">
        <f>IF(OR(AF70&lt;&gt;"",AO70&lt;&gt;""),IF(MAX(AF70,AO70)&gt;ABS(MIN(AF70,AO70)),MAX(AF70,AO70),IF(AND($N$9=2,'Shear(M)'!B112="#",'Shear(M)'!B111="#",'Shear(M)'!B113="#"),E69,MIN(AF70,AO70))),"")</f>
        <v/>
      </c>
      <c r="F70" s="232" t="str">
        <f t="shared" si="6"/>
        <v/>
      </c>
      <c r="G70" s="115" t="e">
        <f>IF(AND($N$9=2,'Shear(M)'!B112="#",'Shear(M)'!B111="#",'Shear(M)'!B113="#"),G69,IF(OR(AH70&lt;&gt;"",AQ70&lt;&gt;""),MAX(AH70,AQ70),""))</f>
        <v>#VALUE!</v>
      </c>
      <c r="H70" s="115" t="e">
        <f>IF(AND($N$9=2,'Shear(M)'!B112="#",'Shear(M)'!B111="#",'Shear(M)'!B113="#"),H69,IF(OR(AI70&lt;&gt;"",AR70&lt;&gt;""),MIN(AI70,AR70),""))</f>
        <v>#VALUE!</v>
      </c>
      <c r="I70" s="115" t="e">
        <f>IF(AND($N$9=2,'Shear(M)'!B112="#",'Shear(M)'!B111="#",'Shear(M)'!B113="#"),I69,IF(OR(AJ70&lt;&gt;"",AS70&lt;&gt;""),MAX(AJ70,AS70),""))</f>
        <v>#VALUE!</v>
      </c>
      <c r="J70" s="115" t="e">
        <f>IF(AND($N$9=2,'Shear(M)'!B112="#",'Shear(M)'!B111="#",'Shear(M)'!B113="#"),J69,IF(OR(AK70&lt;&gt;"",AT70&lt;&gt;""),MIN(AK70,AT70),""))</f>
        <v>#VALUE!</v>
      </c>
      <c r="K70" s="232" t="str">
        <f t="shared" si="7"/>
        <v/>
      </c>
      <c r="L70" s="232" t="str">
        <f t="shared" si="8"/>
        <v/>
      </c>
      <c r="M70" s="660" t="str">
        <f t="shared" si="9"/>
        <v/>
      </c>
      <c r="N70" s="355"/>
      <c r="O70" s="355"/>
      <c r="P70" s="355"/>
      <c r="Q70" s="355"/>
      <c r="R70" s="600" t="str">
        <f t="shared" si="10"/>
        <v>NA</v>
      </c>
      <c r="S70" s="600"/>
      <c r="T70" s="600"/>
      <c r="U70" s="600"/>
      <c r="V70" s="600"/>
      <c r="W70" s="600"/>
      <c r="X70" s="600"/>
      <c r="Y70" s="600"/>
      <c r="Z70" s="600"/>
      <c r="AA70" s="600"/>
      <c r="AB70" s="600"/>
      <c r="AC70" s="600"/>
      <c r="AD70" s="600">
        <v>59</v>
      </c>
      <c r="AE70" s="600"/>
      <c r="AF70" s="600" t="str">
        <f t="shared" si="11"/>
        <v/>
      </c>
      <c r="AG70" s="600" t="str">
        <f t="shared" si="12"/>
        <v/>
      </c>
      <c r="AH70" s="600" t="str">
        <f t="shared" si="13"/>
        <v/>
      </c>
      <c r="AI70" s="600" t="str">
        <f t="shared" si="14"/>
        <v/>
      </c>
      <c r="AJ70" s="600" t="str">
        <f t="shared" si="15"/>
        <v/>
      </c>
      <c r="AK70" s="600" t="str">
        <f t="shared" si="16"/>
        <v/>
      </c>
      <c r="AL70" s="600" t="str">
        <f t="shared" si="17"/>
        <v/>
      </c>
      <c r="AM70" s="600" t="str">
        <f t="shared" si="18"/>
        <v/>
      </c>
      <c r="AN70" s="600"/>
      <c r="AO70" s="600" t="str">
        <f t="shared" si="20"/>
        <v/>
      </c>
      <c r="AP70" s="600" t="str">
        <f t="shared" si="20"/>
        <v/>
      </c>
      <c r="AQ70" s="600" t="str">
        <f t="shared" si="20"/>
        <v/>
      </c>
      <c r="AR70" s="600" t="str">
        <f t="shared" si="20"/>
        <v/>
      </c>
      <c r="AS70" s="600" t="str">
        <f t="shared" si="20"/>
        <v/>
      </c>
      <c r="AT70" s="600" t="str">
        <f t="shared" si="20"/>
        <v/>
      </c>
      <c r="AU70" s="600" t="str">
        <f t="shared" si="20"/>
        <v/>
      </c>
      <c r="AV70" s="600" t="str">
        <f t="shared" si="20"/>
        <v/>
      </c>
      <c r="AW70" s="600"/>
      <c r="AX70" s="600"/>
      <c r="AY70" s="600"/>
      <c r="AZ70" s="600"/>
      <c r="BA70" s="355"/>
      <c r="BB70" s="355"/>
      <c r="BC70" s="355"/>
      <c r="BD70" s="355"/>
      <c r="BE70" s="355"/>
      <c r="BF70" s="355"/>
      <c r="BG70" s="355"/>
      <c r="BH70" s="355"/>
      <c r="BI70" s="355"/>
      <c r="BJ70" s="355"/>
      <c r="BK70" s="355"/>
      <c r="BL70" s="355"/>
      <c r="BM70" s="355"/>
      <c r="BN70" s="355"/>
      <c r="BO70" s="355"/>
      <c r="BP70" s="355"/>
      <c r="BQ70" s="355"/>
      <c r="BR70" s="355"/>
      <c r="BS70" s="355"/>
      <c r="BT70" s="355"/>
      <c r="BU70" s="355"/>
      <c r="BV70" s="355"/>
      <c r="BW70" s="355"/>
      <c r="BX70" s="355"/>
    </row>
    <row r="71" spans="1:76" s="27" customFormat="1">
      <c r="A71" s="355"/>
      <c r="B71" s="355"/>
      <c r="C71" s="115" t="str">
        <f t="shared" si="4"/>
        <v/>
      </c>
      <c r="D71" s="123" t="str">
        <f t="shared" si="5"/>
        <v/>
      </c>
      <c r="E71" s="232" t="str">
        <f>IF(OR(AF71&lt;&gt;"",AO71&lt;&gt;""),IF(MAX(AF71,AO71)&gt;ABS(MIN(AF71,AO71)),MAX(AF71,AO71),IF(AND($N$9=2,'Shear(M)'!B113="#",'Shear(M)'!B112="#",'Shear(M)'!B114="#"),E70,MIN(AF71,AO71))),"")</f>
        <v/>
      </c>
      <c r="F71" s="232" t="str">
        <f t="shared" si="6"/>
        <v/>
      </c>
      <c r="G71" s="115" t="e">
        <f>IF(AND($N$9=2,'Shear(M)'!B113="#",'Shear(M)'!B112="#",'Shear(M)'!B114="#"),G70,IF(OR(AH71&lt;&gt;"",AQ71&lt;&gt;""),MAX(AH71,AQ71),""))</f>
        <v>#VALUE!</v>
      </c>
      <c r="H71" s="115" t="e">
        <f>IF(AND($N$9=2,'Shear(M)'!B113="#",'Shear(M)'!B112="#",'Shear(M)'!B114="#"),H70,IF(OR(AI71&lt;&gt;"",AR71&lt;&gt;""),MIN(AI71,AR71),""))</f>
        <v>#VALUE!</v>
      </c>
      <c r="I71" s="115" t="e">
        <f>IF(AND($N$9=2,'Shear(M)'!B113="#",'Shear(M)'!B112="#",'Shear(M)'!B114="#"),I70,IF(OR(AJ71&lt;&gt;"",AS71&lt;&gt;""),MAX(AJ71,AS71),""))</f>
        <v>#VALUE!</v>
      </c>
      <c r="J71" s="115" t="e">
        <f>IF(AND($N$9=2,'Shear(M)'!B113="#",'Shear(M)'!B112="#",'Shear(M)'!B114="#"),J70,IF(OR(AK71&lt;&gt;"",AT71&lt;&gt;""),MIN(AK71,AT71),""))</f>
        <v>#VALUE!</v>
      </c>
      <c r="K71" s="232" t="str">
        <f t="shared" si="7"/>
        <v/>
      </c>
      <c r="L71" s="232" t="str">
        <f t="shared" si="8"/>
        <v/>
      </c>
      <c r="M71" s="660" t="str">
        <f t="shared" si="9"/>
        <v/>
      </c>
      <c r="N71" s="355"/>
      <c r="O71" s="355"/>
      <c r="P71" s="355"/>
      <c r="Q71" s="355"/>
      <c r="R71" s="600" t="str">
        <f t="shared" si="10"/>
        <v>NA</v>
      </c>
      <c r="S71" s="600"/>
      <c r="T71" s="600"/>
      <c r="U71" s="600"/>
      <c r="V71" s="600"/>
      <c r="W71" s="600"/>
      <c r="X71" s="600"/>
      <c r="Y71" s="600"/>
      <c r="Z71" s="600"/>
      <c r="AA71" s="600"/>
      <c r="AB71" s="600"/>
      <c r="AC71" s="600"/>
      <c r="AD71" s="600">
        <v>60</v>
      </c>
      <c r="AE71" s="600"/>
      <c r="AF71" s="600" t="str">
        <f t="shared" si="11"/>
        <v/>
      </c>
      <c r="AG71" s="600" t="str">
        <f t="shared" si="12"/>
        <v/>
      </c>
      <c r="AH71" s="600" t="str">
        <f t="shared" si="13"/>
        <v/>
      </c>
      <c r="AI71" s="600" t="str">
        <f t="shared" si="14"/>
        <v/>
      </c>
      <c r="AJ71" s="600" t="str">
        <f t="shared" si="15"/>
        <v/>
      </c>
      <c r="AK71" s="600" t="str">
        <f t="shared" si="16"/>
        <v/>
      </c>
      <c r="AL71" s="600" t="str">
        <f t="shared" si="17"/>
        <v/>
      </c>
      <c r="AM71" s="600" t="str">
        <f t="shared" si="18"/>
        <v/>
      </c>
      <c r="AN71" s="600"/>
      <c r="AO71" s="600" t="str">
        <f t="shared" si="20"/>
        <v/>
      </c>
      <c r="AP71" s="600" t="str">
        <f t="shared" si="20"/>
        <v/>
      </c>
      <c r="AQ71" s="600" t="str">
        <f t="shared" si="20"/>
        <v/>
      </c>
      <c r="AR71" s="600" t="str">
        <f t="shared" si="20"/>
        <v/>
      </c>
      <c r="AS71" s="600" t="str">
        <f t="shared" si="20"/>
        <v/>
      </c>
      <c r="AT71" s="600" t="str">
        <f t="shared" si="20"/>
        <v/>
      </c>
      <c r="AU71" s="600" t="str">
        <f t="shared" si="20"/>
        <v/>
      </c>
      <c r="AV71" s="600" t="str">
        <f t="shared" si="20"/>
        <v/>
      </c>
      <c r="AW71" s="600"/>
      <c r="AX71" s="600"/>
      <c r="AY71" s="600"/>
      <c r="AZ71" s="600"/>
      <c r="BA71" s="355"/>
      <c r="BB71" s="355"/>
      <c r="BC71" s="355"/>
      <c r="BD71" s="355"/>
      <c r="BE71" s="355"/>
      <c r="BF71" s="355"/>
      <c r="BG71" s="355"/>
      <c r="BH71" s="355"/>
      <c r="BI71" s="355"/>
      <c r="BJ71" s="355"/>
      <c r="BK71" s="355"/>
      <c r="BL71" s="355"/>
      <c r="BM71" s="355"/>
      <c r="BN71" s="355"/>
      <c r="BO71" s="355"/>
      <c r="BP71" s="355"/>
      <c r="BQ71" s="355"/>
      <c r="BR71" s="355"/>
      <c r="BS71" s="355"/>
      <c r="BT71" s="355"/>
      <c r="BU71" s="355"/>
      <c r="BV71" s="355"/>
      <c r="BW71" s="355"/>
      <c r="BX71" s="355"/>
    </row>
    <row r="72" spans="1:76" s="27" customFormat="1">
      <c r="A72" s="355"/>
      <c r="B72" s="355"/>
      <c r="C72" s="115" t="str">
        <f t="shared" si="4"/>
        <v/>
      </c>
      <c r="D72" s="123" t="str">
        <f t="shared" si="5"/>
        <v/>
      </c>
      <c r="E72" s="232" t="str">
        <f>IF(OR(AF72&lt;&gt;"",AO72&lt;&gt;""),IF(MAX(AF72,AO72)&gt;ABS(MIN(AF72,AO72)),MAX(AF72,AO72),IF(AND($N$9=2,'Shear(M)'!B114="#",'Shear(M)'!B113="#",'Shear(M)'!B115="#"),E71,MIN(AF72,AO72))),"")</f>
        <v/>
      </c>
      <c r="F72" s="232" t="str">
        <f t="shared" si="6"/>
        <v/>
      </c>
      <c r="G72" s="115" t="e">
        <f>IF(AND($N$9=2,'Shear(M)'!B114="#",'Shear(M)'!B113="#",'Shear(M)'!B115="#"),G71,IF(OR(AH72&lt;&gt;"",AQ72&lt;&gt;""),MAX(AH72,AQ72),""))</f>
        <v>#VALUE!</v>
      </c>
      <c r="H72" s="115" t="e">
        <f>IF(AND($N$9=2,'Shear(M)'!B114="#",'Shear(M)'!B113="#",'Shear(M)'!B115="#"),H71,IF(OR(AI72&lt;&gt;"",AR72&lt;&gt;""),MIN(AI72,AR72),""))</f>
        <v>#VALUE!</v>
      </c>
      <c r="I72" s="115" t="e">
        <f>IF(AND($N$9=2,'Shear(M)'!B114="#",'Shear(M)'!B113="#",'Shear(M)'!B115="#"),I71,IF(OR(AJ72&lt;&gt;"",AS72&lt;&gt;""),MAX(AJ72,AS72),""))</f>
        <v>#VALUE!</v>
      </c>
      <c r="J72" s="115" t="e">
        <f>IF(AND($N$9=2,'Shear(M)'!B114="#",'Shear(M)'!B113="#",'Shear(M)'!B115="#"),J71,IF(OR(AK72&lt;&gt;"",AT72&lt;&gt;""),MIN(AK72,AT72),""))</f>
        <v>#VALUE!</v>
      </c>
      <c r="K72" s="232" t="str">
        <f t="shared" si="7"/>
        <v/>
      </c>
      <c r="L72" s="232" t="str">
        <f t="shared" si="8"/>
        <v/>
      </c>
      <c r="M72" s="660" t="str">
        <f t="shared" si="9"/>
        <v/>
      </c>
      <c r="N72" s="355"/>
      <c r="O72" s="355"/>
      <c r="P72" s="355"/>
      <c r="Q72" s="355"/>
      <c r="R72" s="600" t="str">
        <f t="shared" si="10"/>
        <v>NA</v>
      </c>
      <c r="S72" s="600"/>
      <c r="T72" s="600"/>
      <c r="U72" s="600"/>
      <c r="V72" s="600"/>
      <c r="W72" s="600"/>
      <c r="X72" s="600"/>
      <c r="Y72" s="600"/>
      <c r="Z72" s="600"/>
      <c r="AA72" s="600"/>
      <c r="AB72" s="600"/>
      <c r="AC72" s="600"/>
      <c r="AD72" s="600">
        <v>61</v>
      </c>
      <c r="AE72" s="600"/>
      <c r="AF72" s="600" t="str">
        <f t="shared" si="11"/>
        <v/>
      </c>
      <c r="AG72" s="600" t="str">
        <f t="shared" si="12"/>
        <v/>
      </c>
      <c r="AH72" s="600" t="str">
        <f t="shared" si="13"/>
        <v/>
      </c>
      <c r="AI72" s="600" t="str">
        <f t="shared" si="14"/>
        <v/>
      </c>
      <c r="AJ72" s="600" t="str">
        <f t="shared" si="15"/>
        <v/>
      </c>
      <c r="AK72" s="600" t="str">
        <f t="shared" si="16"/>
        <v/>
      </c>
      <c r="AL72" s="600" t="str">
        <f t="shared" si="17"/>
        <v/>
      </c>
      <c r="AM72" s="600" t="str">
        <f t="shared" si="18"/>
        <v/>
      </c>
      <c r="AN72" s="600"/>
      <c r="AO72" s="600" t="str">
        <f t="shared" si="20"/>
        <v/>
      </c>
      <c r="AP72" s="600" t="str">
        <f t="shared" si="20"/>
        <v/>
      </c>
      <c r="AQ72" s="600" t="str">
        <f t="shared" si="20"/>
        <v/>
      </c>
      <c r="AR72" s="600" t="str">
        <f t="shared" si="20"/>
        <v/>
      </c>
      <c r="AS72" s="600" t="str">
        <f t="shared" si="20"/>
        <v/>
      </c>
      <c r="AT72" s="600" t="str">
        <f t="shared" si="20"/>
        <v/>
      </c>
      <c r="AU72" s="600" t="str">
        <f t="shared" si="20"/>
        <v/>
      </c>
      <c r="AV72" s="600" t="str">
        <f t="shared" si="20"/>
        <v/>
      </c>
      <c r="AW72" s="600"/>
      <c r="AX72" s="600"/>
      <c r="AY72" s="600"/>
      <c r="AZ72" s="600"/>
      <c r="BA72" s="355"/>
      <c r="BB72" s="355"/>
      <c r="BC72" s="355"/>
      <c r="BD72" s="355"/>
      <c r="BE72" s="355"/>
      <c r="BF72" s="355"/>
      <c r="BG72" s="355"/>
      <c r="BH72" s="355"/>
      <c r="BI72" s="355"/>
      <c r="BJ72" s="355"/>
      <c r="BK72" s="355"/>
      <c r="BL72" s="355"/>
      <c r="BM72" s="355"/>
      <c r="BN72" s="355"/>
      <c r="BO72" s="355"/>
      <c r="BP72" s="355"/>
      <c r="BQ72" s="355"/>
      <c r="BR72" s="355"/>
      <c r="BS72" s="355"/>
      <c r="BT72" s="355"/>
      <c r="BU72" s="355"/>
      <c r="BV72" s="355"/>
      <c r="BW72" s="355"/>
      <c r="BX72" s="355"/>
    </row>
    <row r="73" spans="1:76" s="27" customFormat="1">
      <c r="A73" s="355"/>
      <c r="B73" s="355"/>
      <c r="C73" s="115" t="str">
        <f t="shared" si="4"/>
        <v/>
      </c>
      <c r="D73" s="123" t="str">
        <f t="shared" si="5"/>
        <v/>
      </c>
      <c r="E73" s="232" t="str">
        <f>IF(OR(AF73&lt;&gt;"",AO73&lt;&gt;""),IF(MAX(AF73,AO73)&gt;ABS(MIN(AF73,AO73)),MAX(AF73,AO73),IF(AND($N$9=2,'Shear(M)'!B115="#",'Shear(M)'!B114="#",'Shear(M)'!B116="#"),E72,MIN(AF73,AO73))),"")</f>
        <v/>
      </c>
      <c r="F73" s="232" t="str">
        <f t="shared" si="6"/>
        <v/>
      </c>
      <c r="G73" s="115" t="e">
        <f>IF(AND($N$9=2,'Shear(M)'!B115="#",'Shear(M)'!B114="#",'Shear(M)'!B116="#"),G72,IF(OR(AH73&lt;&gt;"",AQ73&lt;&gt;""),MAX(AH73,AQ73),""))</f>
        <v>#VALUE!</v>
      </c>
      <c r="H73" s="115" t="e">
        <f>IF(AND($N$9=2,'Shear(M)'!B115="#",'Shear(M)'!B114="#",'Shear(M)'!B116="#"),H72,IF(OR(AI73&lt;&gt;"",AR73&lt;&gt;""),MIN(AI73,AR73),""))</f>
        <v>#VALUE!</v>
      </c>
      <c r="I73" s="115" t="e">
        <f>IF(AND($N$9=2,'Shear(M)'!B115="#",'Shear(M)'!B114="#",'Shear(M)'!B116="#"),I72,IF(OR(AJ73&lt;&gt;"",AS73&lt;&gt;""),MAX(AJ73,AS73),""))</f>
        <v>#VALUE!</v>
      </c>
      <c r="J73" s="115" t="e">
        <f>IF(AND($N$9=2,'Shear(M)'!B115="#",'Shear(M)'!B114="#",'Shear(M)'!B116="#"),J72,IF(OR(AK73&lt;&gt;"",AT73&lt;&gt;""),MIN(AK73,AT73),""))</f>
        <v>#VALUE!</v>
      </c>
      <c r="K73" s="232" t="str">
        <f t="shared" si="7"/>
        <v/>
      </c>
      <c r="L73" s="232" t="str">
        <f t="shared" si="8"/>
        <v/>
      </c>
      <c r="M73" s="660" t="str">
        <f t="shared" si="9"/>
        <v/>
      </c>
      <c r="N73" s="355"/>
      <c r="O73" s="355"/>
      <c r="P73" s="355"/>
      <c r="Q73" s="355"/>
      <c r="R73" s="600" t="str">
        <f t="shared" si="10"/>
        <v>NA</v>
      </c>
      <c r="S73" s="600"/>
      <c r="T73" s="600"/>
      <c r="U73" s="600"/>
      <c r="V73" s="600"/>
      <c r="W73" s="600"/>
      <c r="X73" s="600"/>
      <c r="Y73" s="600"/>
      <c r="Z73" s="600"/>
      <c r="AA73" s="600"/>
      <c r="AB73" s="600"/>
      <c r="AC73" s="600"/>
      <c r="AD73" s="600">
        <v>62</v>
      </c>
      <c r="AE73" s="600"/>
      <c r="AF73" s="600" t="str">
        <f t="shared" si="11"/>
        <v/>
      </c>
      <c r="AG73" s="600" t="str">
        <f t="shared" si="12"/>
        <v/>
      </c>
      <c r="AH73" s="600" t="str">
        <f t="shared" si="13"/>
        <v/>
      </c>
      <c r="AI73" s="600" t="str">
        <f t="shared" si="14"/>
        <v/>
      </c>
      <c r="AJ73" s="600" t="str">
        <f t="shared" si="15"/>
        <v/>
      </c>
      <c r="AK73" s="600" t="str">
        <f t="shared" si="16"/>
        <v/>
      </c>
      <c r="AL73" s="600" t="str">
        <f t="shared" si="17"/>
        <v/>
      </c>
      <c r="AM73" s="600" t="str">
        <f t="shared" si="18"/>
        <v/>
      </c>
      <c r="AN73" s="600"/>
      <c r="AO73" s="600" t="str">
        <f t="shared" si="20"/>
        <v/>
      </c>
      <c r="AP73" s="600" t="str">
        <f t="shared" si="20"/>
        <v/>
      </c>
      <c r="AQ73" s="600" t="str">
        <f t="shared" si="20"/>
        <v/>
      </c>
      <c r="AR73" s="600" t="str">
        <f t="shared" si="20"/>
        <v/>
      </c>
      <c r="AS73" s="600" t="str">
        <f t="shared" si="20"/>
        <v/>
      </c>
      <c r="AT73" s="600" t="str">
        <f t="shared" si="20"/>
        <v/>
      </c>
      <c r="AU73" s="600" t="str">
        <f t="shared" si="20"/>
        <v/>
      </c>
      <c r="AV73" s="600" t="str">
        <f t="shared" si="20"/>
        <v/>
      </c>
      <c r="AW73" s="600"/>
      <c r="AX73" s="600"/>
      <c r="AY73" s="600"/>
      <c r="AZ73" s="600"/>
      <c r="BA73" s="355"/>
      <c r="BB73" s="355"/>
      <c r="BC73" s="355"/>
      <c r="BD73" s="355"/>
      <c r="BE73" s="355"/>
      <c r="BF73" s="355"/>
      <c r="BG73" s="355"/>
      <c r="BH73" s="355"/>
      <c r="BI73" s="355"/>
      <c r="BJ73" s="355"/>
      <c r="BK73" s="355"/>
      <c r="BL73" s="355"/>
      <c r="BM73" s="355"/>
      <c r="BN73" s="355"/>
      <c r="BO73" s="355"/>
      <c r="BP73" s="355"/>
      <c r="BQ73" s="355"/>
      <c r="BR73" s="355"/>
      <c r="BS73" s="355"/>
      <c r="BT73" s="355"/>
      <c r="BU73" s="355"/>
      <c r="BV73" s="355"/>
      <c r="BW73" s="355"/>
      <c r="BX73" s="355"/>
    </row>
    <row r="74" spans="1:76" s="27" customFormat="1">
      <c r="A74" s="355"/>
      <c r="B74" s="355"/>
      <c r="C74" s="115" t="str">
        <f t="shared" si="4"/>
        <v/>
      </c>
      <c r="D74" s="123" t="str">
        <f t="shared" si="5"/>
        <v/>
      </c>
      <c r="E74" s="232" t="str">
        <f>IF(OR(AF74&lt;&gt;"",AO74&lt;&gt;""),IF(MAX(AF74,AO74)&gt;ABS(MIN(AF74,AO74)),MAX(AF74,AO74),IF(AND($N$9=2,'Shear(M)'!B116="#",'Shear(M)'!B115="#",'Shear(M)'!B117="#"),E73,MIN(AF74,AO74))),"")</f>
        <v/>
      </c>
      <c r="F74" s="232" t="str">
        <f t="shared" si="6"/>
        <v/>
      </c>
      <c r="G74" s="115" t="e">
        <f>IF(AND($N$9=2,'Shear(M)'!B116="#",'Shear(M)'!B115="#",'Shear(M)'!B117="#"),G73,IF(OR(AH74&lt;&gt;"",AQ74&lt;&gt;""),MAX(AH74,AQ74),""))</f>
        <v>#VALUE!</v>
      </c>
      <c r="H74" s="115" t="e">
        <f>IF(AND($N$9=2,'Shear(M)'!B116="#",'Shear(M)'!B115="#",'Shear(M)'!B117="#"),H73,IF(OR(AI74&lt;&gt;"",AR74&lt;&gt;""),MIN(AI74,AR74),""))</f>
        <v>#VALUE!</v>
      </c>
      <c r="I74" s="115" t="e">
        <f>IF(AND($N$9=2,'Shear(M)'!B116="#",'Shear(M)'!B115="#",'Shear(M)'!B117="#"),I73,IF(OR(AJ74&lt;&gt;"",AS74&lt;&gt;""),MAX(AJ74,AS74),""))</f>
        <v>#VALUE!</v>
      </c>
      <c r="J74" s="115" t="e">
        <f>IF(AND($N$9=2,'Shear(M)'!B116="#",'Shear(M)'!B115="#",'Shear(M)'!B117="#"),J73,IF(OR(AK74&lt;&gt;"",AT74&lt;&gt;""),MIN(AK74,AT74),""))</f>
        <v>#VALUE!</v>
      </c>
      <c r="K74" s="232" t="str">
        <f t="shared" si="7"/>
        <v/>
      </c>
      <c r="L74" s="232" t="str">
        <f t="shared" si="8"/>
        <v/>
      </c>
      <c r="M74" s="660" t="str">
        <f t="shared" si="9"/>
        <v/>
      </c>
      <c r="N74" s="355"/>
      <c r="O74" s="355"/>
      <c r="P74" s="355"/>
      <c r="Q74" s="355"/>
      <c r="R74" s="600" t="str">
        <f t="shared" si="10"/>
        <v>NA</v>
      </c>
      <c r="S74" s="600"/>
      <c r="T74" s="600"/>
      <c r="U74" s="600"/>
      <c r="V74" s="600"/>
      <c r="W74" s="600"/>
      <c r="X74" s="600"/>
      <c r="Y74" s="600"/>
      <c r="Z74" s="600"/>
      <c r="AA74" s="600"/>
      <c r="AB74" s="600"/>
      <c r="AC74" s="600"/>
      <c r="AD74" s="600">
        <v>63</v>
      </c>
      <c r="AE74" s="600"/>
      <c r="AF74" s="600" t="str">
        <f t="shared" si="11"/>
        <v/>
      </c>
      <c r="AG74" s="600" t="str">
        <f t="shared" si="12"/>
        <v/>
      </c>
      <c r="AH74" s="600" t="str">
        <f t="shared" si="13"/>
        <v/>
      </c>
      <c r="AI74" s="600" t="str">
        <f t="shared" si="14"/>
        <v/>
      </c>
      <c r="AJ74" s="600" t="str">
        <f t="shared" si="15"/>
        <v/>
      </c>
      <c r="AK74" s="600" t="str">
        <f t="shared" si="16"/>
        <v/>
      </c>
      <c r="AL74" s="600" t="str">
        <f t="shared" si="17"/>
        <v/>
      </c>
      <c r="AM74" s="600" t="str">
        <f t="shared" si="18"/>
        <v/>
      </c>
      <c r="AN74" s="600"/>
      <c r="AO74" s="600" t="str">
        <f t="shared" si="20"/>
        <v/>
      </c>
      <c r="AP74" s="600" t="str">
        <f t="shared" si="20"/>
        <v/>
      </c>
      <c r="AQ74" s="600" t="str">
        <f t="shared" si="20"/>
        <v/>
      </c>
      <c r="AR74" s="600" t="str">
        <f t="shared" si="20"/>
        <v/>
      </c>
      <c r="AS74" s="600" t="str">
        <f t="shared" si="20"/>
        <v/>
      </c>
      <c r="AT74" s="600" t="str">
        <f t="shared" si="20"/>
        <v/>
      </c>
      <c r="AU74" s="600" t="str">
        <f t="shared" si="20"/>
        <v/>
      </c>
      <c r="AV74" s="600" t="str">
        <f t="shared" si="20"/>
        <v/>
      </c>
      <c r="AW74" s="600"/>
      <c r="AX74" s="600"/>
      <c r="AY74" s="600"/>
      <c r="AZ74" s="600"/>
      <c r="BA74" s="355"/>
      <c r="BB74" s="355"/>
      <c r="BC74" s="355"/>
      <c r="BD74" s="355"/>
      <c r="BE74" s="355"/>
      <c r="BF74" s="355"/>
      <c r="BG74" s="355"/>
      <c r="BH74" s="355"/>
      <c r="BI74" s="355"/>
      <c r="BJ74" s="355"/>
      <c r="BK74" s="355"/>
      <c r="BL74" s="355"/>
      <c r="BM74" s="355"/>
      <c r="BN74" s="355"/>
      <c r="BO74" s="355"/>
      <c r="BP74" s="355"/>
      <c r="BQ74" s="355"/>
      <c r="BR74" s="355"/>
      <c r="BS74" s="355"/>
      <c r="BT74" s="355"/>
      <c r="BU74" s="355"/>
      <c r="BV74" s="355"/>
      <c r="BW74" s="355"/>
      <c r="BX74" s="355"/>
    </row>
    <row r="75" spans="1:76" s="27" customFormat="1">
      <c r="A75" s="355"/>
      <c r="B75" s="355"/>
      <c r="C75" s="115" t="str">
        <f t="shared" si="4"/>
        <v/>
      </c>
      <c r="D75" s="123" t="str">
        <f t="shared" si="5"/>
        <v/>
      </c>
      <c r="E75" s="232" t="str">
        <f>IF(OR(AF75&lt;&gt;"",AO75&lt;&gt;""),IF(MAX(AF75,AO75)&gt;ABS(MIN(AF75,AO75)),MAX(AF75,AO75),IF(AND($N$9=2,'Shear(M)'!B117="#",'Shear(M)'!B116="#",'Shear(M)'!B118="#"),E74,MIN(AF75,AO75))),"")</f>
        <v/>
      </c>
      <c r="F75" s="232" t="str">
        <f t="shared" si="6"/>
        <v/>
      </c>
      <c r="G75" s="115" t="e">
        <f>IF(AND($N$9=2,'Shear(M)'!B117="#",'Shear(M)'!B116="#",'Shear(M)'!B118="#"),G74,IF(OR(AH75&lt;&gt;"",AQ75&lt;&gt;""),MAX(AH75,AQ75),""))</f>
        <v>#VALUE!</v>
      </c>
      <c r="H75" s="115" t="e">
        <f>IF(AND($N$9=2,'Shear(M)'!B117="#",'Shear(M)'!B116="#",'Shear(M)'!B118="#"),H74,IF(OR(AI75&lt;&gt;"",AR75&lt;&gt;""),MIN(AI75,AR75),""))</f>
        <v>#VALUE!</v>
      </c>
      <c r="I75" s="115" t="e">
        <f>IF(AND($N$9=2,'Shear(M)'!B117="#",'Shear(M)'!B116="#",'Shear(M)'!B118="#"),I74,IF(OR(AJ75&lt;&gt;"",AS75&lt;&gt;""),MAX(AJ75,AS75),""))</f>
        <v>#VALUE!</v>
      </c>
      <c r="J75" s="115" t="e">
        <f>IF(AND($N$9=2,'Shear(M)'!B117="#",'Shear(M)'!B116="#",'Shear(M)'!B118="#"),J74,IF(OR(AK75&lt;&gt;"",AT75&lt;&gt;""),MIN(AK75,AT75),""))</f>
        <v>#VALUE!</v>
      </c>
      <c r="K75" s="232" t="str">
        <f t="shared" si="7"/>
        <v/>
      </c>
      <c r="L75" s="232" t="str">
        <f t="shared" si="8"/>
        <v/>
      </c>
      <c r="M75" s="660" t="str">
        <f t="shared" si="9"/>
        <v/>
      </c>
      <c r="N75" s="355"/>
      <c r="O75" s="355"/>
      <c r="P75" s="355"/>
      <c r="Q75" s="355"/>
      <c r="R75" s="600" t="str">
        <f t="shared" si="10"/>
        <v>NA</v>
      </c>
      <c r="S75" s="600"/>
      <c r="T75" s="600"/>
      <c r="U75" s="600"/>
      <c r="V75" s="600"/>
      <c r="W75" s="600"/>
      <c r="X75" s="600"/>
      <c r="Y75" s="600"/>
      <c r="Z75" s="600"/>
      <c r="AA75" s="600"/>
      <c r="AB75" s="600"/>
      <c r="AC75" s="600"/>
      <c r="AD75" s="600">
        <v>64</v>
      </c>
      <c r="AE75" s="600"/>
      <c r="AF75" s="600" t="str">
        <f t="shared" si="11"/>
        <v/>
      </c>
      <c r="AG75" s="600" t="str">
        <f t="shared" si="12"/>
        <v/>
      </c>
      <c r="AH75" s="600" t="str">
        <f t="shared" si="13"/>
        <v/>
      </c>
      <c r="AI75" s="600" t="str">
        <f t="shared" si="14"/>
        <v/>
      </c>
      <c r="AJ75" s="600" t="str">
        <f t="shared" si="15"/>
        <v/>
      </c>
      <c r="AK75" s="600" t="str">
        <f t="shared" si="16"/>
        <v/>
      </c>
      <c r="AL75" s="600" t="str">
        <f t="shared" si="17"/>
        <v/>
      </c>
      <c r="AM75" s="600" t="str">
        <f t="shared" si="18"/>
        <v/>
      </c>
      <c r="AN75" s="600"/>
      <c r="AO75" s="600" t="str">
        <f t="shared" si="20"/>
        <v/>
      </c>
      <c r="AP75" s="600" t="str">
        <f t="shared" si="20"/>
        <v/>
      </c>
      <c r="AQ75" s="600" t="str">
        <f t="shared" si="20"/>
        <v/>
      </c>
      <c r="AR75" s="600" t="str">
        <f t="shared" si="20"/>
        <v/>
      </c>
      <c r="AS75" s="600" t="str">
        <f t="shared" si="20"/>
        <v/>
      </c>
      <c r="AT75" s="600" t="str">
        <f t="shared" si="20"/>
        <v/>
      </c>
      <c r="AU75" s="600" t="str">
        <f t="shared" si="20"/>
        <v/>
      </c>
      <c r="AV75" s="600" t="str">
        <f t="shared" si="20"/>
        <v/>
      </c>
      <c r="AW75" s="600"/>
      <c r="AX75" s="600"/>
      <c r="AY75" s="600"/>
      <c r="AZ75" s="600"/>
      <c r="BA75" s="355"/>
      <c r="BB75" s="355"/>
      <c r="BC75" s="355"/>
      <c r="BD75" s="355"/>
      <c r="BE75" s="355"/>
      <c r="BF75" s="355"/>
      <c r="BG75" s="355"/>
      <c r="BH75" s="355"/>
      <c r="BI75" s="355"/>
      <c r="BJ75" s="355"/>
      <c r="BK75" s="355"/>
      <c r="BL75" s="355"/>
      <c r="BM75" s="355"/>
      <c r="BN75" s="355"/>
      <c r="BO75" s="355"/>
      <c r="BP75" s="355"/>
      <c r="BQ75" s="355"/>
      <c r="BR75" s="355"/>
      <c r="BS75" s="355"/>
      <c r="BT75" s="355"/>
      <c r="BU75" s="355"/>
      <c r="BV75" s="355"/>
      <c r="BW75" s="355"/>
      <c r="BX75" s="355"/>
    </row>
    <row r="76" spans="1:76" s="27" customFormat="1">
      <c r="A76" s="355"/>
      <c r="B76" s="355"/>
      <c r="C76" s="115" t="str">
        <f t="shared" si="4"/>
        <v/>
      </c>
      <c r="D76" s="123" t="str">
        <f t="shared" si="5"/>
        <v/>
      </c>
      <c r="E76" s="232" t="str">
        <f>IF(OR(AF76&lt;&gt;"",AO76&lt;&gt;""),IF(MAX(AF76,AO76)&gt;ABS(MIN(AF76,AO76)),MAX(AF76,AO76),IF(AND($N$9=2,'Shear(M)'!B118="#",'Shear(M)'!B117="#",'Shear(M)'!B119="#"),E75,MIN(AF76,AO76))),"")</f>
        <v/>
      </c>
      <c r="F76" s="232" t="str">
        <f t="shared" si="6"/>
        <v/>
      </c>
      <c r="G76" s="115" t="e">
        <f>IF(AND($N$9=2,'Shear(M)'!B118="#",'Shear(M)'!B117="#",'Shear(M)'!B119="#"),G75,IF(OR(AH76&lt;&gt;"",AQ76&lt;&gt;""),MAX(AH76,AQ76),""))</f>
        <v>#VALUE!</v>
      </c>
      <c r="H76" s="115" t="e">
        <f>IF(AND($N$9=2,'Shear(M)'!B118="#",'Shear(M)'!B117="#",'Shear(M)'!B119="#"),H75,IF(OR(AI76&lt;&gt;"",AR76&lt;&gt;""),MIN(AI76,AR76),""))</f>
        <v>#VALUE!</v>
      </c>
      <c r="I76" s="115" t="e">
        <f>IF(AND($N$9=2,'Shear(M)'!B118="#",'Shear(M)'!B117="#",'Shear(M)'!B119="#"),I75,IF(OR(AJ76&lt;&gt;"",AS76&lt;&gt;""),MAX(AJ76,AS76),""))</f>
        <v>#VALUE!</v>
      </c>
      <c r="J76" s="115" t="e">
        <f>IF(AND($N$9=2,'Shear(M)'!B118="#",'Shear(M)'!B117="#",'Shear(M)'!B119="#"),J75,IF(OR(AK76&lt;&gt;"",AT76&lt;&gt;""),MIN(AK76,AT76),""))</f>
        <v>#VALUE!</v>
      </c>
      <c r="K76" s="232" t="str">
        <f t="shared" si="7"/>
        <v/>
      </c>
      <c r="L76" s="232" t="str">
        <f t="shared" si="8"/>
        <v/>
      </c>
      <c r="M76" s="660" t="str">
        <f t="shared" si="9"/>
        <v/>
      </c>
      <c r="N76" s="355"/>
      <c r="O76" s="355"/>
      <c r="P76" s="355"/>
      <c r="Q76" s="355"/>
      <c r="R76" s="600" t="str">
        <f t="shared" si="10"/>
        <v>NA</v>
      </c>
      <c r="S76" s="600"/>
      <c r="T76" s="600"/>
      <c r="U76" s="600"/>
      <c r="V76" s="600"/>
      <c r="W76" s="600"/>
      <c r="X76" s="600"/>
      <c r="Y76" s="600"/>
      <c r="Z76" s="600"/>
      <c r="AA76" s="600"/>
      <c r="AB76" s="600"/>
      <c r="AC76" s="600"/>
      <c r="AD76" s="600">
        <v>65</v>
      </c>
      <c r="AE76" s="600"/>
      <c r="AF76" s="600" t="str">
        <f t="shared" si="11"/>
        <v/>
      </c>
      <c r="AG76" s="600" t="str">
        <f t="shared" si="12"/>
        <v/>
      </c>
      <c r="AH76" s="600" t="str">
        <f t="shared" si="13"/>
        <v/>
      </c>
      <c r="AI76" s="600" t="str">
        <f t="shared" si="14"/>
        <v/>
      </c>
      <c r="AJ76" s="600" t="str">
        <f t="shared" si="15"/>
        <v/>
      </c>
      <c r="AK76" s="600" t="str">
        <f t="shared" si="16"/>
        <v/>
      </c>
      <c r="AL76" s="600" t="str">
        <f t="shared" si="17"/>
        <v/>
      </c>
      <c r="AM76" s="600" t="str">
        <f t="shared" si="18"/>
        <v/>
      </c>
      <c r="AN76" s="600"/>
      <c r="AO76" s="600" t="str">
        <f t="shared" si="20"/>
        <v/>
      </c>
      <c r="AP76" s="600" t="str">
        <f t="shared" si="20"/>
        <v/>
      </c>
      <c r="AQ76" s="600" t="str">
        <f t="shared" si="20"/>
        <v/>
      </c>
      <c r="AR76" s="600" t="str">
        <f t="shared" si="20"/>
        <v/>
      </c>
      <c r="AS76" s="600" t="str">
        <f t="shared" si="20"/>
        <v/>
      </c>
      <c r="AT76" s="600" t="str">
        <f t="shared" si="20"/>
        <v/>
      </c>
      <c r="AU76" s="600" t="str">
        <f t="shared" si="20"/>
        <v/>
      </c>
      <c r="AV76" s="600" t="str">
        <f t="shared" si="20"/>
        <v/>
      </c>
      <c r="AW76" s="600"/>
      <c r="AX76" s="600"/>
      <c r="AY76" s="600"/>
      <c r="AZ76" s="600"/>
      <c r="BA76" s="355"/>
      <c r="BB76" s="355"/>
      <c r="BC76" s="355"/>
      <c r="BD76" s="355"/>
      <c r="BE76" s="355"/>
      <c r="BF76" s="355"/>
      <c r="BG76" s="355"/>
      <c r="BH76" s="355"/>
      <c r="BI76" s="355"/>
      <c r="BJ76" s="355"/>
      <c r="BK76" s="355"/>
      <c r="BL76" s="355"/>
      <c r="BM76" s="355"/>
      <c r="BN76" s="355"/>
      <c r="BO76" s="355"/>
      <c r="BP76" s="355"/>
      <c r="BQ76" s="355"/>
      <c r="BR76" s="355"/>
      <c r="BS76" s="355"/>
      <c r="BT76" s="355"/>
      <c r="BU76" s="355"/>
      <c r="BV76" s="355"/>
      <c r="BW76" s="355"/>
      <c r="BX76" s="355"/>
    </row>
    <row r="77" spans="1:76" s="27" customFormat="1">
      <c r="A77" s="355"/>
      <c r="B77" s="355"/>
      <c r="C77" s="115" t="str">
        <f t="shared" ref="C77:C114" si="21">IF(T77="","",T77)</f>
        <v/>
      </c>
      <c r="D77" s="123" t="str">
        <f t="shared" ref="D77:D114" si="22">IF(C77="","",U77)</f>
        <v/>
      </c>
      <c r="E77" s="232" t="str">
        <f>IF(OR(AF77&lt;&gt;"",AO77&lt;&gt;""),IF(MAX(AF77,AO77)&gt;ABS(MIN(AF77,AO77)),MAX(AF77,AO77),IF(AND($N$9=2,'Shear(M)'!B119="#",'Shear(M)'!B118="#",'Shear(M)'!B120="#"),E76,MIN(AF77,AO77))),"")</f>
        <v/>
      </c>
      <c r="F77" s="232" t="str">
        <f t="shared" ref="F77:F114" si="23">IF(OR(AG77&lt;&gt;"",AP77&lt;&gt;""),IF(MAX(AG77,AP77)&gt;ABS(MIN(AG77,AP77)),MAX(AG77,AP77),MIN(AG77,AP77)),"")</f>
        <v/>
      </c>
      <c r="G77" s="115" t="e">
        <f>IF(AND($N$9=2,'Shear(M)'!B119="#",'Shear(M)'!B118="#",'Shear(M)'!B120="#"),G76,IF(OR(AH77&lt;&gt;"",AQ77&lt;&gt;""),MAX(AH77,AQ77),""))</f>
        <v>#VALUE!</v>
      </c>
      <c r="H77" s="115" t="e">
        <f>IF(AND($N$9=2,'Shear(M)'!B119="#",'Shear(M)'!B118="#",'Shear(M)'!B120="#"),H76,IF(OR(AI77&lt;&gt;"",AR77&lt;&gt;""),MIN(AI77,AR77),""))</f>
        <v>#VALUE!</v>
      </c>
      <c r="I77" s="115" t="e">
        <f>IF(AND($N$9=2,'Shear(M)'!B119="#",'Shear(M)'!B118="#",'Shear(M)'!B120="#"),I76,IF(OR(AJ77&lt;&gt;"",AS77&lt;&gt;""),MAX(AJ77,AS77),""))</f>
        <v>#VALUE!</v>
      </c>
      <c r="J77" s="115" t="e">
        <f>IF(AND($N$9=2,'Shear(M)'!B119="#",'Shear(M)'!B118="#",'Shear(M)'!B120="#"),J76,IF(OR(AK77&lt;&gt;"",AT77&lt;&gt;""),MIN(AK77,AT77),""))</f>
        <v>#VALUE!</v>
      </c>
      <c r="K77" s="232" t="str">
        <f t="shared" ref="K77:K114" si="24">IF(OR(AL77&lt;&gt;"",AU77&lt;&gt;""),MAX(AL77,AU77),"")</f>
        <v/>
      </c>
      <c r="L77" s="232" t="str">
        <f t="shared" ref="L77:L114" si="25">IF(OR(AM77&lt;&gt;"",AV77&lt;&gt;""),MIN(AM77,AV77),"")</f>
        <v/>
      </c>
      <c r="M77" s="660" t="str">
        <f t="shared" ref="M77:M114" si="26">IF(D77="","",MAX(ABS(K77),ABS(L77)))</f>
        <v/>
      </c>
      <c r="N77" s="355"/>
      <c r="O77" s="355"/>
      <c r="P77" s="355"/>
      <c r="Q77" s="355"/>
      <c r="R77" s="600" t="str">
        <f t="shared" ref="R77:R114" si="27">IF(TRIM(S77)=$R$6,1,IF(TRIM(S77)=$R$7,2,"NA"))</f>
        <v>NA</v>
      </c>
      <c r="S77" s="600"/>
      <c r="T77" s="600"/>
      <c r="U77" s="600"/>
      <c r="V77" s="600"/>
      <c r="W77" s="600"/>
      <c r="X77" s="600"/>
      <c r="Y77" s="600"/>
      <c r="Z77" s="600"/>
      <c r="AA77" s="600"/>
      <c r="AB77" s="600"/>
      <c r="AC77" s="600"/>
      <c r="AD77" s="600">
        <v>66</v>
      </c>
      <c r="AE77" s="600"/>
      <c r="AF77" s="600" t="str">
        <f t="shared" ref="AF77:AF114" si="28">IF(TRIM($S77)=$AE$10,IF(AF$10="X",V77,""),"")</f>
        <v/>
      </c>
      <c r="AG77" s="600" t="str">
        <f t="shared" ref="AG77:AG114" si="29">IF(TRIM($S77)=$AE$10,IF(AG$10="X",W77,""),"")</f>
        <v/>
      </c>
      <c r="AH77" s="600" t="str">
        <f t="shared" ref="AH77:AH114" si="30">IF(TRIM($S77)=$AE$10,IF(AH$10="X",X77,""),"")</f>
        <v/>
      </c>
      <c r="AI77" s="600" t="str">
        <f t="shared" ref="AI77:AI114" si="31">IF(TRIM($S77)=$AE$10,IF(AI$10="X",Y77,""),"")</f>
        <v/>
      </c>
      <c r="AJ77" s="600" t="str">
        <f t="shared" ref="AJ77:AJ114" si="32">IF(TRIM($S77)=$AE$10,IF(AJ$10="X",Z77,""),"")</f>
        <v/>
      </c>
      <c r="AK77" s="600" t="str">
        <f t="shared" ref="AK77:AK114" si="33">IF(TRIM($S77)=$AE$10,IF(AK$10="X",AA77,""),"")</f>
        <v/>
      </c>
      <c r="AL77" s="600" t="str">
        <f t="shared" ref="AL77:AL114" si="34">IF(TRIM($S77)=$AE$10,IF(AL$10="X",AB77,""),"")</f>
        <v/>
      </c>
      <c r="AM77" s="600" t="str">
        <f t="shared" ref="AM77:AM114" si="35">IF(TRIM($S77)=$AE$10,IF(AM$10="X",AC77,""),"")</f>
        <v/>
      </c>
      <c r="AN77" s="600"/>
      <c r="AO77" s="600" t="str">
        <f t="shared" si="20"/>
        <v/>
      </c>
      <c r="AP77" s="600" t="str">
        <f t="shared" si="20"/>
        <v/>
      </c>
      <c r="AQ77" s="600" t="str">
        <f t="shared" si="20"/>
        <v/>
      </c>
      <c r="AR77" s="600" t="str">
        <f t="shared" si="20"/>
        <v/>
      </c>
      <c r="AS77" s="600" t="str">
        <f t="shared" si="20"/>
        <v/>
      </c>
      <c r="AT77" s="600" t="str">
        <f t="shared" si="20"/>
        <v/>
      </c>
      <c r="AU77" s="600" t="str">
        <f t="shared" si="20"/>
        <v/>
      </c>
      <c r="AV77" s="600" t="str">
        <f t="shared" si="20"/>
        <v/>
      </c>
      <c r="AW77" s="600"/>
      <c r="AX77" s="600"/>
      <c r="AY77" s="600"/>
      <c r="AZ77" s="600"/>
      <c r="BA77" s="355"/>
      <c r="BB77" s="355"/>
      <c r="BC77" s="355"/>
      <c r="BD77" s="355"/>
      <c r="BE77" s="355"/>
      <c r="BF77" s="355"/>
      <c r="BG77" s="355"/>
      <c r="BH77" s="355"/>
      <c r="BI77" s="355"/>
      <c r="BJ77" s="355"/>
      <c r="BK77" s="355"/>
      <c r="BL77" s="355"/>
      <c r="BM77" s="355"/>
      <c r="BN77" s="355"/>
      <c r="BO77" s="355"/>
      <c r="BP77" s="355"/>
      <c r="BQ77" s="355"/>
      <c r="BR77" s="355"/>
      <c r="BS77" s="355"/>
      <c r="BT77" s="355"/>
      <c r="BU77" s="355"/>
      <c r="BV77" s="355"/>
      <c r="BW77" s="355"/>
      <c r="BX77" s="355"/>
    </row>
    <row r="78" spans="1:76" s="27" customFormat="1">
      <c r="A78" s="355"/>
      <c r="B78" s="355"/>
      <c r="C78" s="115" t="str">
        <f t="shared" si="21"/>
        <v/>
      </c>
      <c r="D78" s="123" t="str">
        <f t="shared" si="22"/>
        <v/>
      </c>
      <c r="E78" s="232" t="str">
        <f>IF(OR(AF78&lt;&gt;"",AO78&lt;&gt;""),IF(MAX(AF78,AO78)&gt;ABS(MIN(AF78,AO78)),MAX(AF78,AO78),IF(AND($N$9=2,'Shear(M)'!B120="#",'Shear(M)'!B119="#",'Shear(M)'!B121="#"),E77,MIN(AF78,AO78))),"")</f>
        <v/>
      </c>
      <c r="F78" s="232" t="str">
        <f t="shared" si="23"/>
        <v/>
      </c>
      <c r="G78" s="115" t="e">
        <f>IF(AND($N$9=2,'Shear(M)'!B120="#",'Shear(M)'!B119="#",'Shear(M)'!B121="#"),G77,IF(OR(AH78&lt;&gt;"",AQ78&lt;&gt;""),MAX(AH78,AQ78),""))</f>
        <v>#VALUE!</v>
      </c>
      <c r="H78" s="115" t="e">
        <f>IF(AND($N$9=2,'Shear(M)'!B120="#",'Shear(M)'!B119="#",'Shear(M)'!B121="#"),H77,IF(OR(AI78&lt;&gt;"",AR78&lt;&gt;""),MIN(AI78,AR78),""))</f>
        <v>#VALUE!</v>
      </c>
      <c r="I78" s="115" t="e">
        <f>IF(AND($N$9=2,'Shear(M)'!B120="#",'Shear(M)'!B119="#",'Shear(M)'!B121="#"),I77,IF(OR(AJ78&lt;&gt;"",AS78&lt;&gt;""),MAX(AJ78,AS78),""))</f>
        <v>#VALUE!</v>
      </c>
      <c r="J78" s="115" t="e">
        <f>IF(AND($N$9=2,'Shear(M)'!B120="#",'Shear(M)'!B119="#",'Shear(M)'!B121="#"),J77,IF(OR(AK78&lt;&gt;"",AT78&lt;&gt;""),MIN(AK78,AT78),""))</f>
        <v>#VALUE!</v>
      </c>
      <c r="K78" s="232" t="str">
        <f t="shared" si="24"/>
        <v/>
      </c>
      <c r="L78" s="232" t="str">
        <f t="shared" si="25"/>
        <v/>
      </c>
      <c r="M78" s="660" t="str">
        <f t="shared" si="26"/>
        <v/>
      </c>
      <c r="N78" s="355"/>
      <c r="O78" s="355"/>
      <c r="P78" s="355"/>
      <c r="Q78" s="355"/>
      <c r="R78" s="600" t="str">
        <f t="shared" si="27"/>
        <v>NA</v>
      </c>
      <c r="S78" s="600"/>
      <c r="T78" s="600"/>
      <c r="U78" s="600"/>
      <c r="V78" s="600"/>
      <c r="W78" s="600"/>
      <c r="X78" s="600"/>
      <c r="Y78" s="600"/>
      <c r="Z78" s="600"/>
      <c r="AA78" s="600"/>
      <c r="AB78" s="600"/>
      <c r="AC78" s="600"/>
      <c r="AD78" s="600">
        <v>67</v>
      </c>
      <c r="AE78" s="600"/>
      <c r="AF78" s="600" t="str">
        <f t="shared" si="28"/>
        <v/>
      </c>
      <c r="AG78" s="600" t="str">
        <f t="shared" si="29"/>
        <v/>
      </c>
      <c r="AH78" s="600" t="str">
        <f t="shared" si="30"/>
        <v/>
      </c>
      <c r="AI78" s="600" t="str">
        <f t="shared" si="31"/>
        <v/>
      </c>
      <c r="AJ78" s="600" t="str">
        <f t="shared" si="32"/>
        <v/>
      </c>
      <c r="AK78" s="600" t="str">
        <f t="shared" si="33"/>
        <v/>
      </c>
      <c r="AL78" s="600" t="str">
        <f t="shared" si="34"/>
        <v/>
      </c>
      <c r="AM78" s="600" t="str">
        <f t="shared" si="35"/>
        <v/>
      </c>
      <c r="AN78" s="600"/>
      <c r="AO78" s="600" t="str">
        <f t="shared" si="20"/>
        <v/>
      </c>
      <c r="AP78" s="600" t="str">
        <f t="shared" si="20"/>
        <v/>
      </c>
      <c r="AQ78" s="600" t="str">
        <f t="shared" si="20"/>
        <v/>
      </c>
      <c r="AR78" s="600" t="str">
        <f t="shared" si="20"/>
        <v/>
      </c>
      <c r="AS78" s="600" t="str">
        <f t="shared" si="20"/>
        <v/>
      </c>
      <c r="AT78" s="600" t="str">
        <f t="shared" si="20"/>
        <v/>
      </c>
      <c r="AU78" s="600" t="str">
        <f t="shared" si="20"/>
        <v/>
      </c>
      <c r="AV78" s="600" t="str">
        <f t="shared" si="20"/>
        <v/>
      </c>
      <c r="AW78" s="600"/>
      <c r="AX78" s="600"/>
      <c r="AY78" s="600"/>
      <c r="AZ78" s="600"/>
      <c r="BA78" s="355"/>
      <c r="BB78" s="355"/>
      <c r="BC78" s="355"/>
      <c r="BD78" s="355"/>
      <c r="BE78" s="355"/>
      <c r="BF78" s="355"/>
      <c r="BG78" s="355"/>
      <c r="BH78" s="355"/>
      <c r="BI78" s="355"/>
      <c r="BJ78" s="355"/>
      <c r="BK78" s="355"/>
      <c r="BL78" s="355"/>
      <c r="BM78" s="355"/>
      <c r="BN78" s="355"/>
      <c r="BO78" s="355"/>
      <c r="BP78" s="355"/>
      <c r="BQ78" s="355"/>
      <c r="BR78" s="355"/>
      <c r="BS78" s="355"/>
      <c r="BT78" s="355"/>
      <c r="BU78" s="355"/>
      <c r="BV78" s="355"/>
      <c r="BW78" s="355"/>
      <c r="BX78" s="355"/>
    </row>
    <row r="79" spans="1:76" s="27" customFormat="1">
      <c r="A79" s="355"/>
      <c r="B79" s="355"/>
      <c r="C79" s="115" t="str">
        <f t="shared" si="21"/>
        <v/>
      </c>
      <c r="D79" s="123" t="str">
        <f t="shared" si="22"/>
        <v/>
      </c>
      <c r="E79" s="232" t="str">
        <f>IF(OR(AF79&lt;&gt;"",AO79&lt;&gt;""),IF(MAX(AF79,AO79)&gt;ABS(MIN(AF79,AO79)),MAX(AF79,AO79),IF(AND($N$9=2,'Shear(M)'!B121="#",'Shear(M)'!B120="#",'Shear(M)'!B122="#"),E78,MIN(AF79,AO79))),"")</f>
        <v/>
      </c>
      <c r="F79" s="232" t="str">
        <f t="shared" si="23"/>
        <v/>
      </c>
      <c r="G79" s="115" t="e">
        <f>IF(AND($N$9=2,'Shear(M)'!B121="#",'Shear(M)'!B120="#",'Shear(M)'!B122="#"),G78,IF(OR(AH79&lt;&gt;"",AQ79&lt;&gt;""),MAX(AH79,AQ79),""))</f>
        <v>#VALUE!</v>
      </c>
      <c r="H79" s="115" t="e">
        <f>IF(AND($N$9=2,'Shear(M)'!B121="#",'Shear(M)'!B120="#",'Shear(M)'!B122="#"),H78,IF(OR(AI79&lt;&gt;"",AR79&lt;&gt;""),MIN(AI79,AR79),""))</f>
        <v>#VALUE!</v>
      </c>
      <c r="I79" s="115" t="e">
        <f>IF(AND($N$9=2,'Shear(M)'!B121="#",'Shear(M)'!B120="#",'Shear(M)'!B122="#"),I78,IF(OR(AJ79&lt;&gt;"",AS79&lt;&gt;""),MAX(AJ79,AS79),""))</f>
        <v>#VALUE!</v>
      </c>
      <c r="J79" s="115" t="e">
        <f>IF(AND($N$9=2,'Shear(M)'!B121="#",'Shear(M)'!B120="#",'Shear(M)'!B122="#"),J78,IF(OR(AK79&lt;&gt;"",AT79&lt;&gt;""),MIN(AK79,AT79),""))</f>
        <v>#VALUE!</v>
      </c>
      <c r="K79" s="232" t="str">
        <f t="shared" si="24"/>
        <v/>
      </c>
      <c r="L79" s="232" t="str">
        <f t="shared" si="25"/>
        <v/>
      </c>
      <c r="M79" s="660" t="str">
        <f t="shared" si="26"/>
        <v/>
      </c>
      <c r="N79" s="355"/>
      <c r="O79" s="355"/>
      <c r="P79" s="355"/>
      <c r="Q79" s="355"/>
      <c r="R79" s="600" t="str">
        <f t="shared" si="27"/>
        <v>NA</v>
      </c>
      <c r="S79" s="600"/>
      <c r="T79" s="600"/>
      <c r="U79" s="600"/>
      <c r="V79" s="600"/>
      <c r="W79" s="600"/>
      <c r="X79" s="600"/>
      <c r="Y79" s="600"/>
      <c r="Z79" s="600"/>
      <c r="AA79" s="600"/>
      <c r="AB79" s="600"/>
      <c r="AC79" s="600"/>
      <c r="AD79" s="600">
        <v>68</v>
      </c>
      <c r="AE79" s="600"/>
      <c r="AF79" s="600" t="str">
        <f t="shared" si="28"/>
        <v/>
      </c>
      <c r="AG79" s="600" t="str">
        <f t="shared" si="29"/>
        <v/>
      </c>
      <c r="AH79" s="600" t="str">
        <f t="shared" si="30"/>
        <v/>
      </c>
      <c r="AI79" s="600" t="str">
        <f t="shared" si="31"/>
        <v/>
      </c>
      <c r="AJ79" s="600" t="str">
        <f t="shared" si="32"/>
        <v/>
      </c>
      <c r="AK79" s="600" t="str">
        <f t="shared" si="33"/>
        <v/>
      </c>
      <c r="AL79" s="600" t="str">
        <f t="shared" si="34"/>
        <v/>
      </c>
      <c r="AM79" s="600" t="str">
        <f t="shared" si="35"/>
        <v/>
      </c>
      <c r="AN79" s="600"/>
      <c r="AO79" s="600" t="str">
        <f t="shared" si="20"/>
        <v/>
      </c>
      <c r="AP79" s="600" t="str">
        <f t="shared" si="20"/>
        <v/>
      </c>
      <c r="AQ79" s="600" t="str">
        <f t="shared" si="20"/>
        <v/>
      </c>
      <c r="AR79" s="600" t="str">
        <f t="shared" si="20"/>
        <v/>
      </c>
      <c r="AS79" s="600" t="str">
        <f t="shared" si="20"/>
        <v/>
      </c>
      <c r="AT79" s="600" t="str">
        <f t="shared" si="20"/>
        <v/>
      </c>
      <c r="AU79" s="600" t="str">
        <f t="shared" si="20"/>
        <v/>
      </c>
      <c r="AV79" s="600" t="str">
        <f t="shared" si="20"/>
        <v/>
      </c>
      <c r="AW79" s="600"/>
      <c r="AX79" s="600"/>
      <c r="AY79" s="600"/>
      <c r="AZ79" s="600"/>
      <c r="BA79" s="355"/>
      <c r="BB79" s="355"/>
      <c r="BC79" s="355"/>
      <c r="BD79" s="355"/>
      <c r="BE79" s="355"/>
      <c r="BF79" s="355"/>
      <c r="BG79" s="355"/>
      <c r="BH79" s="355"/>
      <c r="BI79" s="355"/>
      <c r="BJ79" s="355"/>
      <c r="BK79" s="355"/>
      <c r="BL79" s="355"/>
      <c r="BM79" s="355"/>
      <c r="BN79" s="355"/>
      <c r="BO79" s="355"/>
      <c r="BP79" s="355"/>
      <c r="BQ79" s="355"/>
      <c r="BR79" s="355"/>
      <c r="BS79" s="355"/>
      <c r="BT79" s="355"/>
      <c r="BU79" s="355"/>
      <c r="BV79" s="355"/>
      <c r="BW79" s="355"/>
      <c r="BX79" s="355"/>
    </row>
    <row r="80" spans="1:76" s="25" customFormat="1">
      <c r="A80" s="343"/>
      <c r="B80" s="343"/>
      <c r="C80" s="115" t="str">
        <f t="shared" si="21"/>
        <v/>
      </c>
      <c r="D80" s="123" t="str">
        <f t="shared" si="22"/>
        <v/>
      </c>
      <c r="E80" s="232" t="str">
        <f>IF(OR(AF80&lt;&gt;"",AO80&lt;&gt;""),IF(MAX(AF80,AO80)&gt;ABS(MIN(AF80,AO80)),MAX(AF80,AO80),IF(AND($N$9=2,'Shear(M)'!B122="#",'Shear(M)'!B121="#",'Shear(M)'!B123="#"),E79,MIN(AF80,AO80))),"")</f>
        <v/>
      </c>
      <c r="F80" s="232" t="str">
        <f t="shared" si="23"/>
        <v/>
      </c>
      <c r="G80" s="115" t="e">
        <f>IF(AND($N$9=2,'Shear(M)'!B122="#",'Shear(M)'!B121="#",'Shear(M)'!B123="#"),G79,IF(OR(AH80&lt;&gt;"",AQ80&lt;&gt;""),MAX(AH80,AQ80),""))</f>
        <v>#VALUE!</v>
      </c>
      <c r="H80" s="115" t="e">
        <f>IF(AND($N$9=2,'Shear(M)'!B122="#",'Shear(M)'!B121="#",'Shear(M)'!B123="#"),H79,IF(OR(AI80&lt;&gt;"",AR80&lt;&gt;""),MIN(AI80,AR80),""))</f>
        <v>#VALUE!</v>
      </c>
      <c r="I80" s="115" t="e">
        <f>IF(AND($N$9=2,'Shear(M)'!B122="#",'Shear(M)'!B121="#",'Shear(M)'!B123="#"),I79,IF(OR(AJ80&lt;&gt;"",AS80&lt;&gt;""),MAX(AJ80,AS80),""))</f>
        <v>#VALUE!</v>
      </c>
      <c r="J80" s="115" t="e">
        <f>IF(AND($N$9=2,'Shear(M)'!B122="#",'Shear(M)'!B121="#",'Shear(M)'!B123="#"),J79,IF(OR(AK80&lt;&gt;"",AT80&lt;&gt;""),MIN(AK80,AT80),""))</f>
        <v>#VALUE!</v>
      </c>
      <c r="K80" s="232" t="str">
        <f t="shared" si="24"/>
        <v/>
      </c>
      <c r="L80" s="232" t="str">
        <f t="shared" si="25"/>
        <v/>
      </c>
      <c r="M80" s="660" t="str">
        <f t="shared" si="26"/>
        <v/>
      </c>
      <c r="N80" s="355"/>
      <c r="O80" s="355"/>
      <c r="P80" s="355"/>
      <c r="Q80" s="355"/>
      <c r="R80" s="600" t="str">
        <f t="shared" si="27"/>
        <v>NA</v>
      </c>
      <c r="S80" s="600"/>
      <c r="T80" s="600"/>
      <c r="U80" s="600"/>
      <c r="V80" s="600"/>
      <c r="W80" s="600"/>
      <c r="X80" s="600"/>
      <c r="Y80" s="600"/>
      <c r="Z80" s="600"/>
      <c r="AA80" s="482"/>
      <c r="AB80" s="482"/>
      <c r="AC80" s="482"/>
      <c r="AD80" s="600">
        <v>69</v>
      </c>
      <c r="AE80" s="482"/>
      <c r="AF80" s="600" t="str">
        <f t="shared" si="28"/>
        <v/>
      </c>
      <c r="AG80" s="600" t="str">
        <f t="shared" si="29"/>
        <v/>
      </c>
      <c r="AH80" s="600" t="str">
        <f t="shared" si="30"/>
        <v/>
      </c>
      <c r="AI80" s="600" t="str">
        <f t="shared" si="31"/>
        <v/>
      </c>
      <c r="AJ80" s="600" t="str">
        <f t="shared" si="32"/>
        <v/>
      </c>
      <c r="AK80" s="600" t="str">
        <f t="shared" si="33"/>
        <v/>
      </c>
      <c r="AL80" s="600" t="str">
        <f t="shared" si="34"/>
        <v/>
      </c>
      <c r="AM80" s="600" t="str">
        <f t="shared" si="35"/>
        <v/>
      </c>
      <c r="AN80" s="600"/>
      <c r="AO80" s="600" t="str">
        <f t="shared" si="20"/>
        <v/>
      </c>
      <c r="AP80" s="600" t="str">
        <f t="shared" si="20"/>
        <v/>
      </c>
      <c r="AQ80" s="600" t="str">
        <f t="shared" si="20"/>
        <v/>
      </c>
      <c r="AR80" s="600" t="str">
        <f t="shared" si="20"/>
        <v/>
      </c>
      <c r="AS80" s="600" t="str">
        <f t="shared" si="20"/>
        <v/>
      </c>
      <c r="AT80" s="600" t="str">
        <f t="shared" si="20"/>
        <v/>
      </c>
      <c r="AU80" s="600" t="str">
        <f t="shared" si="20"/>
        <v/>
      </c>
      <c r="AV80" s="600" t="str">
        <f t="shared" si="20"/>
        <v/>
      </c>
      <c r="AW80" s="482"/>
      <c r="AX80" s="482"/>
      <c r="AY80" s="482"/>
      <c r="AZ80" s="482"/>
      <c r="BA80" s="343"/>
      <c r="BB80" s="343"/>
      <c r="BC80" s="343"/>
      <c r="BD80" s="343"/>
      <c r="BE80" s="343"/>
      <c r="BF80" s="343"/>
      <c r="BG80" s="343"/>
      <c r="BH80" s="343"/>
      <c r="BI80" s="343"/>
      <c r="BJ80" s="343"/>
      <c r="BK80" s="343"/>
      <c r="BL80" s="343"/>
      <c r="BM80" s="343"/>
      <c r="BN80" s="343"/>
      <c r="BO80" s="343"/>
      <c r="BP80" s="343"/>
      <c r="BQ80" s="343"/>
      <c r="BR80" s="343"/>
      <c r="BS80" s="343"/>
      <c r="BT80" s="343"/>
      <c r="BU80" s="343"/>
      <c r="BV80" s="343"/>
      <c r="BW80" s="343"/>
      <c r="BX80" s="343"/>
    </row>
    <row r="81" spans="1:76" s="25" customFormat="1">
      <c r="A81" s="343"/>
      <c r="B81" s="343"/>
      <c r="C81" s="115" t="str">
        <f t="shared" si="21"/>
        <v/>
      </c>
      <c r="D81" s="123" t="str">
        <f t="shared" si="22"/>
        <v/>
      </c>
      <c r="E81" s="232" t="str">
        <f>IF(OR(AF81&lt;&gt;"",AO81&lt;&gt;""),IF(MAX(AF81,AO81)&gt;ABS(MIN(AF81,AO81)),MAX(AF81,AO81),IF(AND($N$9=2,'Shear(M)'!B123="#",'Shear(M)'!B122="#",'Shear(M)'!B124="#"),E80,MIN(AF81,AO81))),"")</f>
        <v/>
      </c>
      <c r="F81" s="232" t="str">
        <f t="shared" si="23"/>
        <v/>
      </c>
      <c r="G81" s="115" t="e">
        <f>IF(AND($N$9=2,'Shear(M)'!B123="#",'Shear(M)'!B122="#",'Shear(M)'!B124="#"),G80,IF(OR(AH81&lt;&gt;"",AQ81&lt;&gt;""),MAX(AH81,AQ81),""))</f>
        <v>#VALUE!</v>
      </c>
      <c r="H81" s="115" t="e">
        <f>IF(AND($N$9=2,'Shear(M)'!B123="#",'Shear(M)'!B122="#",'Shear(M)'!B124="#"),H80,IF(OR(AI81&lt;&gt;"",AR81&lt;&gt;""),MIN(AI81,AR81),""))</f>
        <v>#VALUE!</v>
      </c>
      <c r="I81" s="115" t="e">
        <f>IF(AND($N$9=2,'Shear(M)'!B123="#",'Shear(M)'!B122="#",'Shear(M)'!B124="#"),I80,IF(OR(AJ81&lt;&gt;"",AS81&lt;&gt;""),MAX(AJ81,AS81),""))</f>
        <v>#VALUE!</v>
      </c>
      <c r="J81" s="115" t="e">
        <f>IF(AND($N$9=2,'Shear(M)'!B123="#",'Shear(M)'!B122="#",'Shear(M)'!B124="#"),J80,IF(OR(AK81&lt;&gt;"",AT81&lt;&gt;""),MIN(AK81,AT81),""))</f>
        <v>#VALUE!</v>
      </c>
      <c r="K81" s="232" t="str">
        <f t="shared" si="24"/>
        <v/>
      </c>
      <c r="L81" s="232" t="str">
        <f t="shared" si="25"/>
        <v/>
      </c>
      <c r="M81" s="660" t="str">
        <f t="shared" si="26"/>
        <v/>
      </c>
      <c r="N81" s="355"/>
      <c r="O81" s="355"/>
      <c r="P81" s="355"/>
      <c r="Q81" s="355"/>
      <c r="R81" s="600" t="str">
        <f t="shared" si="27"/>
        <v>NA</v>
      </c>
      <c r="S81" s="600"/>
      <c r="T81" s="600"/>
      <c r="U81" s="600"/>
      <c r="V81" s="600"/>
      <c r="W81" s="600"/>
      <c r="X81" s="600"/>
      <c r="Y81" s="600"/>
      <c r="Z81" s="600"/>
      <c r="AA81" s="482"/>
      <c r="AB81" s="482"/>
      <c r="AC81" s="482"/>
      <c r="AD81" s="600">
        <v>70</v>
      </c>
      <c r="AE81" s="482"/>
      <c r="AF81" s="600" t="str">
        <f t="shared" si="28"/>
        <v/>
      </c>
      <c r="AG81" s="600" t="str">
        <f t="shared" si="29"/>
        <v/>
      </c>
      <c r="AH81" s="600" t="str">
        <f t="shared" si="30"/>
        <v/>
      </c>
      <c r="AI81" s="600" t="str">
        <f t="shared" si="31"/>
        <v/>
      </c>
      <c r="AJ81" s="600" t="str">
        <f t="shared" si="32"/>
        <v/>
      </c>
      <c r="AK81" s="600" t="str">
        <f t="shared" si="33"/>
        <v/>
      </c>
      <c r="AL81" s="600" t="str">
        <f t="shared" si="34"/>
        <v/>
      </c>
      <c r="AM81" s="600" t="str">
        <f t="shared" si="35"/>
        <v/>
      </c>
      <c r="AN81" s="600"/>
      <c r="AO81" s="600" t="str">
        <f t="shared" si="20"/>
        <v/>
      </c>
      <c r="AP81" s="600" t="str">
        <f t="shared" si="20"/>
        <v/>
      </c>
      <c r="AQ81" s="600" t="str">
        <f t="shared" si="20"/>
        <v/>
      </c>
      <c r="AR81" s="600" t="str">
        <f t="shared" si="20"/>
        <v/>
      </c>
      <c r="AS81" s="600" t="str">
        <f t="shared" si="20"/>
        <v/>
      </c>
      <c r="AT81" s="600" t="str">
        <f t="shared" si="20"/>
        <v/>
      </c>
      <c r="AU81" s="600" t="str">
        <f t="shared" si="20"/>
        <v/>
      </c>
      <c r="AV81" s="600" t="str">
        <f t="shared" si="20"/>
        <v/>
      </c>
      <c r="AW81" s="482"/>
      <c r="AX81" s="482"/>
      <c r="AY81" s="482"/>
      <c r="AZ81" s="482"/>
      <c r="BA81" s="343"/>
      <c r="BB81" s="343"/>
      <c r="BC81" s="343"/>
      <c r="BD81" s="343"/>
      <c r="BE81" s="343"/>
      <c r="BF81" s="343"/>
      <c r="BG81" s="343"/>
      <c r="BH81" s="343"/>
      <c r="BI81" s="343"/>
      <c r="BJ81" s="343"/>
      <c r="BK81" s="343"/>
      <c r="BL81" s="343"/>
      <c r="BM81" s="343"/>
      <c r="BN81" s="343"/>
      <c r="BO81" s="343"/>
      <c r="BP81" s="343"/>
      <c r="BQ81" s="343"/>
      <c r="BR81" s="343"/>
      <c r="BS81" s="343"/>
      <c r="BT81" s="343"/>
      <c r="BU81" s="343"/>
      <c r="BV81" s="343"/>
      <c r="BW81" s="343"/>
      <c r="BX81" s="343"/>
    </row>
    <row r="82" spans="1:76" s="25" customFormat="1">
      <c r="A82" s="343"/>
      <c r="B82" s="343"/>
      <c r="C82" s="115" t="str">
        <f t="shared" si="21"/>
        <v/>
      </c>
      <c r="D82" s="123" t="str">
        <f t="shared" si="22"/>
        <v/>
      </c>
      <c r="E82" s="232" t="str">
        <f>IF(OR(AF82&lt;&gt;"",AO82&lt;&gt;""),IF(MAX(AF82,AO82)&gt;ABS(MIN(AF82,AO82)),MAX(AF82,AO82),IF(AND($N$9=2,'Shear(M)'!B124="#",'Shear(M)'!B123="#",'Shear(M)'!B125="#"),E81,MIN(AF82,AO82))),"")</f>
        <v/>
      </c>
      <c r="F82" s="232" t="str">
        <f t="shared" si="23"/>
        <v/>
      </c>
      <c r="G82" s="115" t="e">
        <f>IF(AND($N$9=2,'Shear(M)'!B124="#",'Shear(M)'!B123="#",'Shear(M)'!B125="#"),G81,IF(OR(AH82&lt;&gt;"",AQ82&lt;&gt;""),MAX(AH82,AQ82),""))</f>
        <v>#VALUE!</v>
      </c>
      <c r="H82" s="115" t="e">
        <f>IF(AND($N$9=2,'Shear(M)'!B124="#",'Shear(M)'!B123="#",'Shear(M)'!B125="#"),H81,IF(OR(AI82&lt;&gt;"",AR82&lt;&gt;""),MIN(AI82,AR82),""))</f>
        <v>#VALUE!</v>
      </c>
      <c r="I82" s="115" t="e">
        <f>IF(AND($N$9=2,'Shear(M)'!B124="#",'Shear(M)'!B123="#",'Shear(M)'!B125="#"),I81,IF(OR(AJ82&lt;&gt;"",AS82&lt;&gt;""),MAX(AJ82,AS82),""))</f>
        <v>#VALUE!</v>
      </c>
      <c r="J82" s="115" t="e">
        <f>IF(AND($N$9=2,'Shear(M)'!B124="#",'Shear(M)'!B123="#",'Shear(M)'!B125="#"),J81,IF(OR(AK82&lt;&gt;"",AT82&lt;&gt;""),MIN(AK82,AT82),""))</f>
        <v>#VALUE!</v>
      </c>
      <c r="K82" s="232" t="str">
        <f t="shared" si="24"/>
        <v/>
      </c>
      <c r="L82" s="232" t="str">
        <f t="shared" si="25"/>
        <v/>
      </c>
      <c r="M82" s="660" t="str">
        <f t="shared" si="26"/>
        <v/>
      </c>
      <c r="N82" s="355"/>
      <c r="O82" s="355"/>
      <c r="P82" s="355"/>
      <c r="Q82" s="355"/>
      <c r="R82" s="600" t="str">
        <f t="shared" si="27"/>
        <v>NA</v>
      </c>
      <c r="S82" s="600"/>
      <c r="T82" s="600"/>
      <c r="U82" s="600"/>
      <c r="V82" s="600"/>
      <c r="W82" s="600"/>
      <c r="X82" s="600"/>
      <c r="Y82" s="600"/>
      <c r="Z82" s="600"/>
      <c r="AA82" s="482"/>
      <c r="AB82" s="482"/>
      <c r="AC82" s="482"/>
      <c r="AD82" s="600">
        <v>71</v>
      </c>
      <c r="AE82" s="482"/>
      <c r="AF82" s="600" t="str">
        <f t="shared" si="28"/>
        <v/>
      </c>
      <c r="AG82" s="600" t="str">
        <f t="shared" si="29"/>
        <v/>
      </c>
      <c r="AH82" s="600" t="str">
        <f t="shared" si="30"/>
        <v/>
      </c>
      <c r="AI82" s="600" t="str">
        <f t="shared" si="31"/>
        <v/>
      </c>
      <c r="AJ82" s="600" t="str">
        <f t="shared" si="32"/>
        <v/>
      </c>
      <c r="AK82" s="600" t="str">
        <f t="shared" si="33"/>
        <v/>
      </c>
      <c r="AL82" s="600" t="str">
        <f t="shared" si="34"/>
        <v/>
      </c>
      <c r="AM82" s="600" t="str">
        <f t="shared" si="35"/>
        <v/>
      </c>
      <c r="AN82" s="600"/>
      <c r="AO82" s="600" t="str">
        <f t="shared" si="20"/>
        <v/>
      </c>
      <c r="AP82" s="600" t="str">
        <f t="shared" si="20"/>
        <v/>
      </c>
      <c r="AQ82" s="600" t="str">
        <f t="shared" si="20"/>
        <v/>
      </c>
      <c r="AR82" s="600" t="str">
        <f t="shared" si="20"/>
        <v/>
      </c>
      <c r="AS82" s="600" t="str">
        <f t="shared" si="20"/>
        <v/>
      </c>
      <c r="AT82" s="600" t="str">
        <f t="shared" si="20"/>
        <v/>
      </c>
      <c r="AU82" s="600" t="str">
        <f t="shared" si="20"/>
        <v/>
      </c>
      <c r="AV82" s="600" t="str">
        <f t="shared" si="20"/>
        <v/>
      </c>
      <c r="AW82" s="482"/>
      <c r="AX82" s="482"/>
      <c r="AY82" s="482"/>
      <c r="AZ82" s="482"/>
      <c r="BA82" s="343"/>
      <c r="BB82" s="343"/>
      <c r="BC82" s="343"/>
      <c r="BD82" s="343"/>
      <c r="BE82" s="343"/>
      <c r="BF82" s="343"/>
      <c r="BG82" s="343"/>
      <c r="BH82" s="343"/>
      <c r="BI82" s="343"/>
      <c r="BJ82" s="343"/>
      <c r="BK82" s="343"/>
      <c r="BL82" s="343"/>
      <c r="BM82" s="343"/>
      <c r="BN82" s="343"/>
      <c r="BO82" s="343"/>
      <c r="BP82" s="343"/>
      <c r="BQ82" s="343"/>
      <c r="BR82" s="343"/>
      <c r="BS82" s="343"/>
      <c r="BT82" s="343"/>
      <c r="BU82" s="343"/>
      <c r="BV82" s="343"/>
      <c r="BW82" s="343"/>
      <c r="BX82" s="343"/>
    </row>
    <row r="83" spans="1:76" s="25" customFormat="1">
      <c r="A83" s="343"/>
      <c r="B83" s="343"/>
      <c r="C83" s="115" t="str">
        <f t="shared" si="21"/>
        <v/>
      </c>
      <c r="D83" s="123" t="str">
        <f t="shared" si="22"/>
        <v/>
      </c>
      <c r="E83" s="232" t="str">
        <f>IF(OR(AF83&lt;&gt;"",AO83&lt;&gt;""),IF(MAX(AF83,AO83)&gt;ABS(MIN(AF83,AO83)),MAX(AF83,AO83),IF(AND($N$9=2,'Shear(M)'!B125="#",'Shear(M)'!B124="#",'Shear(M)'!B126="#"),E82,MIN(AF83,AO83))),"")</f>
        <v/>
      </c>
      <c r="F83" s="232" t="str">
        <f t="shared" si="23"/>
        <v/>
      </c>
      <c r="G83" s="115" t="e">
        <f>IF(AND($N$9=2,'Shear(M)'!B125="#",'Shear(M)'!B124="#",'Shear(M)'!B126="#"),G82,IF(OR(AH83&lt;&gt;"",AQ83&lt;&gt;""),MAX(AH83,AQ83),""))</f>
        <v>#VALUE!</v>
      </c>
      <c r="H83" s="115" t="e">
        <f>IF(AND($N$9=2,'Shear(M)'!B125="#",'Shear(M)'!B124="#",'Shear(M)'!B126="#"),H82,IF(OR(AI83&lt;&gt;"",AR83&lt;&gt;""),MIN(AI83,AR83),""))</f>
        <v>#VALUE!</v>
      </c>
      <c r="I83" s="115" t="e">
        <f>IF(AND($N$9=2,'Shear(M)'!B125="#",'Shear(M)'!B124="#",'Shear(M)'!B126="#"),I82,IF(OR(AJ83&lt;&gt;"",AS83&lt;&gt;""),MAX(AJ83,AS83),""))</f>
        <v>#VALUE!</v>
      </c>
      <c r="J83" s="115" t="e">
        <f>IF(AND($N$9=2,'Shear(M)'!B125="#",'Shear(M)'!B124="#",'Shear(M)'!B126="#"),J82,IF(OR(AK83&lt;&gt;"",AT83&lt;&gt;""),MIN(AK83,AT83),""))</f>
        <v>#VALUE!</v>
      </c>
      <c r="K83" s="232" t="str">
        <f t="shared" si="24"/>
        <v/>
      </c>
      <c r="L83" s="232" t="str">
        <f t="shared" si="25"/>
        <v/>
      </c>
      <c r="M83" s="660" t="str">
        <f t="shared" si="26"/>
        <v/>
      </c>
      <c r="N83" s="355"/>
      <c r="O83" s="355"/>
      <c r="P83" s="355"/>
      <c r="Q83" s="355"/>
      <c r="R83" s="600" t="str">
        <f t="shared" si="27"/>
        <v>NA</v>
      </c>
      <c r="S83" s="600"/>
      <c r="T83" s="600"/>
      <c r="U83" s="600"/>
      <c r="V83" s="600"/>
      <c r="W83" s="600"/>
      <c r="X83" s="600"/>
      <c r="Y83" s="600"/>
      <c r="Z83" s="600"/>
      <c r="AA83" s="482"/>
      <c r="AB83" s="482"/>
      <c r="AC83" s="482"/>
      <c r="AD83" s="600">
        <v>72</v>
      </c>
      <c r="AE83" s="482"/>
      <c r="AF83" s="600" t="str">
        <f t="shared" si="28"/>
        <v/>
      </c>
      <c r="AG83" s="600" t="str">
        <f t="shared" si="29"/>
        <v/>
      </c>
      <c r="AH83" s="600" t="str">
        <f t="shared" si="30"/>
        <v/>
      </c>
      <c r="AI83" s="600" t="str">
        <f t="shared" si="31"/>
        <v/>
      </c>
      <c r="AJ83" s="600" t="str">
        <f t="shared" si="32"/>
        <v/>
      </c>
      <c r="AK83" s="600" t="str">
        <f t="shared" si="33"/>
        <v/>
      </c>
      <c r="AL83" s="600" t="str">
        <f t="shared" si="34"/>
        <v/>
      </c>
      <c r="AM83" s="600" t="str">
        <f t="shared" si="35"/>
        <v/>
      </c>
      <c r="AN83" s="600"/>
      <c r="AO83" s="600" t="str">
        <f t="shared" si="20"/>
        <v/>
      </c>
      <c r="AP83" s="600" t="str">
        <f t="shared" si="20"/>
        <v/>
      </c>
      <c r="AQ83" s="600" t="str">
        <f t="shared" si="20"/>
        <v/>
      </c>
      <c r="AR83" s="600" t="str">
        <f t="shared" si="20"/>
        <v/>
      </c>
      <c r="AS83" s="600" t="str">
        <f t="shared" si="20"/>
        <v/>
      </c>
      <c r="AT83" s="600" t="str">
        <f t="shared" si="20"/>
        <v/>
      </c>
      <c r="AU83" s="600" t="str">
        <f t="shared" si="20"/>
        <v/>
      </c>
      <c r="AV83" s="600" t="str">
        <f t="shared" si="20"/>
        <v/>
      </c>
      <c r="AW83" s="482"/>
      <c r="AX83" s="482"/>
      <c r="AY83" s="482"/>
      <c r="AZ83" s="482"/>
      <c r="BA83" s="343"/>
      <c r="BB83" s="343"/>
      <c r="BC83" s="343"/>
      <c r="BD83" s="343"/>
      <c r="BE83" s="343"/>
      <c r="BF83" s="343"/>
      <c r="BG83" s="343"/>
      <c r="BH83" s="343"/>
      <c r="BI83" s="343"/>
      <c r="BJ83" s="343"/>
      <c r="BK83" s="343"/>
      <c r="BL83" s="343"/>
      <c r="BM83" s="343"/>
      <c r="BN83" s="343"/>
      <c r="BO83" s="343"/>
      <c r="BP83" s="343"/>
      <c r="BQ83" s="343"/>
      <c r="BR83" s="343"/>
      <c r="BS83" s="343"/>
      <c r="BT83" s="343"/>
      <c r="BU83" s="343"/>
      <c r="BV83" s="343"/>
      <c r="BW83" s="343"/>
      <c r="BX83" s="343"/>
    </row>
    <row r="84" spans="1:76" s="25" customFormat="1">
      <c r="A84" s="343"/>
      <c r="B84" s="343"/>
      <c r="C84" s="115" t="str">
        <f t="shared" si="21"/>
        <v/>
      </c>
      <c r="D84" s="123" t="str">
        <f t="shared" si="22"/>
        <v/>
      </c>
      <c r="E84" s="232" t="str">
        <f>IF(OR(AF84&lt;&gt;"",AO84&lt;&gt;""),IF(MAX(AF84,AO84)&gt;ABS(MIN(AF84,AO84)),MAX(AF84,AO84),IF(AND($N$9=2,'Shear(M)'!B126="#",'Shear(M)'!B125="#",'Shear(M)'!B127="#"),E83,MIN(AF84,AO84))),"")</f>
        <v/>
      </c>
      <c r="F84" s="232" t="str">
        <f t="shared" si="23"/>
        <v/>
      </c>
      <c r="G84" s="115" t="e">
        <f>IF(AND($N$9=2,'Shear(M)'!B126="#",'Shear(M)'!B125="#",'Shear(M)'!B127="#"),G83,IF(OR(AH84&lt;&gt;"",AQ84&lt;&gt;""),MAX(AH84,AQ84),""))</f>
        <v>#VALUE!</v>
      </c>
      <c r="H84" s="115" t="e">
        <f>IF(AND($N$9=2,'Shear(M)'!B126="#",'Shear(M)'!B125="#",'Shear(M)'!B127="#"),H83,IF(OR(AI84&lt;&gt;"",AR84&lt;&gt;""),MIN(AI84,AR84),""))</f>
        <v>#VALUE!</v>
      </c>
      <c r="I84" s="115" t="e">
        <f>IF(AND($N$9=2,'Shear(M)'!B126="#",'Shear(M)'!B125="#",'Shear(M)'!B127="#"),I83,IF(OR(AJ84&lt;&gt;"",AS84&lt;&gt;""),MAX(AJ84,AS84),""))</f>
        <v>#VALUE!</v>
      </c>
      <c r="J84" s="115" t="e">
        <f>IF(AND($N$9=2,'Shear(M)'!B126="#",'Shear(M)'!B125="#",'Shear(M)'!B127="#"),J83,IF(OR(AK84&lt;&gt;"",AT84&lt;&gt;""),MIN(AK84,AT84),""))</f>
        <v>#VALUE!</v>
      </c>
      <c r="K84" s="232" t="str">
        <f t="shared" si="24"/>
        <v/>
      </c>
      <c r="L84" s="232" t="str">
        <f t="shared" si="25"/>
        <v/>
      </c>
      <c r="M84" s="660" t="str">
        <f t="shared" si="26"/>
        <v/>
      </c>
      <c r="N84" s="355"/>
      <c r="O84" s="355"/>
      <c r="P84" s="355"/>
      <c r="Q84" s="355"/>
      <c r="R84" s="600" t="str">
        <f t="shared" si="27"/>
        <v>NA</v>
      </c>
      <c r="S84" s="600"/>
      <c r="T84" s="600"/>
      <c r="U84" s="600"/>
      <c r="V84" s="600"/>
      <c r="W84" s="600"/>
      <c r="X84" s="600"/>
      <c r="Y84" s="600"/>
      <c r="Z84" s="600"/>
      <c r="AA84" s="482"/>
      <c r="AB84" s="482"/>
      <c r="AC84" s="482"/>
      <c r="AD84" s="600">
        <v>73</v>
      </c>
      <c r="AE84" s="482"/>
      <c r="AF84" s="600" t="str">
        <f t="shared" si="28"/>
        <v/>
      </c>
      <c r="AG84" s="600" t="str">
        <f t="shared" si="29"/>
        <v/>
      </c>
      <c r="AH84" s="600" t="str">
        <f t="shared" si="30"/>
        <v/>
      </c>
      <c r="AI84" s="600" t="str">
        <f t="shared" si="31"/>
        <v/>
      </c>
      <c r="AJ84" s="600" t="str">
        <f t="shared" si="32"/>
        <v/>
      </c>
      <c r="AK84" s="600" t="str">
        <f t="shared" si="33"/>
        <v/>
      </c>
      <c r="AL84" s="600" t="str">
        <f t="shared" si="34"/>
        <v/>
      </c>
      <c r="AM84" s="600" t="str">
        <f t="shared" si="35"/>
        <v/>
      </c>
      <c r="AN84" s="600"/>
      <c r="AO84" s="600" t="str">
        <f t="shared" si="20"/>
        <v/>
      </c>
      <c r="AP84" s="600" t="str">
        <f t="shared" si="20"/>
        <v/>
      </c>
      <c r="AQ84" s="600" t="str">
        <f t="shared" si="20"/>
        <v/>
      </c>
      <c r="AR84" s="600" t="str">
        <f t="shared" si="20"/>
        <v/>
      </c>
      <c r="AS84" s="600" t="str">
        <f t="shared" si="20"/>
        <v/>
      </c>
      <c r="AT84" s="600" t="str">
        <f t="shared" si="20"/>
        <v/>
      </c>
      <c r="AU84" s="600" t="str">
        <f t="shared" si="20"/>
        <v/>
      </c>
      <c r="AV84" s="600" t="str">
        <f t="shared" si="20"/>
        <v/>
      </c>
      <c r="AW84" s="482"/>
      <c r="AX84" s="482"/>
      <c r="AY84" s="482"/>
      <c r="AZ84" s="482"/>
      <c r="BA84" s="343"/>
      <c r="BB84" s="343"/>
      <c r="BC84" s="343"/>
      <c r="BD84" s="343"/>
      <c r="BE84" s="343"/>
      <c r="BF84" s="343"/>
      <c r="BG84" s="343"/>
      <c r="BH84" s="343"/>
      <c r="BI84" s="343"/>
      <c r="BJ84" s="343"/>
      <c r="BK84" s="343"/>
      <c r="BL84" s="343"/>
      <c r="BM84" s="343"/>
      <c r="BN84" s="343"/>
      <c r="BO84" s="343"/>
      <c r="BP84" s="343"/>
      <c r="BQ84" s="343"/>
      <c r="BR84" s="343"/>
      <c r="BS84" s="343"/>
      <c r="BT84" s="343"/>
      <c r="BU84" s="343"/>
      <c r="BV84" s="343"/>
      <c r="BW84" s="343"/>
      <c r="BX84" s="343"/>
    </row>
    <row r="85" spans="1:76" s="25" customFormat="1">
      <c r="A85" s="343"/>
      <c r="B85" s="343"/>
      <c r="C85" s="115" t="str">
        <f t="shared" si="21"/>
        <v/>
      </c>
      <c r="D85" s="123" t="str">
        <f t="shared" si="22"/>
        <v/>
      </c>
      <c r="E85" s="232" t="str">
        <f>IF(OR(AF85&lt;&gt;"",AO85&lt;&gt;""),IF(MAX(AF85,AO85)&gt;ABS(MIN(AF85,AO85)),MAX(AF85,AO85),IF(AND($N$9=2,'Shear(M)'!B127="#",'Shear(M)'!B126="#",'Shear(M)'!B128="#"),E84,MIN(AF85,AO85))),"")</f>
        <v/>
      </c>
      <c r="F85" s="232" t="str">
        <f t="shared" si="23"/>
        <v/>
      </c>
      <c r="G85" s="115" t="e">
        <f>IF(AND($N$9=2,'Shear(M)'!B127="#",'Shear(M)'!B126="#",'Shear(M)'!B128="#"),G84,IF(OR(AH85&lt;&gt;"",AQ85&lt;&gt;""),MAX(AH85,AQ85),""))</f>
        <v>#VALUE!</v>
      </c>
      <c r="H85" s="115" t="e">
        <f>IF(AND($N$9=2,'Shear(M)'!B127="#",'Shear(M)'!B126="#",'Shear(M)'!B128="#"),H84,IF(OR(AI85&lt;&gt;"",AR85&lt;&gt;""),MIN(AI85,AR85),""))</f>
        <v>#VALUE!</v>
      </c>
      <c r="I85" s="115" t="e">
        <f>IF(AND($N$9=2,'Shear(M)'!B127="#",'Shear(M)'!B126="#",'Shear(M)'!B128="#"),I84,IF(OR(AJ85&lt;&gt;"",AS85&lt;&gt;""),MAX(AJ85,AS85),""))</f>
        <v>#VALUE!</v>
      </c>
      <c r="J85" s="115" t="e">
        <f>IF(AND($N$9=2,'Shear(M)'!B127="#",'Shear(M)'!B126="#",'Shear(M)'!B128="#"),J84,IF(OR(AK85&lt;&gt;"",AT85&lt;&gt;""),MIN(AK85,AT85),""))</f>
        <v>#VALUE!</v>
      </c>
      <c r="K85" s="232" t="str">
        <f t="shared" si="24"/>
        <v/>
      </c>
      <c r="L85" s="232" t="str">
        <f t="shared" si="25"/>
        <v/>
      </c>
      <c r="M85" s="660" t="str">
        <f t="shared" si="26"/>
        <v/>
      </c>
      <c r="N85" s="355"/>
      <c r="O85" s="355"/>
      <c r="P85" s="355"/>
      <c r="Q85" s="355"/>
      <c r="R85" s="600" t="str">
        <f t="shared" si="27"/>
        <v>NA</v>
      </c>
      <c r="S85" s="600"/>
      <c r="T85" s="600"/>
      <c r="U85" s="600"/>
      <c r="V85" s="600"/>
      <c r="W85" s="600"/>
      <c r="X85" s="600"/>
      <c r="Y85" s="600"/>
      <c r="Z85" s="600"/>
      <c r="AA85" s="482"/>
      <c r="AB85" s="482"/>
      <c r="AC85" s="482"/>
      <c r="AD85" s="600">
        <v>74</v>
      </c>
      <c r="AE85" s="482"/>
      <c r="AF85" s="600" t="str">
        <f t="shared" si="28"/>
        <v/>
      </c>
      <c r="AG85" s="600" t="str">
        <f t="shared" si="29"/>
        <v/>
      </c>
      <c r="AH85" s="600" t="str">
        <f t="shared" si="30"/>
        <v/>
      </c>
      <c r="AI85" s="600" t="str">
        <f t="shared" si="31"/>
        <v/>
      </c>
      <c r="AJ85" s="600" t="str">
        <f t="shared" si="32"/>
        <v/>
      </c>
      <c r="AK85" s="600" t="str">
        <f t="shared" si="33"/>
        <v/>
      </c>
      <c r="AL85" s="600" t="str">
        <f t="shared" si="34"/>
        <v/>
      </c>
      <c r="AM85" s="600" t="str">
        <f t="shared" si="35"/>
        <v/>
      </c>
      <c r="AN85" s="600"/>
      <c r="AO85" s="600" t="str">
        <f t="shared" si="20"/>
        <v/>
      </c>
      <c r="AP85" s="600" t="str">
        <f t="shared" si="20"/>
        <v/>
      </c>
      <c r="AQ85" s="600" t="str">
        <f t="shared" si="20"/>
        <v/>
      </c>
      <c r="AR85" s="600" t="str">
        <f t="shared" si="20"/>
        <v/>
      </c>
      <c r="AS85" s="600" t="str">
        <f t="shared" si="20"/>
        <v/>
      </c>
      <c r="AT85" s="600" t="str">
        <f t="shared" si="20"/>
        <v/>
      </c>
      <c r="AU85" s="600" t="str">
        <f t="shared" si="20"/>
        <v/>
      </c>
      <c r="AV85" s="600" t="str">
        <f t="shared" si="20"/>
        <v/>
      </c>
      <c r="AW85" s="482"/>
      <c r="AX85" s="482"/>
      <c r="AY85" s="482"/>
      <c r="AZ85" s="482"/>
      <c r="BA85" s="343"/>
      <c r="BB85" s="343"/>
      <c r="BC85" s="343"/>
      <c r="BD85" s="343"/>
      <c r="BE85" s="343"/>
      <c r="BF85" s="343"/>
      <c r="BG85" s="343"/>
      <c r="BH85" s="343"/>
      <c r="BI85" s="343"/>
      <c r="BJ85" s="343"/>
      <c r="BK85" s="343"/>
      <c r="BL85" s="343"/>
      <c r="BM85" s="343"/>
      <c r="BN85" s="343"/>
      <c r="BO85" s="343"/>
      <c r="BP85" s="343"/>
      <c r="BQ85" s="343"/>
      <c r="BR85" s="343"/>
      <c r="BS85" s="343"/>
      <c r="BT85" s="343"/>
      <c r="BU85" s="343"/>
      <c r="BV85" s="343"/>
      <c r="BW85" s="343"/>
      <c r="BX85" s="343"/>
    </row>
    <row r="86" spans="1:76" s="25" customFormat="1">
      <c r="A86" s="343"/>
      <c r="B86" s="343"/>
      <c r="C86" s="115" t="str">
        <f t="shared" si="21"/>
        <v/>
      </c>
      <c r="D86" s="123" t="str">
        <f t="shared" si="22"/>
        <v/>
      </c>
      <c r="E86" s="232" t="str">
        <f>IF(OR(AF86&lt;&gt;"",AO86&lt;&gt;""),IF(MAX(AF86,AO86)&gt;ABS(MIN(AF86,AO86)),MAX(AF86,AO86),IF(AND($N$9=2,'Shear(M)'!B128="#",'Shear(M)'!B127="#",'Shear(M)'!B129="#"),E85,MIN(AF86,AO86))),"")</f>
        <v/>
      </c>
      <c r="F86" s="232" t="str">
        <f t="shared" si="23"/>
        <v/>
      </c>
      <c r="G86" s="115" t="e">
        <f>IF(AND($N$9=2,'Shear(M)'!B128="#",'Shear(M)'!B127="#",'Shear(M)'!B129="#"),G85,IF(OR(AH86&lt;&gt;"",AQ86&lt;&gt;""),MAX(AH86,AQ86),""))</f>
        <v>#VALUE!</v>
      </c>
      <c r="H86" s="115" t="e">
        <f>IF(AND($N$9=2,'Shear(M)'!B128="#",'Shear(M)'!B127="#",'Shear(M)'!B129="#"),H85,IF(OR(AI86&lt;&gt;"",AR86&lt;&gt;""),MIN(AI86,AR86),""))</f>
        <v>#VALUE!</v>
      </c>
      <c r="I86" s="115" t="e">
        <f>IF(AND($N$9=2,'Shear(M)'!B128="#",'Shear(M)'!B127="#",'Shear(M)'!B129="#"),I85,IF(OR(AJ86&lt;&gt;"",AS86&lt;&gt;""),MAX(AJ86,AS86),""))</f>
        <v>#VALUE!</v>
      </c>
      <c r="J86" s="115" t="e">
        <f>IF(AND($N$9=2,'Shear(M)'!B128="#",'Shear(M)'!B127="#",'Shear(M)'!B129="#"),J85,IF(OR(AK86&lt;&gt;"",AT86&lt;&gt;""),MIN(AK86,AT86),""))</f>
        <v>#VALUE!</v>
      </c>
      <c r="K86" s="232" t="str">
        <f t="shared" si="24"/>
        <v/>
      </c>
      <c r="L86" s="232" t="str">
        <f t="shared" si="25"/>
        <v/>
      </c>
      <c r="M86" s="660" t="str">
        <f t="shared" si="26"/>
        <v/>
      </c>
      <c r="N86" s="355"/>
      <c r="O86" s="355"/>
      <c r="P86" s="355"/>
      <c r="Q86" s="355"/>
      <c r="R86" s="600" t="str">
        <f t="shared" si="27"/>
        <v>NA</v>
      </c>
      <c r="S86" s="600"/>
      <c r="T86" s="600"/>
      <c r="U86" s="600"/>
      <c r="V86" s="600"/>
      <c r="W86" s="600"/>
      <c r="X86" s="600"/>
      <c r="Y86" s="600"/>
      <c r="Z86" s="600"/>
      <c r="AA86" s="482"/>
      <c r="AB86" s="482"/>
      <c r="AC86" s="482"/>
      <c r="AD86" s="600">
        <v>75</v>
      </c>
      <c r="AE86" s="482"/>
      <c r="AF86" s="600" t="str">
        <f t="shared" si="28"/>
        <v/>
      </c>
      <c r="AG86" s="600" t="str">
        <f t="shared" si="29"/>
        <v/>
      </c>
      <c r="AH86" s="600" t="str">
        <f t="shared" si="30"/>
        <v/>
      </c>
      <c r="AI86" s="600" t="str">
        <f t="shared" si="31"/>
        <v/>
      </c>
      <c r="AJ86" s="600" t="str">
        <f t="shared" si="32"/>
        <v/>
      </c>
      <c r="AK86" s="600" t="str">
        <f t="shared" si="33"/>
        <v/>
      </c>
      <c r="AL86" s="600" t="str">
        <f t="shared" si="34"/>
        <v/>
      </c>
      <c r="AM86" s="600" t="str">
        <f t="shared" si="35"/>
        <v/>
      </c>
      <c r="AN86" s="600"/>
      <c r="AO86" s="600" t="str">
        <f t="shared" si="20"/>
        <v/>
      </c>
      <c r="AP86" s="600" t="str">
        <f t="shared" si="20"/>
        <v/>
      </c>
      <c r="AQ86" s="600" t="str">
        <f t="shared" si="20"/>
        <v/>
      </c>
      <c r="AR86" s="600" t="str">
        <f t="shared" si="20"/>
        <v/>
      </c>
      <c r="AS86" s="600" t="str">
        <f t="shared" si="20"/>
        <v/>
      </c>
      <c r="AT86" s="600" t="str">
        <f t="shared" si="20"/>
        <v/>
      </c>
      <c r="AU86" s="600" t="str">
        <f t="shared" si="20"/>
        <v/>
      </c>
      <c r="AV86" s="600" t="str">
        <f t="shared" si="20"/>
        <v/>
      </c>
      <c r="AW86" s="482"/>
      <c r="AX86" s="482"/>
      <c r="AY86" s="482"/>
      <c r="AZ86" s="482"/>
      <c r="BA86" s="343"/>
      <c r="BB86" s="343"/>
      <c r="BC86" s="343"/>
      <c r="BD86" s="343"/>
      <c r="BE86" s="343"/>
      <c r="BF86" s="343"/>
      <c r="BG86" s="343"/>
      <c r="BH86" s="343"/>
      <c r="BI86" s="343"/>
      <c r="BJ86" s="343"/>
      <c r="BK86" s="343"/>
      <c r="BL86" s="343"/>
      <c r="BM86" s="343"/>
      <c r="BN86" s="343"/>
      <c r="BO86" s="343"/>
      <c r="BP86" s="343"/>
      <c r="BQ86" s="343"/>
      <c r="BR86" s="343"/>
      <c r="BS86" s="343"/>
      <c r="BT86" s="343"/>
      <c r="BU86" s="343"/>
      <c r="BV86" s="343"/>
      <c r="BW86" s="343"/>
      <c r="BX86" s="343"/>
    </row>
    <row r="87" spans="1:76" s="25" customFormat="1">
      <c r="A87" s="343"/>
      <c r="B87" s="343"/>
      <c r="C87" s="115" t="str">
        <f t="shared" si="21"/>
        <v/>
      </c>
      <c r="D87" s="123" t="str">
        <f t="shared" si="22"/>
        <v/>
      </c>
      <c r="E87" s="232" t="str">
        <f>IF(OR(AF87&lt;&gt;"",AO87&lt;&gt;""),IF(MAX(AF87,AO87)&gt;ABS(MIN(AF87,AO87)),MAX(AF87,AO87),IF(AND($N$9=2,'Shear(M)'!B129="#",'Shear(M)'!B128="#",'Shear(M)'!B130="#"),E86,MIN(AF87,AO87))),"")</f>
        <v/>
      </c>
      <c r="F87" s="232" t="str">
        <f t="shared" si="23"/>
        <v/>
      </c>
      <c r="G87" s="115" t="e">
        <f>IF(AND($N$9=2,'Shear(M)'!B129="#",'Shear(M)'!B128="#",'Shear(M)'!B130="#"),G86,IF(OR(AH87&lt;&gt;"",AQ87&lt;&gt;""),MAX(AH87,AQ87),""))</f>
        <v>#VALUE!</v>
      </c>
      <c r="H87" s="115" t="e">
        <f>IF(AND($N$9=2,'Shear(M)'!B129="#",'Shear(M)'!B128="#",'Shear(M)'!B130="#"),H86,IF(OR(AI87&lt;&gt;"",AR87&lt;&gt;""),MIN(AI87,AR87),""))</f>
        <v>#VALUE!</v>
      </c>
      <c r="I87" s="115" t="e">
        <f>IF(AND($N$9=2,'Shear(M)'!B129="#",'Shear(M)'!B128="#",'Shear(M)'!B130="#"),I86,IF(OR(AJ87&lt;&gt;"",AS87&lt;&gt;""),MAX(AJ87,AS87),""))</f>
        <v>#VALUE!</v>
      </c>
      <c r="J87" s="115" t="e">
        <f>IF(AND($N$9=2,'Shear(M)'!B129="#",'Shear(M)'!B128="#",'Shear(M)'!B130="#"),J86,IF(OR(AK87&lt;&gt;"",AT87&lt;&gt;""),MIN(AK87,AT87),""))</f>
        <v>#VALUE!</v>
      </c>
      <c r="K87" s="232" t="str">
        <f t="shared" si="24"/>
        <v/>
      </c>
      <c r="L87" s="232" t="str">
        <f t="shared" si="25"/>
        <v/>
      </c>
      <c r="M87" s="660" t="str">
        <f t="shared" si="26"/>
        <v/>
      </c>
      <c r="N87" s="355"/>
      <c r="O87" s="355"/>
      <c r="P87" s="355"/>
      <c r="Q87" s="355"/>
      <c r="R87" s="600" t="str">
        <f t="shared" si="27"/>
        <v>NA</v>
      </c>
      <c r="S87" s="600"/>
      <c r="T87" s="600"/>
      <c r="U87" s="600"/>
      <c r="V87" s="600"/>
      <c r="W87" s="600"/>
      <c r="X87" s="600"/>
      <c r="Y87" s="600"/>
      <c r="Z87" s="600"/>
      <c r="AA87" s="482"/>
      <c r="AB87" s="482"/>
      <c r="AC87" s="482"/>
      <c r="AD87" s="600">
        <v>76</v>
      </c>
      <c r="AE87" s="482"/>
      <c r="AF87" s="600" t="str">
        <f t="shared" si="28"/>
        <v/>
      </c>
      <c r="AG87" s="600" t="str">
        <f t="shared" si="29"/>
        <v/>
      </c>
      <c r="AH87" s="600" t="str">
        <f t="shared" si="30"/>
        <v/>
      </c>
      <c r="AI87" s="600" t="str">
        <f t="shared" si="31"/>
        <v/>
      </c>
      <c r="AJ87" s="600" t="str">
        <f t="shared" si="32"/>
        <v/>
      </c>
      <c r="AK87" s="600" t="str">
        <f t="shared" si="33"/>
        <v/>
      </c>
      <c r="AL87" s="600" t="str">
        <f t="shared" si="34"/>
        <v/>
      </c>
      <c r="AM87" s="600" t="str">
        <f t="shared" si="35"/>
        <v/>
      </c>
      <c r="AN87" s="600"/>
      <c r="AO87" s="600" t="str">
        <f t="shared" si="20"/>
        <v/>
      </c>
      <c r="AP87" s="600" t="str">
        <f t="shared" si="20"/>
        <v/>
      </c>
      <c r="AQ87" s="600" t="str">
        <f t="shared" si="20"/>
        <v/>
      </c>
      <c r="AR87" s="600" t="str">
        <f t="shared" si="20"/>
        <v/>
      </c>
      <c r="AS87" s="600" t="str">
        <f t="shared" si="20"/>
        <v/>
      </c>
      <c r="AT87" s="600" t="str">
        <f t="shared" si="20"/>
        <v/>
      </c>
      <c r="AU87" s="600" t="str">
        <f t="shared" si="20"/>
        <v/>
      </c>
      <c r="AV87" s="600" t="str">
        <f t="shared" si="20"/>
        <v/>
      </c>
      <c r="AW87" s="482"/>
      <c r="AX87" s="482"/>
      <c r="AY87" s="482"/>
      <c r="AZ87" s="482"/>
      <c r="BA87" s="343"/>
      <c r="BB87" s="343"/>
      <c r="BC87" s="343"/>
      <c r="BD87" s="343"/>
      <c r="BE87" s="343"/>
      <c r="BF87" s="343"/>
      <c r="BG87" s="343"/>
      <c r="BH87" s="343"/>
      <c r="BI87" s="343"/>
      <c r="BJ87" s="343"/>
      <c r="BK87" s="343"/>
      <c r="BL87" s="343"/>
      <c r="BM87" s="343"/>
      <c r="BN87" s="343"/>
      <c r="BO87" s="343"/>
      <c r="BP87" s="343"/>
      <c r="BQ87" s="343"/>
      <c r="BR87" s="343"/>
      <c r="BS87" s="343"/>
      <c r="BT87" s="343"/>
      <c r="BU87" s="343"/>
      <c r="BV87" s="343"/>
      <c r="BW87" s="343"/>
      <c r="BX87" s="343"/>
    </row>
    <row r="88" spans="1:76" s="25" customFormat="1">
      <c r="A88" s="343"/>
      <c r="B88" s="343"/>
      <c r="C88" s="115" t="str">
        <f t="shared" si="21"/>
        <v/>
      </c>
      <c r="D88" s="123" t="str">
        <f t="shared" si="22"/>
        <v/>
      </c>
      <c r="E88" s="232" t="str">
        <f>IF(OR(AF88&lt;&gt;"",AO88&lt;&gt;""),IF(MAX(AF88,AO88)&gt;ABS(MIN(AF88,AO88)),MAX(AF88,AO88),IF(AND($N$9=2,'Shear(M)'!B130="#",'Shear(M)'!B129="#",'Shear(M)'!B131="#"),E87,MIN(AF88,AO88))),"")</f>
        <v/>
      </c>
      <c r="F88" s="232" t="str">
        <f t="shared" si="23"/>
        <v/>
      </c>
      <c r="G88" s="115" t="e">
        <f>IF(AND($N$9=2,'Shear(M)'!B130="#",'Shear(M)'!B129="#",'Shear(M)'!B131="#"),G87,IF(OR(AH88&lt;&gt;"",AQ88&lt;&gt;""),MAX(AH88,AQ88),""))</f>
        <v>#VALUE!</v>
      </c>
      <c r="H88" s="115" t="e">
        <f>IF(AND($N$9=2,'Shear(M)'!B130="#",'Shear(M)'!B129="#",'Shear(M)'!B131="#"),H87,IF(OR(AI88&lt;&gt;"",AR88&lt;&gt;""),MIN(AI88,AR88),""))</f>
        <v>#VALUE!</v>
      </c>
      <c r="I88" s="115" t="e">
        <f>IF(AND($N$9=2,'Shear(M)'!B130="#",'Shear(M)'!B129="#",'Shear(M)'!B131="#"),I87,IF(OR(AJ88&lt;&gt;"",AS88&lt;&gt;""),MAX(AJ88,AS88),""))</f>
        <v>#VALUE!</v>
      </c>
      <c r="J88" s="115" t="e">
        <f>IF(AND($N$9=2,'Shear(M)'!B130="#",'Shear(M)'!B129="#",'Shear(M)'!B131="#"),J87,IF(OR(AK88&lt;&gt;"",AT88&lt;&gt;""),MIN(AK88,AT88),""))</f>
        <v>#VALUE!</v>
      </c>
      <c r="K88" s="232" t="str">
        <f t="shared" si="24"/>
        <v/>
      </c>
      <c r="L88" s="232" t="str">
        <f t="shared" si="25"/>
        <v/>
      </c>
      <c r="M88" s="660" t="str">
        <f t="shared" si="26"/>
        <v/>
      </c>
      <c r="N88" s="355"/>
      <c r="O88" s="355"/>
      <c r="P88" s="355"/>
      <c r="Q88" s="355"/>
      <c r="R88" s="600" t="str">
        <f t="shared" si="27"/>
        <v>NA</v>
      </c>
      <c r="S88" s="600"/>
      <c r="T88" s="600"/>
      <c r="U88" s="600"/>
      <c r="V88" s="600"/>
      <c r="W88" s="600"/>
      <c r="X88" s="600"/>
      <c r="Y88" s="600"/>
      <c r="Z88" s="600"/>
      <c r="AA88" s="482"/>
      <c r="AB88" s="482"/>
      <c r="AC88" s="482"/>
      <c r="AD88" s="600">
        <v>77</v>
      </c>
      <c r="AE88" s="482"/>
      <c r="AF88" s="600" t="str">
        <f t="shared" si="28"/>
        <v/>
      </c>
      <c r="AG88" s="600" t="str">
        <f t="shared" si="29"/>
        <v/>
      </c>
      <c r="AH88" s="600" t="str">
        <f t="shared" si="30"/>
        <v/>
      </c>
      <c r="AI88" s="600" t="str">
        <f t="shared" si="31"/>
        <v/>
      </c>
      <c r="AJ88" s="600" t="str">
        <f t="shared" si="32"/>
        <v/>
      </c>
      <c r="AK88" s="600" t="str">
        <f t="shared" si="33"/>
        <v/>
      </c>
      <c r="AL88" s="600" t="str">
        <f t="shared" si="34"/>
        <v/>
      </c>
      <c r="AM88" s="600" t="str">
        <f t="shared" si="35"/>
        <v/>
      </c>
      <c r="AN88" s="600"/>
      <c r="AO88" s="600" t="str">
        <f t="shared" si="20"/>
        <v/>
      </c>
      <c r="AP88" s="600" t="str">
        <f t="shared" si="20"/>
        <v/>
      </c>
      <c r="AQ88" s="600" t="str">
        <f t="shared" si="20"/>
        <v/>
      </c>
      <c r="AR88" s="600" t="str">
        <f t="shared" si="20"/>
        <v/>
      </c>
      <c r="AS88" s="600" t="str">
        <f t="shared" si="20"/>
        <v/>
      </c>
      <c r="AT88" s="600" t="str">
        <f t="shared" si="20"/>
        <v/>
      </c>
      <c r="AU88" s="600" t="str">
        <f t="shared" si="20"/>
        <v/>
      </c>
      <c r="AV88" s="600" t="str">
        <f t="shared" si="20"/>
        <v/>
      </c>
      <c r="AW88" s="482"/>
      <c r="AX88" s="482"/>
      <c r="AY88" s="482"/>
      <c r="AZ88" s="482"/>
      <c r="BA88" s="343"/>
      <c r="BB88" s="343"/>
      <c r="BC88" s="343"/>
      <c r="BD88" s="343"/>
      <c r="BE88" s="343"/>
      <c r="BF88" s="343"/>
      <c r="BG88" s="343"/>
      <c r="BH88" s="343"/>
      <c r="BI88" s="343"/>
      <c r="BJ88" s="343"/>
      <c r="BK88" s="343"/>
      <c r="BL88" s="343"/>
      <c r="BM88" s="343"/>
      <c r="BN88" s="343"/>
      <c r="BO88" s="343"/>
      <c r="BP88" s="343"/>
      <c r="BQ88" s="343"/>
      <c r="BR88" s="343"/>
      <c r="BS88" s="343"/>
      <c r="BT88" s="343"/>
      <c r="BU88" s="343"/>
      <c r="BV88" s="343"/>
      <c r="BW88" s="343"/>
      <c r="BX88" s="343"/>
    </row>
    <row r="89" spans="1:76" s="25" customFormat="1">
      <c r="A89" s="343"/>
      <c r="B89" s="343"/>
      <c r="C89" s="115" t="str">
        <f t="shared" si="21"/>
        <v/>
      </c>
      <c r="D89" s="123" t="str">
        <f t="shared" si="22"/>
        <v/>
      </c>
      <c r="E89" s="232" t="str">
        <f>IF(OR(AF89&lt;&gt;"",AO89&lt;&gt;""),IF(MAX(AF89,AO89)&gt;ABS(MIN(AF89,AO89)),MAX(AF89,AO89),IF(AND($N$9=2,'Shear(M)'!B131="#",'Shear(M)'!B130="#",'Shear(M)'!B132="#"),E88,MIN(AF89,AO89))),"")</f>
        <v/>
      </c>
      <c r="F89" s="232" t="str">
        <f t="shared" si="23"/>
        <v/>
      </c>
      <c r="G89" s="115" t="e">
        <f>IF(AND($N$9=2,'Shear(M)'!B131="#",'Shear(M)'!B130="#",'Shear(M)'!B132="#"),G88,IF(OR(AH89&lt;&gt;"",AQ89&lt;&gt;""),MAX(AH89,AQ89),""))</f>
        <v>#VALUE!</v>
      </c>
      <c r="H89" s="115" t="e">
        <f>IF(AND($N$9=2,'Shear(M)'!B131="#",'Shear(M)'!B130="#",'Shear(M)'!B132="#"),H88,IF(OR(AI89&lt;&gt;"",AR89&lt;&gt;""),MIN(AI89,AR89),""))</f>
        <v>#VALUE!</v>
      </c>
      <c r="I89" s="115" t="e">
        <f>IF(AND($N$9=2,'Shear(M)'!B131="#",'Shear(M)'!B130="#",'Shear(M)'!B132="#"),I88,IF(OR(AJ89&lt;&gt;"",AS89&lt;&gt;""),MAX(AJ89,AS89),""))</f>
        <v>#VALUE!</v>
      </c>
      <c r="J89" s="115" t="e">
        <f>IF(AND($N$9=2,'Shear(M)'!B131="#",'Shear(M)'!B130="#",'Shear(M)'!B132="#"),J88,IF(OR(AK89&lt;&gt;"",AT89&lt;&gt;""),MIN(AK89,AT89),""))</f>
        <v>#VALUE!</v>
      </c>
      <c r="K89" s="232" t="str">
        <f t="shared" si="24"/>
        <v/>
      </c>
      <c r="L89" s="232" t="str">
        <f t="shared" si="25"/>
        <v/>
      </c>
      <c r="M89" s="660" t="str">
        <f t="shared" si="26"/>
        <v/>
      </c>
      <c r="N89" s="355"/>
      <c r="O89" s="355"/>
      <c r="P89" s="355"/>
      <c r="Q89" s="355"/>
      <c r="R89" s="600" t="str">
        <f t="shared" si="27"/>
        <v>NA</v>
      </c>
      <c r="S89" s="600"/>
      <c r="T89" s="600"/>
      <c r="U89" s="600"/>
      <c r="V89" s="600"/>
      <c r="W89" s="600"/>
      <c r="X89" s="600"/>
      <c r="Y89" s="600"/>
      <c r="Z89" s="600"/>
      <c r="AA89" s="482"/>
      <c r="AB89" s="482"/>
      <c r="AC89" s="482"/>
      <c r="AD89" s="600">
        <v>78</v>
      </c>
      <c r="AE89" s="482"/>
      <c r="AF89" s="600" t="str">
        <f t="shared" si="28"/>
        <v/>
      </c>
      <c r="AG89" s="600" t="str">
        <f t="shared" si="29"/>
        <v/>
      </c>
      <c r="AH89" s="600" t="str">
        <f t="shared" si="30"/>
        <v/>
      </c>
      <c r="AI89" s="600" t="str">
        <f t="shared" si="31"/>
        <v/>
      </c>
      <c r="AJ89" s="600" t="str">
        <f t="shared" si="32"/>
        <v/>
      </c>
      <c r="AK89" s="600" t="str">
        <f t="shared" si="33"/>
        <v/>
      </c>
      <c r="AL89" s="600" t="str">
        <f t="shared" si="34"/>
        <v/>
      </c>
      <c r="AM89" s="600" t="str">
        <f t="shared" si="35"/>
        <v/>
      </c>
      <c r="AN89" s="600"/>
      <c r="AO89" s="600" t="str">
        <f t="shared" si="20"/>
        <v/>
      </c>
      <c r="AP89" s="600" t="str">
        <f t="shared" si="20"/>
        <v/>
      </c>
      <c r="AQ89" s="600" t="str">
        <f t="shared" si="20"/>
        <v/>
      </c>
      <c r="AR89" s="600" t="str">
        <f t="shared" si="20"/>
        <v/>
      </c>
      <c r="AS89" s="600" t="str">
        <f t="shared" si="20"/>
        <v/>
      </c>
      <c r="AT89" s="600" t="str">
        <f t="shared" si="20"/>
        <v/>
      </c>
      <c r="AU89" s="600" t="str">
        <f t="shared" si="20"/>
        <v/>
      </c>
      <c r="AV89" s="600" t="str">
        <f t="shared" si="20"/>
        <v/>
      </c>
      <c r="AW89" s="482"/>
      <c r="AX89" s="482"/>
      <c r="AY89" s="482"/>
      <c r="AZ89" s="482"/>
      <c r="BA89" s="343"/>
      <c r="BB89" s="343"/>
      <c r="BC89" s="343"/>
      <c r="BD89" s="343"/>
      <c r="BE89" s="343"/>
      <c r="BF89" s="343"/>
      <c r="BG89" s="343"/>
      <c r="BH89" s="343"/>
      <c r="BI89" s="343"/>
      <c r="BJ89" s="343"/>
      <c r="BK89" s="343"/>
      <c r="BL89" s="343"/>
      <c r="BM89" s="343"/>
      <c r="BN89" s="343"/>
      <c r="BO89" s="343"/>
      <c r="BP89" s="343"/>
      <c r="BQ89" s="343"/>
      <c r="BR89" s="343"/>
      <c r="BS89" s="343"/>
      <c r="BT89" s="343"/>
      <c r="BU89" s="343"/>
      <c r="BV89" s="343"/>
      <c r="BW89" s="343"/>
      <c r="BX89" s="343"/>
    </row>
    <row r="90" spans="1:76" s="25" customFormat="1">
      <c r="A90" s="343"/>
      <c r="B90" s="343"/>
      <c r="C90" s="115" t="str">
        <f t="shared" si="21"/>
        <v/>
      </c>
      <c r="D90" s="123" t="str">
        <f t="shared" si="22"/>
        <v/>
      </c>
      <c r="E90" s="232" t="str">
        <f>IF(OR(AF90&lt;&gt;"",AO90&lt;&gt;""),IF(MAX(AF90,AO90)&gt;ABS(MIN(AF90,AO90)),MAX(AF90,AO90),IF(AND($N$9=2,'Shear(M)'!B132="#",'Shear(M)'!B131="#",'Shear(M)'!B133="#"),E89,MIN(AF90,AO90))),"")</f>
        <v/>
      </c>
      <c r="F90" s="232" t="str">
        <f t="shared" si="23"/>
        <v/>
      </c>
      <c r="G90" s="115" t="e">
        <f>IF(AND($N$9=2,'Shear(M)'!B132="#",'Shear(M)'!B131="#",'Shear(M)'!B133="#"),G89,IF(OR(AH90&lt;&gt;"",AQ90&lt;&gt;""),MAX(AH90,AQ90),""))</f>
        <v>#VALUE!</v>
      </c>
      <c r="H90" s="115" t="e">
        <f>IF(AND($N$9=2,'Shear(M)'!B132="#",'Shear(M)'!B131="#",'Shear(M)'!B133="#"),H89,IF(OR(AI90&lt;&gt;"",AR90&lt;&gt;""),MIN(AI90,AR90),""))</f>
        <v>#VALUE!</v>
      </c>
      <c r="I90" s="115" t="e">
        <f>IF(AND($N$9=2,'Shear(M)'!B132="#",'Shear(M)'!B131="#",'Shear(M)'!B133="#"),I89,IF(OR(AJ90&lt;&gt;"",AS90&lt;&gt;""),MAX(AJ90,AS90),""))</f>
        <v>#VALUE!</v>
      </c>
      <c r="J90" s="115" t="e">
        <f>IF(AND($N$9=2,'Shear(M)'!B132="#",'Shear(M)'!B131="#",'Shear(M)'!B133="#"),J89,IF(OR(AK90&lt;&gt;"",AT90&lt;&gt;""),MIN(AK90,AT90),""))</f>
        <v>#VALUE!</v>
      </c>
      <c r="K90" s="232" t="str">
        <f t="shared" si="24"/>
        <v/>
      </c>
      <c r="L90" s="232" t="str">
        <f t="shared" si="25"/>
        <v/>
      </c>
      <c r="M90" s="660" t="str">
        <f t="shared" si="26"/>
        <v/>
      </c>
      <c r="N90" s="355"/>
      <c r="O90" s="355"/>
      <c r="P90" s="355"/>
      <c r="Q90" s="355"/>
      <c r="R90" s="600" t="str">
        <f t="shared" si="27"/>
        <v>NA</v>
      </c>
      <c r="S90" s="600"/>
      <c r="T90" s="600"/>
      <c r="U90" s="600"/>
      <c r="V90" s="600"/>
      <c r="W90" s="600"/>
      <c r="X90" s="600"/>
      <c r="Y90" s="600"/>
      <c r="Z90" s="600"/>
      <c r="AA90" s="482"/>
      <c r="AB90" s="482"/>
      <c r="AC90" s="482"/>
      <c r="AD90" s="600">
        <v>79</v>
      </c>
      <c r="AE90" s="482"/>
      <c r="AF90" s="600" t="str">
        <f t="shared" si="28"/>
        <v/>
      </c>
      <c r="AG90" s="600" t="str">
        <f t="shared" si="29"/>
        <v/>
      </c>
      <c r="AH90" s="600" t="str">
        <f t="shared" si="30"/>
        <v/>
      </c>
      <c r="AI90" s="600" t="str">
        <f t="shared" si="31"/>
        <v/>
      </c>
      <c r="AJ90" s="600" t="str">
        <f t="shared" si="32"/>
        <v/>
      </c>
      <c r="AK90" s="600" t="str">
        <f t="shared" si="33"/>
        <v/>
      </c>
      <c r="AL90" s="600" t="str">
        <f t="shared" si="34"/>
        <v/>
      </c>
      <c r="AM90" s="600" t="str">
        <f t="shared" si="35"/>
        <v/>
      </c>
      <c r="AN90" s="600"/>
      <c r="AO90" s="600" t="str">
        <f t="shared" si="20"/>
        <v/>
      </c>
      <c r="AP90" s="600" t="str">
        <f t="shared" si="20"/>
        <v/>
      </c>
      <c r="AQ90" s="600" t="str">
        <f t="shared" si="20"/>
        <v/>
      </c>
      <c r="AR90" s="600" t="str">
        <f t="shared" si="20"/>
        <v/>
      </c>
      <c r="AS90" s="600" t="str">
        <f t="shared" si="20"/>
        <v/>
      </c>
      <c r="AT90" s="600" t="str">
        <f t="shared" si="20"/>
        <v/>
      </c>
      <c r="AU90" s="600" t="str">
        <f t="shared" si="20"/>
        <v/>
      </c>
      <c r="AV90" s="600" t="str">
        <f t="shared" si="20"/>
        <v/>
      </c>
      <c r="AW90" s="482"/>
      <c r="AX90" s="482"/>
      <c r="AY90" s="482"/>
      <c r="AZ90" s="482"/>
      <c r="BA90" s="343"/>
      <c r="BB90" s="343"/>
      <c r="BC90" s="343"/>
      <c r="BD90" s="343"/>
      <c r="BE90" s="343"/>
      <c r="BF90" s="343"/>
      <c r="BG90" s="343"/>
      <c r="BH90" s="343"/>
      <c r="BI90" s="343"/>
      <c r="BJ90" s="343"/>
      <c r="BK90" s="343"/>
      <c r="BL90" s="343"/>
      <c r="BM90" s="343"/>
      <c r="BN90" s="343"/>
      <c r="BO90" s="343"/>
      <c r="BP90" s="343"/>
      <c r="BQ90" s="343"/>
      <c r="BR90" s="343"/>
      <c r="BS90" s="343"/>
      <c r="BT90" s="343"/>
      <c r="BU90" s="343"/>
      <c r="BV90" s="343"/>
      <c r="BW90" s="343"/>
      <c r="BX90" s="343"/>
    </row>
    <row r="91" spans="1:76" s="25" customFormat="1">
      <c r="A91" s="343"/>
      <c r="B91" s="343"/>
      <c r="C91" s="115" t="str">
        <f t="shared" si="21"/>
        <v/>
      </c>
      <c r="D91" s="123" t="str">
        <f t="shared" si="22"/>
        <v/>
      </c>
      <c r="E91" s="232" t="str">
        <f>IF(OR(AF91&lt;&gt;"",AO91&lt;&gt;""),IF(MAX(AF91,AO91)&gt;ABS(MIN(AF91,AO91)),MAX(AF91,AO91),IF(AND($N$9=2,'Shear(M)'!B133="#",'Shear(M)'!B132="#",'Shear(M)'!B134="#"),E90,MIN(AF91,AO91))),"")</f>
        <v/>
      </c>
      <c r="F91" s="232" t="str">
        <f t="shared" si="23"/>
        <v/>
      </c>
      <c r="G91" s="115" t="e">
        <f>IF(AND($N$9=2,'Shear(M)'!B133="#",'Shear(M)'!B132="#",'Shear(M)'!B134="#"),G90,IF(OR(AH91&lt;&gt;"",AQ91&lt;&gt;""),MAX(AH91,AQ91),""))</f>
        <v>#VALUE!</v>
      </c>
      <c r="H91" s="115" t="e">
        <f>IF(AND($N$9=2,'Shear(M)'!B133="#",'Shear(M)'!B132="#",'Shear(M)'!B134="#"),H90,IF(OR(AI91&lt;&gt;"",AR91&lt;&gt;""),MIN(AI91,AR91),""))</f>
        <v>#VALUE!</v>
      </c>
      <c r="I91" s="115" t="e">
        <f>IF(AND($N$9=2,'Shear(M)'!B133="#",'Shear(M)'!B132="#",'Shear(M)'!B134="#"),I90,IF(OR(AJ91&lt;&gt;"",AS91&lt;&gt;""),MAX(AJ91,AS91),""))</f>
        <v>#VALUE!</v>
      </c>
      <c r="J91" s="115" t="e">
        <f>IF(AND($N$9=2,'Shear(M)'!B133="#",'Shear(M)'!B132="#",'Shear(M)'!B134="#"),J90,IF(OR(AK91&lt;&gt;"",AT91&lt;&gt;""),MIN(AK91,AT91),""))</f>
        <v>#VALUE!</v>
      </c>
      <c r="K91" s="232" t="str">
        <f t="shared" si="24"/>
        <v/>
      </c>
      <c r="L91" s="232" t="str">
        <f t="shared" si="25"/>
        <v/>
      </c>
      <c r="M91" s="660" t="str">
        <f t="shared" si="26"/>
        <v/>
      </c>
      <c r="N91" s="355"/>
      <c r="O91" s="355"/>
      <c r="P91" s="355"/>
      <c r="Q91" s="355"/>
      <c r="R91" s="600" t="str">
        <f t="shared" si="27"/>
        <v>NA</v>
      </c>
      <c r="S91" s="600"/>
      <c r="T91" s="600"/>
      <c r="U91" s="600"/>
      <c r="V91" s="600"/>
      <c r="W91" s="600"/>
      <c r="X91" s="600"/>
      <c r="Y91" s="600"/>
      <c r="Z91" s="600"/>
      <c r="AA91" s="482"/>
      <c r="AB91" s="482"/>
      <c r="AC91" s="482"/>
      <c r="AD91" s="600">
        <v>80</v>
      </c>
      <c r="AE91" s="482"/>
      <c r="AF91" s="600" t="str">
        <f t="shared" si="28"/>
        <v/>
      </c>
      <c r="AG91" s="600" t="str">
        <f t="shared" si="29"/>
        <v/>
      </c>
      <c r="AH91" s="600" t="str">
        <f t="shared" si="30"/>
        <v/>
      </c>
      <c r="AI91" s="600" t="str">
        <f t="shared" si="31"/>
        <v/>
      </c>
      <c r="AJ91" s="600" t="str">
        <f t="shared" si="32"/>
        <v/>
      </c>
      <c r="AK91" s="600" t="str">
        <f t="shared" si="33"/>
        <v/>
      </c>
      <c r="AL91" s="600" t="str">
        <f t="shared" si="34"/>
        <v/>
      </c>
      <c r="AM91" s="600" t="str">
        <f t="shared" si="35"/>
        <v/>
      </c>
      <c r="AN91" s="600"/>
      <c r="AO91" s="600" t="str">
        <f t="shared" si="20"/>
        <v/>
      </c>
      <c r="AP91" s="600" t="str">
        <f t="shared" si="20"/>
        <v/>
      </c>
      <c r="AQ91" s="600" t="str">
        <f t="shared" si="20"/>
        <v/>
      </c>
      <c r="AR91" s="600" t="str">
        <f t="shared" si="20"/>
        <v/>
      </c>
      <c r="AS91" s="600" t="str">
        <f t="shared" si="20"/>
        <v/>
      </c>
      <c r="AT91" s="600" t="str">
        <f t="shared" si="20"/>
        <v/>
      </c>
      <c r="AU91" s="600" t="str">
        <f t="shared" ref="AO91:AV114" si="36">IF(TRIM(INDEX($S:$S,$AD91+$AE$11+11,1))&lt;&gt;$AN$10,"",IF(AU$10="X",INDEX($V:$AC,$AD91+$AE$11+11,AU$9),""))</f>
        <v/>
      </c>
      <c r="AV91" s="600" t="str">
        <f t="shared" si="36"/>
        <v/>
      </c>
      <c r="AW91" s="482"/>
      <c r="AX91" s="482"/>
      <c r="AY91" s="482"/>
      <c r="AZ91" s="482"/>
      <c r="BA91" s="343"/>
      <c r="BB91" s="343"/>
      <c r="BC91" s="343"/>
      <c r="BD91" s="343"/>
      <c r="BE91" s="343"/>
      <c r="BF91" s="343"/>
      <c r="BG91" s="343"/>
      <c r="BH91" s="343"/>
      <c r="BI91" s="343"/>
      <c r="BJ91" s="343"/>
      <c r="BK91" s="343"/>
      <c r="BL91" s="343"/>
      <c r="BM91" s="343"/>
      <c r="BN91" s="343"/>
      <c r="BO91" s="343"/>
      <c r="BP91" s="343"/>
      <c r="BQ91" s="343"/>
      <c r="BR91" s="343"/>
      <c r="BS91" s="343"/>
      <c r="BT91" s="343"/>
      <c r="BU91" s="343"/>
      <c r="BV91" s="343"/>
      <c r="BW91" s="343"/>
      <c r="BX91" s="343"/>
    </row>
    <row r="92" spans="1:76" s="25" customFormat="1">
      <c r="A92" s="343"/>
      <c r="B92" s="343"/>
      <c r="C92" s="115" t="str">
        <f t="shared" si="21"/>
        <v/>
      </c>
      <c r="D92" s="123" t="str">
        <f t="shared" si="22"/>
        <v/>
      </c>
      <c r="E92" s="232" t="str">
        <f>IF(OR(AF92&lt;&gt;"",AO92&lt;&gt;""),IF(MAX(AF92,AO92)&gt;ABS(MIN(AF92,AO92)),MAX(AF92,AO92),IF(AND($N$9=2,'Shear(M)'!B134="#",'Shear(M)'!B133="#",'Shear(M)'!B135="#"),E91,MIN(AF92,AO92))),"")</f>
        <v/>
      </c>
      <c r="F92" s="232" t="str">
        <f t="shared" si="23"/>
        <v/>
      </c>
      <c r="G92" s="115" t="e">
        <f>IF(AND($N$9=2,'Shear(M)'!B134="#",'Shear(M)'!B133="#",'Shear(M)'!B135="#"),G91,IF(OR(AH92&lt;&gt;"",AQ92&lt;&gt;""),MAX(AH92,AQ92),""))</f>
        <v>#VALUE!</v>
      </c>
      <c r="H92" s="115" t="e">
        <f>IF(AND($N$9=2,'Shear(M)'!B134="#",'Shear(M)'!B133="#",'Shear(M)'!B135="#"),H91,IF(OR(AI92&lt;&gt;"",AR92&lt;&gt;""),MIN(AI92,AR92),""))</f>
        <v>#VALUE!</v>
      </c>
      <c r="I92" s="115" t="e">
        <f>IF(AND($N$9=2,'Shear(M)'!B134="#",'Shear(M)'!B133="#",'Shear(M)'!B135="#"),I91,IF(OR(AJ92&lt;&gt;"",AS92&lt;&gt;""),MAX(AJ92,AS92),""))</f>
        <v>#VALUE!</v>
      </c>
      <c r="J92" s="115" t="e">
        <f>IF(AND($N$9=2,'Shear(M)'!B134="#",'Shear(M)'!B133="#",'Shear(M)'!B135="#"),J91,IF(OR(AK92&lt;&gt;"",AT92&lt;&gt;""),MIN(AK92,AT92),""))</f>
        <v>#VALUE!</v>
      </c>
      <c r="K92" s="232" t="str">
        <f t="shared" si="24"/>
        <v/>
      </c>
      <c r="L92" s="232" t="str">
        <f t="shared" si="25"/>
        <v/>
      </c>
      <c r="M92" s="660" t="str">
        <f t="shared" si="26"/>
        <v/>
      </c>
      <c r="N92" s="355"/>
      <c r="O92" s="355"/>
      <c r="P92" s="355"/>
      <c r="Q92" s="355"/>
      <c r="R92" s="600" t="str">
        <f t="shared" si="27"/>
        <v>NA</v>
      </c>
      <c r="S92" s="600"/>
      <c r="T92" s="600"/>
      <c r="U92" s="600"/>
      <c r="V92" s="600"/>
      <c r="W92" s="600"/>
      <c r="X92" s="600"/>
      <c r="Y92" s="600"/>
      <c r="Z92" s="600"/>
      <c r="AA92" s="482"/>
      <c r="AB92" s="482"/>
      <c r="AC92" s="482"/>
      <c r="AD92" s="600">
        <v>81</v>
      </c>
      <c r="AE92" s="482"/>
      <c r="AF92" s="600" t="str">
        <f t="shared" si="28"/>
        <v/>
      </c>
      <c r="AG92" s="600" t="str">
        <f t="shared" si="29"/>
        <v/>
      </c>
      <c r="AH92" s="600" t="str">
        <f t="shared" si="30"/>
        <v/>
      </c>
      <c r="AI92" s="600" t="str">
        <f t="shared" si="31"/>
        <v/>
      </c>
      <c r="AJ92" s="600" t="str">
        <f t="shared" si="32"/>
        <v/>
      </c>
      <c r="AK92" s="600" t="str">
        <f t="shared" si="33"/>
        <v/>
      </c>
      <c r="AL92" s="600" t="str">
        <f t="shared" si="34"/>
        <v/>
      </c>
      <c r="AM92" s="600" t="str">
        <f t="shared" si="35"/>
        <v/>
      </c>
      <c r="AN92" s="600"/>
      <c r="AO92" s="600" t="str">
        <f t="shared" si="36"/>
        <v/>
      </c>
      <c r="AP92" s="600" t="str">
        <f t="shared" si="36"/>
        <v/>
      </c>
      <c r="AQ92" s="600" t="str">
        <f t="shared" si="36"/>
        <v/>
      </c>
      <c r="AR92" s="600" t="str">
        <f t="shared" si="36"/>
        <v/>
      </c>
      <c r="AS92" s="600" t="str">
        <f t="shared" si="36"/>
        <v/>
      </c>
      <c r="AT92" s="600" t="str">
        <f t="shared" si="36"/>
        <v/>
      </c>
      <c r="AU92" s="600" t="str">
        <f t="shared" si="36"/>
        <v/>
      </c>
      <c r="AV92" s="600" t="str">
        <f t="shared" si="36"/>
        <v/>
      </c>
      <c r="AW92" s="482"/>
      <c r="AX92" s="482"/>
      <c r="AY92" s="482"/>
      <c r="AZ92" s="482"/>
      <c r="BA92" s="343"/>
      <c r="BB92" s="343"/>
      <c r="BC92" s="343"/>
      <c r="BD92" s="343"/>
      <c r="BE92" s="343"/>
      <c r="BF92" s="343"/>
      <c r="BG92" s="343"/>
      <c r="BH92" s="343"/>
      <c r="BI92" s="343"/>
      <c r="BJ92" s="343"/>
      <c r="BK92" s="343"/>
      <c r="BL92" s="343"/>
      <c r="BM92" s="343"/>
      <c r="BN92" s="343"/>
      <c r="BO92" s="343"/>
      <c r="BP92" s="343"/>
      <c r="BQ92" s="343"/>
      <c r="BR92" s="343"/>
      <c r="BS92" s="343"/>
      <c r="BT92" s="343"/>
      <c r="BU92" s="343"/>
      <c r="BV92" s="343"/>
      <c r="BW92" s="343"/>
      <c r="BX92" s="343"/>
    </row>
    <row r="93" spans="1:76" s="25" customFormat="1">
      <c r="A93" s="343"/>
      <c r="B93" s="343"/>
      <c r="C93" s="115" t="str">
        <f t="shared" si="21"/>
        <v/>
      </c>
      <c r="D93" s="123" t="str">
        <f t="shared" si="22"/>
        <v/>
      </c>
      <c r="E93" s="232" t="str">
        <f>IF(OR(AF93&lt;&gt;"",AO93&lt;&gt;""),IF(MAX(AF93,AO93)&gt;ABS(MIN(AF93,AO93)),MAX(AF93,AO93),IF(AND($N$9=2,'Shear(M)'!B135="#",'Shear(M)'!B134="#",'Shear(M)'!B136="#"),E92,MIN(AF93,AO93))),"")</f>
        <v/>
      </c>
      <c r="F93" s="232" t="str">
        <f t="shared" si="23"/>
        <v/>
      </c>
      <c r="G93" s="115" t="e">
        <f>IF(AND($N$9=2,'Shear(M)'!B135="#",'Shear(M)'!B134="#",'Shear(M)'!B136="#"),G92,IF(OR(AH93&lt;&gt;"",AQ93&lt;&gt;""),MAX(AH93,AQ93),""))</f>
        <v>#VALUE!</v>
      </c>
      <c r="H93" s="115" t="e">
        <f>IF(AND($N$9=2,'Shear(M)'!B135="#",'Shear(M)'!B134="#",'Shear(M)'!B136="#"),H92,IF(OR(AI93&lt;&gt;"",AR93&lt;&gt;""),MIN(AI93,AR93),""))</f>
        <v>#VALUE!</v>
      </c>
      <c r="I93" s="115" t="e">
        <f>IF(AND($N$9=2,'Shear(M)'!B135="#",'Shear(M)'!B134="#",'Shear(M)'!B136="#"),I92,IF(OR(AJ93&lt;&gt;"",AS93&lt;&gt;""),MAX(AJ93,AS93),""))</f>
        <v>#VALUE!</v>
      </c>
      <c r="J93" s="115" t="e">
        <f>IF(AND($N$9=2,'Shear(M)'!B135="#",'Shear(M)'!B134="#",'Shear(M)'!B136="#"),J92,IF(OR(AK93&lt;&gt;"",AT93&lt;&gt;""),MIN(AK93,AT93),""))</f>
        <v>#VALUE!</v>
      </c>
      <c r="K93" s="232" t="str">
        <f t="shared" si="24"/>
        <v/>
      </c>
      <c r="L93" s="232" t="str">
        <f t="shared" si="25"/>
        <v/>
      </c>
      <c r="M93" s="660" t="str">
        <f t="shared" si="26"/>
        <v/>
      </c>
      <c r="N93" s="355"/>
      <c r="O93" s="355"/>
      <c r="P93" s="355"/>
      <c r="Q93" s="355"/>
      <c r="R93" s="600" t="str">
        <f t="shared" si="27"/>
        <v>NA</v>
      </c>
      <c r="S93" s="600"/>
      <c r="T93" s="600"/>
      <c r="U93" s="600"/>
      <c r="V93" s="600"/>
      <c r="W93" s="600"/>
      <c r="X93" s="600"/>
      <c r="Y93" s="600"/>
      <c r="Z93" s="600"/>
      <c r="AA93" s="482"/>
      <c r="AB93" s="482"/>
      <c r="AC93" s="482"/>
      <c r="AD93" s="600">
        <v>82</v>
      </c>
      <c r="AE93" s="482"/>
      <c r="AF93" s="600" t="str">
        <f t="shared" si="28"/>
        <v/>
      </c>
      <c r="AG93" s="600" t="str">
        <f t="shared" si="29"/>
        <v/>
      </c>
      <c r="AH93" s="600" t="str">
        <f t="shared" si="30"/>
        <v/>
      </c>
      <c r="AI93" s="600" t="str">
        <f t="shared" si="31"/>
        <v/>
      </c>
      <c r="AJ93" s="600" t="str">
        <f t="shared" si="32"/>
        <v/>
      </c>
      <c r="AK93" s="600" t="str">
        <f t="shared" si="33"/>
        <v/>
      </c>
      <c r="AL93" s="600" t="str">
        <f t="shared" si="34"/>
        <v/>
      </c>
      <c r="AM93" s="600" t="str">
        <f t="shared" si="35"/>
        <v/>
      </c>
      <c r="AN93" s="600"/>
      <c r="AO93" s="600" t="str">
        <f t="shared" si="36"/>
        <v/>
      </c>
      <c r="AP93" s="600" t="str">
        <f t="shared" si="36"/>
        <v/>
      </c>
      <c r="AQ93" s="600" t="str">
        <f t="shared" si="36"/>
        <v/>
      </c>
      <c r="AR93" s="600" t="str">
        <f t="shared" si="36"/>
        <v/>
      </c>
      <c r="AS93" s="600" t="str">
        <f t="shared" si="36"/>
        <v/>
      </c>
      <c r="AT93" s="600" t="str">
        <f t="shared" si="36"/>
        <v/>
      </c>
      <c r="AU93" s="600" t="str">
        <f t="shared" si="36"/>
        <v/>
      </c>
      <c r="AV93" s="600" t="str">
        <f t="shared" si="36"/>
        <v/>
      </c>
      <c r="AW93" s="482"/>
      <c r="AX93" s="482"/>
      <c r="AY93" s="482"/>
      <c r="AZ93" s="482"/>
      <c r="BA93" s="343"/>
      <c r="BB93" s="343"/>
      <c r="BC93" s="343"/>
      <c r="BD93" s="343"/>
      <c r="BE93" s="343"/>
      <c r="BF93" s="343"/>
      <c r="BG93" s="343"/>
      <c r="BH93" s="343"/>
      <c r="BI93" s="343"/>
      <c r="BJ93" s="343"/>
      <c r="BK93" s="343"/>
      <c r="BL93" s="343"/>
      <c r="BM93" s="343"/>
      <c r="BN93" s="343"/>
      <c r="BO93" s="343"/>
      <c r="BP93" s="343"/>
      <c r="BQ93" s="343"/>
      <c r="BR93" s="343"/>
      <c r="BS93" s="343"/>
      <c r="BT93" s="343"/>
      <c r="BU93" s="343"/>
      <c r="BV93" s="343"/>
      <c r="BW93" s="343"/>
      <c r="BX93" s="343"/>
    </row>
    <row r="94" spans="1:76" s="25" customFormat="1">
      <c r="A94" s="343"/>
      <c r="B94" s="343"/>
      <c r="C94" s="115" t="str">
        <f t="shared" si="21"/>
        <v/>
      </c>
      <c r="D94" s="123" t="str">
        <f t="shared" si="22"/>
        <v/>
      </c>
      <c r="E94" s="232" t="str">
        <f>IF(OR(AF94&lt;&gt;"",AO94&lt;&gt;""),IF(MAX(AF94,AO94)&gt;ABS(MIN(AF94,AO94)),MAX(AF94,AO94),IF(AND($N$9=2,'Shear(M)'!B136="#",'Shear(M)'!B135="#",'Shear(M)'!B137="#"),E93,MIN(AF94,AO94))),"")</f>
        <v/>
      </c>
      <c r="F94" s="232" t="str">
        <f t="shared" si="23"/>
        <v/>
      </c>
      <c r="G94" s="115" t="e">
        <f>IF(AND($N$9=2,'Shear(M)'!B136="#",'Shear(M)'!B135="#",'Shear(M)'!B137="#"),G93,IF(OR(AH94&lt;&gt;"",AQ94&lt;&gt;""),MAX(AH94,AQ94),""))</f>
        <v>#VALUE!</v>
      </c>
      <c r="H94" s="115" t="e">
        <f>IF(AND($N$9=2,'Shear(M)'!B136="#",'Shear(M)'!B135="#",'Shear(M)'!B137="#"),H93,IF(OR(AI94&lt;&gt;"",AR94&lt;&gt;""),MIN(AI94,AR94),""))</f>
        <v>#VALUE!</v>
      </c>
      <c r="I94" s="115" t="e">
        <f>IF(AND($N$9=2,'Shear(M)'!B136="#",'Shear(M)'!B135="#",'Shear(M)'!B137="#"),I93,IF(OR(AJ94&lt;&gt;"",AS94&lt;&gt;""),MAX(AJ94,AS94),""))</f>
        <v>#VALUE!</v>
      </c>
      <c r="J94" s="115" t="e">
        <f>IF(AND($N$9=2,'Shear(M)'!B136="#",'Shear(M)'!B135="#",'Shear(M)'!B137="#"),J93,IF(OR(AK94&lt;&gt;"",AT94&lt;&gt;""),MIN(AK94,AT94),""))</f>
        <v>#VALUE!</v>
      </c>
      <c r="K94" s="232" t="str">
        <f t="shared" si="24"/>
        <v/>
      </c>
      <c r="L94" s="232" t="str">
        <f t="shared" si="25"/>
        <v/>
      </c>
      <c r="M94" s="660" t="str">
        <f t="shared" si="26"/>
        <v/>
      </c>
      <c r="N94" s="355"/>
      <c r="O94" s="355"/>
      <c r="P94" s="355"/>
      <c r="Q94" s="355"/>
      <c r="R94" s="600" t="str">
        <f t="shared" si="27"/>
        <v>NA</v>
      </c>
      <c r="S94" s="600"/>
      <c r="T94" s="600"/>
      <c r="U94" s="600"/>
      <c r="V94" s="600"/>
      <c r="W94" s="600"/>
      <c r="X94" s="600"/>
      <c r="Y94" s="600"/>
      <c r="Z94" s="600"/>
      <c r="AA94" s="482"/>
      <c r="AB94" s="482"/>
      <c r="AC94" s="482"/>
      <c r="AD94" s="600">
        <v>83</v>
      </c>
      <c r="AE94" s="482"/>
      <c r="AF94" s="600" t="str">
        <f t="shared" si="28"/>
        <v/>
      </c>
      <c r="AG94" s="600" t="str">
        <f t="shared" si="29"/>
        <v/>
      </c>
      <c r="AH94" s="600" t="str">
        <f t="shared" si="30"/>
        <v/>
      </c>
      <c r="AI94" s="600" t="str">
        <f t="shared" si="31"/>
        <v/>
      </c>
      <c r="AJ94" s="600" t="str">
        <f t="shared" si="32"/>
        <v/>
      </c>
      <c r="AK94" s="600" t="str">
        <f t="shared" si="33"/>
        <v/>
      </c>
      <c r="AL94" s="600" t="str">
        <f t="shared" si="34"/>
        <v/>
      </c>
      <c r="AM94" s="600" t="str">
        <f t="shared" si="35"/>
        <v/>
      </c>
      <c r="AN94" s="600"/>
      <c r="AO94" s="600" t="str">
        <f t="shared" si="36"/>
        <v/>
      </c>
      <c r="AP94" s="600" t="str">
        <f t="shared" si="36"/>
        <v/>
      </c>
      <c r="AQ94" s="600" t="str">
        <f t="shared" si="36"/>
        <v/>
      </c>
      <c r="AR94" s="600" t="str">
        <f t="shared" si="36"/>
        <v/>
      </c>
      <c r="AS94" s="600" t="str">
        <f t="shared" si="36"/>
        <v/>
      </c>
      <c r="AT94" s="600" t="str">
        <f t="shared" si="36"/>
        <v/>
      </c>
      <c r="AU94" s="600" t="str">
        <f t="shared" si="36"/>
        <v/>
      </c>
      <c r="AV94" s="600" t="str">
        <f t="shared" si="36"/>
        <v/>
      </c>
      <c r="AW94" s="482"/>
      <c r="AX94" s="482"/>
      <c r="AY94" s="482"/>
      <c r="AZ94" s="482"/>
      <c r="BA94" s="343"/>
      <c r="BB94" s="343"/>
      <c r="BC94" s="343"/>
      <c r="BD94" s="343"/>
      <c r="BE94" s="343"/>
      <c r="BF94" s="343"/>
      <c r="BG94" s="343"/>
      <c r="BH94" s="343"/>
      <c r="BI94" s="343"/>
      <c r="BJ94" s="343"/>
      <c r="BK94" s="343"/>
      <c r="BL94" s="343"/>
      <c r="BM94" s="343"/>
      <c r="BN94" s="343"/>
      <c r="BO94" s="343"/>
      <c r="BP94" s="343"/>
      <c r="BQ94" s="343"/>
      <c r="BR94" s="343"/>
      <c r="BS94" s="343"/>
      <c r="BT94" s="343"/>
      <c r="BU94" s="343"/>
      <c r="BV94" s="343"/>
      <c r="BW94" s="343"/>
      <c r="BX94" s="343"/>
    </row>
    <row r="95" spans="1:76" s="25" customFormat="1">
      <c r="A95" s="343"/>
      <c r="B95" s="343"/>
      <c r="C95" s="115" t="str">
        <f t="shared" si="21"/>
        <v/>
      </c>
      <c r="D95" s="123" t="str">
        <f t="shared" si="22"/>
        <v/>
      </c>
      <c r="E95" s="232" t="str">
        <f>IF(OR(AF95&lt;&gt;"",AO95&lt;&gt;""),IF(MAX(AF95,AO95)&gt;ABS(MIN(AF95,AO95)),MAX(AF95,AO95),IF(AND($N$9=2,'Shear(M)'!B137="#",'Shear(M)'!B136="#",'Shear(M)'!B138="#"),E94,MIN(AF95,AO95))),"")</f>
        <v/>
      </c>
      <c r="F95" s="232" t="str">
        <f t="shared" si="23"/>
        <v/>
      </c>
      <c r="G95" s="115" t="e">
        <f>IF(AND($N$9=2,'Shear(M)'!B137="#",'Shear(M)'!B136="#",'Shear(M)'!B138="#"),G94,IF(OR(AH95&lt;&gt;"",AQ95&lt;&gt;""),MAX(AH95,AQ95),""))</f>
        <v>#VALUE!</v>
      </c>
      <c r="H95" s="115" t="e">
        <f>IF(AND($N$9=2,'Shear(M)'!B137="#",'Shear(M)'!B136="#",'Shear(M)'!B138="#"),H94,IF(OR(AI95&lt;&gt;"",AR95&lt;&gt;""),MIN(AI95,AR95),""))</f>
        <v>#VALUE!</v>
      </c>
      <c r="I95" s="115" t="e">
        <f>IF(AND($N$9=2,'Shear(M)'!B137="#",'Shear(M)'!B136="#",'Shear(M)'!B138="#"),I94,IF(OR(AJ95&lt;&gt;"",AS95&lt;&gt;""),MAX(AJ95,AS95),""))</f>
        <v>#VALUE!</v>
      </c>
      <c r="J95" s="115" t="e">
        <f>IF(AND($N$9=2,'Shear(M)'!B137="#",'Shear(M)'!B136="#",'Shear(M)'!B138="#"),J94,IF(OR(AK95&lt;&gt;"",AT95&lt;&gt;""),MIN(AK95,AT95),""))</f>
        <v>#VALUE!</v>
      </c>
      <c r="K95" s="232" t="str">
        <f t="shared" si="24"/>
        <v/>
      </c>
      <c r="L95" s="232" t="str">
        <f t="shared" si="25"/>
        <v/>
      </c>
      <c r="M95" s="660" t="str">
        <f t="shared" si="26"/>
        <v/>
      </c>
      <c r="N95" s="355"/>
      <c r="O95" s="355"/>
      <c r="P95" s="355"/>
      <c r="Q95" s="355"/>
      <c r="R95" s="600" t="str">
        <f t="shared" si="27"/>
        <v>NA</v>
      </c>
      <c r="S95" s="600"/>
      <c r="T95" s="600"/>
      <c r="U95" s="600"/>
      <c r="V95" s="600"/>
      <c r="W95" s="600"/>
      <c r="X95" s="600"/>
      <c r="Y95" s="600"/>
      <c r="Z95" s="600"/>
      <c r="AA95" s="482"/>
      <c r="AB95" s="482"/>
      <c r="AC95" s="482"/>
      <c r="AD95" s="600">
        <v>84</v>
      </c>
      <c r="AE95" s="482"/>
      <c r="AF95" s="600" t="str">
        <f t="shared" si="28"/>
        <v/>
      </c>
      <c r="AG95" s="600" t="str">
        <f t="shared" si="29"/>
        <v/>
      </c>
      <c r="AH95" s="600" t="str">
        <f t="shared" si="30"/>
        <v/>
      </c>
      <c r="AI95" s="600" t="str">
        <f t="shared" si="31"/>
        <v/>
      </c>
      <c r="AJ95" s="600" t="str">
        <f t="shared" si="32"/>
        <v/>
      </c>
      <c r="AK95" s="600" t="str">
        <f t="shared" si="33"/>
        <v/>
      </c>
      <c r="AL95" s="600" t="str">
        <f t="shared" si="34"/>
        <v/>
      </c>
      <c r="AM95" s="600" t="str">
        <f t="shared" si="35"/>
        <v/>
      </c>
      <c r="AN95" s="600"/>
      <c r="AO95" s="600" t="str">
        <f t="shared" si="36"/>
        <v/>
      </c>
      <c r="AP95" s="600" t="str">
        <f t="shared" si="36"/>
        <v/>
      </c>
      <c r="AQ95" s="600" t="str">
        <f t="shared" si="36"/>
        <v/>
      </c>
      <c r="AR95" s="600" t="str">
        <f t="shared" si="36"/>
        <v/>
      </c>
      <c r="AS95" s="600" t="str">
        <f t="shared" si="36"/>
        <v/>
      </c>
      <c r="AT95" s="600" t="str">
        <f t="shared" si="36"/>
        <v/>
      </c>
      <c r="AU95" s="600" t="str">
        <f t="shared" si="36"/>
        <v/>
      </c>
      <c r="AV95" s="600" t="str">
        <f t="shared" si="36"/>
        <v/>
      </c>
      <c r="AW95" s="482"/>
      <c r="AX95" s="482"/>
      <c r="AY95" s="482"/>
      <c r="AZ95" s="482"/>
      <c r="BA95" s="343"/>
      <c r="BB95" s="343"/>
      <c r="BC95" s="343"/>
      <c r="BD95" s="343"/>
      <c r="BE95" s="343"/>
      <c r="BF95" s="343"/>
      <c r="BG95" s="343"/>
      <c r="BH95" s="343"/>
      <c r="BI95" s="343"/>
      <c r="BJ95" s="343"/>
      <c r="BK95" s="343"/>
      <c r="BL95" s="343"/>
      <c r="BM95" s="343"/>
      <c r="BN95" s="343"/>
      <c r="BO95" s="343"/>
      <c r="BP95" s="343"/>
      <c r="BQ95" s="343"/>
      <c r="BR95" s="343"/>
      <c r="BS95" s="343"/>
      <c r="BT95" s="343"/>
      <c r="BU95" s="343"/>
      <c r="BV95" s="343"/>
      <c r="BW95" s="343"/>
      <c r="BX95" s="343"/>
    </row>
    <row r="96" spans="1:76" s="25" customFormat="1">
      <c r="A96" s="343"/>
      <c r="B96" s="343"/>
      <c r="C96" s="115" t="str">
        <f t="shared" si="21"/>
        <v/>
      </c>
      <c r="D96" s="123" t="str">
        <f t="shared" si="22"/>
        <v/>
      </c>
      <c r="E96" s="232" t="str">
        <f>IF(OR(AF96&lt;&gt;"",AO96&lt;&gt;""),IF(MAX(AF96,AO96)&gt;ABS(MIN(AF96,AO96)),MAX(AF96,AO96),IF(AND($N$9=2,'Shear(M)'!B138="#",'Shear(M)'!B137="#",'Shear(M)'!B139="#"),E95,MIN(AF96,AO96))),"")</f>
        <v/>
      </c>
      <c r="F96" s="232" t="str">
        <f t="shared" si="23"/>
        <v/>
      </c>
      <c r="G96" s="115" t="e">
        <f>IF(AND($N$9=2,'Shear(M)'!B138="#",'Shear(M)'!B137="#",'Shear(M)'!B139="#"),G95,IF(OR(AH96&lt;&gt;"",AQ96&lt;&gt;""),MAX(AH96,AQ96),""))</f>
        <v>#VALUE!</v>
      </c>
      <c r="H96" s="115" t="e">
        <f>IF(AND($N$9=2,'Shear(M)'!B138="#",'Shear(M)'!B137="#",'Shear(M)'!B139="#"),H95,IF(OR(AI96&lt;&gt;"",AR96&lt;&gt;""),MIN(AI96,AR96),""))</f>
        <v>#VALUE!</v>
      </c>
      <c r="I96" s="115" t="e">
        <f>IF(AND($N$9=2,'Shear(M)'!B138="#",'Shear(M)'!B137="#",'Shear(M)'!B139="#"),I95,IF(OR(AJ96&lt;&gt;"",AS96&lt;&gt;""),MAX(AJ96,AS96),""))</f>
        <v>#VALUE!</v>
      </c>
      <c r="J96" s="115" t="e">
        <f>IF(AND($N$9=2,'Shear(M)'!B138="#",'Shear(M)'!B137="#",'Shear(M)'!B139="#"),J95,IF(OR(AK96&lt;&gt;"",AT96&lt;&gt;""),MIN(AK96,AT96),""))</f>
        <v>#VALUE!</v>
      </c>
      <c r="K96" s="232" t="str">
        <f t="shared" si="24"/>
        <v/>
      </c>
      <c r="L96" s="232" t="str">
        <f t="shared" si="25"/>
        <v/>
      </c>
      <c r="M96" s="660" t="str">
        <f t="shared" si="26"/>
        <v/>
      </c>
      <c r="N96" s="355"/>
      <c r="O96" s="355"/>
      <c r="P96" s="355"/>
      <c r="Q96" s="355"/>
      <c r="R96" s="600" t="str">
        <f t="shared" si="27"/>
        <v>NA</v>
      </c>
      <c r="S96" s="600"/>
      <c r="T96" s="600"/>
      <c r="U96" s="600"/>
      <c r="V96" s="600"/>
      <c r="W96" s="600"/>
      <c r="X96" s="600"/>
      <c r="Y96" s="600"/>
      <c r="Z96" s="600"/>
      <c r="AA96" s="482"/>
      <c r="AB96" s="482"/>
      <c r="AC96" s="482"/>
      <c r="AD96" s="600">
        <v>85</v>
      </c>
      <c r="AE96" s="482"/>
      <c r="AF96" s="600" t="str">
        <f t="shared" si="28"/>
        <v/>
      </c>
      <c r="AG96" s="600" t="str">
        <f t="shared" si="29"/>
        <v/>
      </c>
      <c r="AH96" s="600" t="str">
        <f t="shared" si="30"/>
        <v/>
      </c>
      <c r="AI96" s="600" t="str">
        <f t="shared" si="31"/>
        <v/>
      </c>
      <c r="AJ96" s="600" t="str">
        <f t="shared" si="32"/>
        <v/>
      </c>
      <c r="AK96" s="600" t="str">
        <f t="shared" si="33"/>
        <v/>
      </c>
      <c r="AL96" s="600" t="str">
        <f t="shared" si="34"/>
        <v/>
      </c>
      <c r="AM96" s="600" t="str">
        <f t="shared" si="35"/>
        <v/>
      </c>
      <c r="AN96" s="600"/>
      <c r="AO96" s="600" t="str">
        <f t="shared" si="36"/>
        <v/>
      </c>
      <c r="AP96" s="600" t="str">
        <f t="shared" si="36"/>
        <v/>
      </c>
      <c r="AQ96" s="600" t="str">
        <f t="shared" si="36"/>
        <v/>
      </c>
      <c r="AR96" s="600" t="str">
        <f t="shared" si="36"/>
        <v/>
      </c>
      <c r="AS96" s="600" t="str">
        <f t="shared" si="36"/>
        <v/>
      </c>
      <c r="AT96" s="600" t="str">
        <f t="shared" si="36"/>
        <v/>
      </c>
      <c r="AU96" s="600" t="str">
        <f t="shared" si="36"/>
        <v/>
      </c>
      <c r="AV96" s="600" t="str">
        <f t="shared" si="36"/>
        <v/>
      </c>
      <c r="AW96" s="482"/>
      <c r="AX96" s="482"/>
      <c r="AY96" s="482"/>
      <c r="AZ96" s="482"/>
      <c r="BA96" s="343"/>
      <c r="BB96" s="343"/>
      <c r="BC96" s="343"/>
      <c r="BD96" s="343"/>
      <c r="BE96" s="343"/>
      <c r="BF96" s="343"/>
      <c r="BG96" s="343"/>
      <c r="BH96" s="343"/>
      <c r="BI96" s="343"/>
      <c r="BJ96" s="343"/>
      <c r="BK96" s="343"/>
      <c r="BL96" s="343"/>
      <c r="BM96" s="343"/>
      <c r="BN96" s="343"/>
      <c r="BO96" s="343"/>
      <c r="BP96" s="343"/>
      <c r="BQ96" s="343"/>
      <c r="BR96" s="343"/>
      <c r="BS96" s="343"/>
      <c r="BT96" s="343"/>
      <c r="BU96" s="343"/>
      <c r="BV96" s="343"/>
      <c r="BW96" s="343"/>
      <c r="BX96" s="343"/>
    </row>
    <row r="97" spans="1:76" s="25" customFormat="1">
      <c r="A97" s="343"/>
      <c r="B97" s="343"/>
      <c r="C97" s="115" t="str">
        <f t="shared" si="21"/>
        <v/>
      </c>
      <c r="D97" s="123" t="str">
        <f t="shared" si="22"/>
        <v/>
      </c>
      <c r="E97" s="232" t="str">
        <f>IF(OR(AF97&lt;&gt;"",AO97&lt;&gt;""),IF(MAX(AF97,AO97)&gt;ABS(MIN(AF97,AO97)),MAX(AF97,AO97),IF(AND($N$9=2,'Shear(M)'!B139="#",'Shear(M)'!B138="#",'Shear(M)'!B140="#"),E96,MIN(AF97,AO97))),"")</f>
        <v/>
      </c>
      <c r="F97" s="232" t="str">
        <f t="shared" si="23"/>
        <v/>
      </c>
      <c r="G97" s="115" t="e">
        <f>IF(AND($N$9=2,'Shear(M)'!B139="#",'Shear(M)'!B138="#",'Shear(M)'!B140="#"),G96,IF(OR(AH97&lt;&gt;"",AQ97&lt;&gt;""),MAX(AH97,AQ97),""))</f>
        <v>#VALUE!</v>
      </c>
      <c r="H97" s="115" t="e">
        <f>IF(AND($N$9=2,'Shear(M)'!B139="#",'Shear(M)'!B138="#",'Shear(M)'!B140="#"),H96,IF(OR(AI97&lt;&gt;"",AR97&lt;&gt;""),MIN(AI97,AR97),""))</f>
        <v>#VALUE!</v>
      </c>
      <c r="I97" s="115" t="e">
        <f>IF(AND($N$9=2,'Shear(M)'!B139="#",'Shear(M)'!B138="#",'Shear(M)'!B140="#"),I96,IF(OR(AJ97&lt;&gt;"",AS97&lt;&gt;""),MAX(AJ97,AS97),""))</f>
        <v>#VALUE!</v>
      </c>
      <c r="J97" s="115" t="e">
        <f>IF(AND($N$9=2,'Shear(M)'!B139="#",'Shear(M)'!B138="#",'Shear(M)'!B140="#"),J96,IF(OR(AK97&lt;&gt;"",AT97&lt;&gt;""),MIN(AK97,AT97),""))</f>
        <v>#VALUE!</v>
      </c>
      <c r="K97" s="232" t="str">
        <f t="shared" si="24"/>
        <v/>
      </c>
      <c r="L97" s="232" t="str">
        <f t="shared" si="25"/>
        <v/>
      </c>
      <c r="M97" s="660" t="str">
        <f t="shared" si="26"/>
        <v/>
      </c>
      <c r="N97" s="355"/>
      <c r="O97" s="355"/>
      <c r="P97" s="355"/>
      <c r="Q97" s="355"/>
      <c r="R97" s="600" t="str">
        <f t="shared" si="27"/>
        <v>NA</v>
      </c>
      <c r="S97" s="600"/>
      <c r="T97" s="600"/>
      <c r="U97" s="600"/>
      <c r="V97" s="600"/>
      <c r="W97" s="600"/>
      <c r="X97" s="600"/>
      <c r="Y97" s="600"/>
      <c r="Z97" s="600"/>
      <c r="AA97" s="482"/>
      <c r="AB97" s="482"/>
      <c r="AC97" s="482"/>
      <c r="AD97" s="600">
        <v>86</v>
      </c>
      <c r="AE97" s="482"/>
      <c r="AF97" s="600" t="str">
        <f t="shared" si="28"/>
        <v/>
      </c>
      <c r="AG97" s="600" t="str">
        <f t="shared" si="29"/>
        <v/>
      </c>
      <c r="AH97" s="600" t="str">
        <f t="shared" si="30"/>
        <v/>
      </c>
      <c r="AI97" s="600" t="str">
        <f t="shared" si="31"/>
        <v/>
      </c>
      <c r="AJ97" s="600" t="str">
        <f t="shared" si="32"/>
        <v/>
      </c>
      <c r="AK97" s="600" t="str">
        <f t="shared" si="33"/>
        <v/>
      </c>
      <c r="AL97" s="600" t="str">
        <f t="shared" si="34"/>
        <v/>
      </c>
      <c r="AM97" s="600" t="str">
        <f t="shared" si="35"/>
        <v/>
      </c>
      <c r="AN97" s="600"/>
      <c r="AO97" s="600" t="str">
        <f t="shared" si="36"/>
        <v/>
      </c>
      <c r="AP97" s="600" t="str">
        <f t="shared" si="36"/>
        <v/>
      </c>
      <c r="AQ97" s="600" t="str">
        <f t="shared" si="36"/>
        <v/>
      </c>
      <c r="AR97" s="600" t="str">
        <f t="shared" si="36"/>
        <v/>
      </c>
      <c r="AS97" s="600" t="str">
        <f t="shared" si="36"/>
        <v/>
      </c>
      <c r="AT97" s="600" t="str">
        <f t="shared" si="36"/>
        <v/>
      </c>
      <c r="AU97" s="600" t="str">
        <f t="shared" si="36"/>
        <v/>
      </c>
      <c r="AV97" s="600" t="str">
        <f t="shared" si="36"/>
        <v/>
      </c>
      <c r="AW97" s="482"/>
      <c r="AX97" s="482"/>
      <c r="AY97" s="482"/>
      <c r="AZ97" s="482"/>
      <c r="BA97" s="343"/>
      <c r="BB97" s="343"/>
      <c r="BC97" s="343"/>
      <c r="BD97" s="343"/>
      <c r="BE97" s="343"/>
      <c r="BF97" s="343"/>
      <c r="BG97" s="343"/>
      <c r="BH97" s="343"/>
      <c r="BI97" s="343"/>
      <c r="BJ97" s="343"/>
      <c r="BK97" s="343"/>
      <c r="BL97" s="343"/>
      <c r="BM97" s="343"/>
      <c r="BN97" s="343"/>
      <c r="BO97" s="343"/>
      <c r="BP97" s="343"/>
      <c r="BQ97" s="343"/>
      <c r="BR97" s="343"/>
      <c r="BS97" s="343"/>
      <c r="BT97" s="343"/>
      <c r="BU97" s="343"/>
      <c r="BV97" s="343"/>
      <c r="BW97" s="343"/>
      <c r="BX97" s="343"/>
    </row>
    <row r="98" spans="1:76" s="25" customFormat="1">
      <c r="A98" s="343"/>
      <c r="B98" s="343"/>
      <c r="C98" s="115" t="str">
        <f t="shared" si="21"/>
        <v/>
      </c>
      <c r="D98" s="123" t="str">
        <f t="shared" si="22"/>
        <v/>
      </c>
      <c r="E98" s="232" t="str">
        <f>IF(OR(AF98&lt;&gt;"",AO98&lt;&gt;""),IF(MAX(AF98,AO98)&gt;ABS(MIN(AF98,AO98)),MAX(AF98,AO98),IF(AND($N$9=2,'Shear(M)'!B140="#",'Shear(M)'!B139="#",'Shear(M)'!B141="#"),E97,MIN(AF98,AO98))),"")</f>
        <v/>
      </c>
      <c r="F98" s="232" t="str">
        <f t="shared" si="23"/>
        <v/>
      </c>
      <c r="G98" s="115" t="e">
        <f>IF(AND($N$9=2,'Shear(M)'!B140="#",'Shear(M)'!B139="#",'Shear(M)'!B141="#"),G97,IF(OR(AH98&lt;&gt;"",AQ98&lt;&gt;""),MAX(AH98,AQ98),""))</f>
        <v>#VALUE!</v>
      </c>
      <c r="H98" s="115" t="e">
        <f>IF(AND($N$9=2,'Shear(M)'!B140="#",'Shear(M)'!B139="#",'Shear(M)'!B141="#"),H97,IF(OR(AI98&lt;&gt;"",AR98&lt;&gt;""),MIN(AI98,AR98),""))</f>
        <v>#VALUE!</v>
      </c>
      <c r="I98" s="115" t="e">
        <f>IF(AND($N$9=2,'Shear(M)'!B140="#",'Shear(M)'!B139="#",'Shear(M)'!B141="#"),I97,IF(OR(AJ98&lt;&gt;"",AS98&lt;&gt;""),MAX(AJ98,AS98),""))</f>
        <v>#VALUE!</v>
      </c>
      <c r="J98" s="115" t="e">
        <f>IF(AND($N$9=2,'Shear(M)'!B140="#",'Shear(M)'!B139="#",'Shear(M)'!B141="#"),J97,IF(OR(AK98&lt;&gt;"",AT98&lt;&gt;""),MIN(AK98,AT98),""))</f>
        <v>#VALUE!</v>
      </c>
      <c r="K98" s="232" t="str">
        <f t="shared" si="24"/>
        <v/>
      </c>
      <c r="L98" s="232" t="str">
        <f t="shared" si="25"/>
        <v/>
      </c>
      <c r="M98" s="660" t="str">
        <f t="shared" si="26"/>
        <v/>
      </c>
      <c r="N98" s="355"/>
      <c r="O98" s="355"/>
      <c r="P98" s="355"/>
      <c r="Q98" s="355"/>
      <c r="R98" s="600" t="str">
        <f t="shared" si="27"/>
        <v>NA</v>
      </c>
      <c r="S98" s="600"/>
      <c r="T98" s="600"/>
      <c r="U98" s="600"/>
      <c r="V98" s="600"/>
      <c r="W98" s="600"/>
      <c r="X98" s="600"/>
      <c r="Y98" s="600"/>
      <c r="Z98" s="600"/>
      <c r="AA98" s="482"/>
      <c r="AB98" s="482"/>
      <c r="AC98" s="482"/>
      <c r="AD98" s="600">
        <v>87</v>
      </c>
      <c r="AE98" s="482"/>
      <c r="AF98" s="600" t="str">
        <f t="shared" si="28"/>
        <v/>
      </c>
      <c r="AG98" s="600" t="str">
        <f t="shared" si="29"/>
        <v/>
      </c>
      <c r="AH98" s="600" t="str">
        <f t="shared" si="30"/>
        <v/>
      </c>
      <c r="AI98" s="600" t="str">
        <f t="shared" si="31"/>
        <v/>
      </c>
      <c r="AJ98" s="600" t="str">
        <f t="shared" si="32"/>
        <v/>
      </c>
      <c r="AK98" s="600" t="str">
        <f t="shared" si="33"/>
        <v/>
      </c>
      <c r="AL98" s="600" t="str">
        <f t="shared" si="34"/>
        <v/>
      </c>
      <c r="AM98" s="600" t="str">
        <f t="shared" si="35"/>
        <v/>
      </c>
      <c r="AN98" s="600"/>
      <c r="AO98" s="600" t="str">
        <f t="shared" si="36"/>
        <v/>
      </c>
      <c r="AP98" s="600" t="str">
        <f t="shared" si="36"/>
        <v/>
      </c>
      <c r="AQ98" s="600" t="str">
        <f t="shared" si="36"/>
        <v/>
      </c>
      <c r="AR98" s="600" t="str">
        <f t="shared" si="36"/>
        <v/>
      </c>
      <c r="AS98" s="600" t="str">
        <f t="shared" si="36"/>
        <v/>
      </c>
      <c r="AT98" s="600" t="str">
        <f t="shared" si="36"/>
        <v/>
      </c>
      <c r="AU98" s="600" t="str">
        <f t="shared" si="36"/>
        <v/>
      </c>
      <c r="AV98" s="600" t="str">
        <f t="shared" si="36"/>
        <v/>
      </c>
      <c r="AW98" s="482"/>
      <c r="AX98" s="482"/>
      <c r="AY98" s="482"/>
      <c r="AZ98" s="482"/>
      <c r="BA98" s="343"/>
      <c r="BB98" s="343"/>
      <c r="BC98" s="343"/>
      <c r="BD98" s="343"/>
      <c r="BE98" s="343"/>
      <c r="BF98" s="343"/>
      <c r="BG98" s="343"/>
      <c r="BH98" s="343"/>
      <c r="BI98" s="343"/>
      <c r="BJ98" s="343"/>
      <c r="BK98" s="343"/>
      <c r="BL98" s="343"/>
      <c r="BM98" s="343"/>
      <c r="BN98" s="343"/>
      <c r="BO98" s="343"/>
      <c r="BP98" s="343"/>
      <c r="BQ98" s="343"/>
      <c r="BR98" s="343"/>
      <c r="BS98" s="343"/>
      <c r="BT98" s="343"/>
      <c r="BU98" s="343"/>
      <c r="BV98" s="343"/>
      <c r="BW98" s="343"/>
      <c r="BX98" s="343"/>
    </row>
    <row r="99" spans="1:76" s="25" customFormat="1">
      <c r="A99" s="343"/>
      <c r="B99" s="343"/>
      <c r="C99" s="115" t="str">
        <f t="shared" si="21"/>
        <v/>
      </c>
      <c r="D99" s="123" t="str">
        <f t="shared" si="22"/>
        <v/>
      </c>
      <c r="E99" s="232" t="str">
        <f>IF(OR(AF99&lt;&gt;"",AO99&lt;&gt;""),IF(MAX(AF99,AO99)&gt;ABS(MIN(AF99,AO99)),MAX(AF99,AO99),IF(AND($N$9=2,'Shear(M)'!B141="#",'Shear(M)'!B140="#",'Shear(M)'!B142="#"),E98,MIN(AF99,AO99))),"")</f>
        <v/>
      </c>
      <c r="F99" s="232" t="str">
        <f t="shared" si="23"/>
        <v/>
      </c>
      <c r="G99" s="115" t="e">
        <f>IF(AND($N$9=2,'Shear(M)'!B141="#",'Shear(M)'!B140="#",'Shear(M)'!B142="#"),G98,IF(OR(AH99&lt;&gt;"",AQ99&lt;&gt;""),MAX(AH99,AQ99),""))</f>
        <v>#VALUE!</v>
      </c>
      <c r="H99" s="115" t="e">
        <f>IF(AND($N$9=2,'Shear(M)'!B141="#",'Shear(M)'!B140="#",'Shear(M)'!B142="#"),H98,IF(OR(AI99&lt;&gt;"",AR99&lt;&gt;""),MIN(AI99,AR99),""))</f>
        <v>#VALUE!</v>
      </c>
      <c r="I99" s="115" t="e">
        <f>IF(AND($N$9=2,'Shear(M)'!B141="#",'Shear(M)'!B140="#",'Shear(M)'!B142="#"),I98,IF(OR(AJ99&lt;&gt;"",AS99&lt;&gt;""),MAX(AJ99,AS99),""))</f>
        <v>#VALUE!</v>
      </c>
      <c r="J99" s="115" t="e">
        <f>IF(AND($N$9=2,'Shear(M)'!B141="#",'Shear(M)'!B140="#",'Shear(M)'!B142="#"),J98,IF(OR(AK99&lt;&gt;"",AT99&lt;&gt;""),MIN(AK99,AT99),""))</f>
        <v>#VALUE!</v>
      </c>
      <c r="K99" s="232" t="str">
        <f t="shared" si="24"/>
        <v/>
      </c>
      <c r="L99" s="232" t="str">
        <f t="shared" si="25"/>
        <v/>
      </c>
      <c r="M99" s="660" t="str">
        <f t="shared" si="26"/>
        <v/>
      </c>
      <c r="N99" s="355"/>
      <c r="O99" s="355"/>
      <c r="P99" s="355"/>
      <c r="Q99" s="355"/>
      <c r="R99" s="600" t="str">
        <f t="shared" si="27"/>
        <v>NA</v>
      </c>
      <c r="S99" s="600"/>
      <c r="T99" s="600"/>
      <c r="U99" s="600"/>
      <c r="V99" s="600"/>
      <c r="W99" s="600"/>
      <c r="X99" s="600"/>
      <c r="Y99" s="600"/>
      <c r="Z99" s="600"/>
      <c r="AA99" s="482"/>
      <c r="AB99" s="482"/>
      <c r="AC99" s="482"/>
      <c r="AD99" s="600">
        <v>88</v>
      </c>
      <c r="AE99" s="482"/>
      <c r="AF99" s="600" t="str">
        <f t="shared" si="28"/>
        <v/>
      </c>
      <c r="AG99" s="600" t="str">
        <f t="shared" si="29"/>
        <v/>
      </c>
      <c r="AH99" s="600" t="str">
        <f t="shared" si="30"/>
        <v/>
      </c>
      <c r="AI99" s="600" t="str">
        <f t="shared" si="31"/>
        <v/>
      </c>
      <c r="AJ99" s="600" t="str">
        <f t="shared" si="32"/>
        <v/>
      </c>
      <c r="AK99" s="600" t="str">
        <f t="shared" si="33"/>
        <v/>
      </c>
      <c r="AL99" s="600" t="str">
        <f t="shared" si="34"/>
        <v/>
      </c>
      <c r="AM99" s="600" t="str">
        <f t="shared" si="35"/>
        <v/>
      </c>
      <c r="AN99" s="600"/>
      <c r="AO99" s="600" t="str">
        <f t="shared" si="36"/>
        <v/>
      </c>
      <c r="AP99" s="600" t="str">
        <f t="shared" si="36"/>
        <v/>
      </c>
      <c r="AQ99" s="600" t="str">
        <f t="shared" si="36"/>
        <v/>
      </c>
      <c r="AR99" s="600" t="str">
        <f t="shared" si="36"/>
        <v/>
      </c>
      <c r="AS99" s="600" t="str">
        <f t="shared" si="36"/>
        <v/>
      </c>
      <c r="AT99" s="600" t="str">
        <f t="shared" si="36"/>
        <v/>
      </c>
      <c r="AU99" s="600" t="str">
        <f t="shared" si="36"/>
        <v/>
      </c>
      <c r="AV99" s="600" t="str">
        <f t="shared" si="36"/>
        <v/>
      </c>
      <c r="AW99" s="482"/>
      <c r="AX99" s="482"/>
      <c r="AY99" s="482"/>
      <c r="AZ99" s="482"/>
      <c r="BA99" s="343"/>
      <c r="BB99" s="343"/>
      <c r="BC99" s="343"/>
      <c r="BD99" s="343"/>
      <c r="BE99" s="343"/>
      <c r="BF99" s="343"/>
      <c r="BG99" s="343"/>
      <c r="BH99" s="343"/>
      <c r="BI99" s="343"/>
      <c r="BJ99" s="343"/>
      <c r="BK99" s="343"/>
      <c r="BL99" s="343"/>
      <c r="BM99" s="343"/>
      <c r="BN99" s="343"/>
      <c r="BO99" s="343"/>
      <c r="BP99" s="343"/>
      <c r="BQ99" s="343"/>
      <c r="BR99" s="343"/>
      <c r="BS99" s="343"/>
      <c r="BT99" s="343"/>
      <c r="BU99" s="343"/>
      <c r="BV99" s="343"/>
      <c r="BW99" s="343"/>
      <c r="BX99" s="343"/>
    </row>
    <row r="100" spans="1:76" s="25" customFormat="1">
      <c r="A100" s="343"/>
      <c r="B100" s="343"/>
      <c r="C100" s="115" t="str">
        <f t="shared" si="21"/>
        <v/>
      </c>
      <c r="D100" s="123" t="str">
        <f t="shared" si="22"/>
        <v/>
      </c>
      <c r="E100" s="232" t="str">
        <f>IF(OR(AF100&lt;&gt;"",AO100&lt;&gt;""),IF(MAX(AF100,AO100)&gt;ABS(MIN(AF100,AO100)),MAX(AF100,AO100),IF(AND($N$9=2,'Shear(M)'!B142="#",'Shear(M)'!B141="#",'Shear(M)'!B143="#"),E99,MIN(AF100,AO100))),"")</f>
        <v/>
      </c>
      <c r="F100" s="232" t="str">
        <f t="shared" si="23"/>
        <v/>
      </c>
      <c r="G100" s="115" t="e">
        <f>IF(AND($N$9=2,'Shear(M)'!B142="#",'Shear(M)'!B141="#",'Shear(M)'!B143="#"),G99,IF(OR(AH100&lt;&gt;"",AQ100&lt;&gt;""),MAX(AH100,AQ100),""))</f>
        <v>#VALUE!</v>
      </c>
      <c r="H100" s="115" t="e">
        <f>IF(AND($N$9=2,'Shear(M)'!B142="#",'Shear(M)'!B141="#",'Shear(M)'!B143="#"),H99,IF(OR(AI100&lt;&gt;"",AR100&lt;&gt;""),MIN(AI100,AR100),""))</f>
        <v>#VALUE!</v>
      </c>
      <c r="I100" s="115" t="e">
        <f>IF(AND($N$9=2,'Shear(M)'!B142="#",'Shear(M)'!B141="#",'Shear(M)'!B143="#"),I99,IF(OR(AJ100&lt;&gt;"",AS100&lt;&gt;""),MAX(AJ100,AS100),""))</f>
        <v>#VALUE!</v>
      </c>
      <c r="J100" s="115" t="e">
        <f>IF(AND($N$9=2,'Shear(M)'!B142="#",'Shear(M)'!B141="#",'Shear(M)'!B143="#"),J99,IF(OR(AK100&lt;&gt;"",AT100&lt;&gt;""),MIN(AK100,AT100),""))</f>
        <v>#VALUE!</v>
      </c>
      <c r="K100" s="232" t="str">
        <f t="shared" si="24"/>
        <v/>
      </c>
      <c r="L100" s="232" t="str">
        <f t="shared" si="25"/>
        <v/>
      </c>
      <c r="M100" s="660" t="str">
        <f t="shared" si="26"/>
        <v/>
      </c>
      <c r="N100" s="355"/>
      <c r="O100" s="355"/>
      <c r="P100" s="355"/>
      <c r="Q100" s="355"/>
      <c r="R100" s="600" t="str">
        <f t="shared" si="27"/>
        <v>NA</v>
      </c>
      <c r="S100" s="600"/>
      <c r="T100" s="600"/>
      <c r="U100" s="600"/>
      <c r="V100" s="600"/>
      <c r="W100" s="600"/>
      <c r="X100" s="600"/>
      <c r="Y100" s="600"/>
      <c r="Z100" s="600"/>
      <c r="AA100" s="482"/>
      <c r="AB100" s="482"/>
      <c r="AC100" s="482"/>
      <c r="AD100" s="600">
        <v>89</v>
      </c>
      <c r="AE100" s="482"/>
      <c r="AF100" s="600" t="str">
        <f t="shared" si="28"/>
        <v/>
      </c>
      <c r="AG100" s="600" t="str">
        <f t="shared" si="29"/>
        <v/>
      </c>
      <c r="AH100" s="600" t="str">
        <f t="shared" si="30"/>
        <v/>
      </c>
      <c r="AI100" s="600" t="str">
        <f t="shared" si="31"/>
        <v/>
      </c>
      <c r="AJ100" s="600" t="str">
        <f t="shared" si="32"/>
        <v/>
      </c>
      <c r="AK100" s="600" t="str">
        <f t="shared" si="33"/>
        <v/>
      </c>
      <c r="AL100" s="600" t="str">
        <f t="shared" si="34"/>
        <v/>
      </c>
      <c r="AM100" s="600" t="str">
        <f t="shared" si="35"/>
        <v/>
      </c>
      <c r="AN100" s="600"/>
      <c r="AO100" s="600" t="str">
        <f t="shared" si="36"/>
        <v/>
      </c>
      <c r="AP100" s="600" t="str">
        <f t="shared" si="36"/>
        <v/>
      </c>
      <c r="AQ100" s="600" t="str">
        <f t="shared" si="36"/>
        <v/>
      </c>
      <c r="AR100" s="600" t="str">
        <f t="shared" si="36"/>
        <v/>
      </c>
      <c r="AS100" s="600" t="str">
        <f t="shared" si="36"/>
        <v/>
      </c>
      <c r="AT100" s="600" t="str">
        <f t="shared" si="36"/>
        <v/>
      </c>
      <c r="AU100" s="600" t="str">
        <f t="shared" si="36"/>
        <v/>
      </c>
      <c r="AV100" s="600" t="str">
        <f t="shared" si="36"/>
        <v/>
      </c>
      <c r="AW100" s="482"/>
      <c r="AX100" s="482"/>
      <c r="AY100" s="482"/>
      <c r="AZ100" s="482"/>
      <c r="BA100" s="343"/>
      <c r="BB100" s="343"/>
      <c r="BC100" s="343"/>
      <c r="BD100" s="343"/>
      <c r="BE100" s="343"/>
      <c r="BF100" s="343"/>
      <c r="BG100" s="343"/>
      <c r="BH100" s="343"/>
      <c r="BI100" s="343"/>
      <c r="BJ100" s="343"/>
      <c r="BK100" s="343"/>
      <c r="BL100" s="343"/>
      <c r="BM100" s="343"/>
      <c r="BN100" s="343"/>
      <c r="BO100" s="343"/>
      <c r="BP100" s="343"/>
      <c r="BQ100" s="343"/>
      <c r="BR100" s="343"/>
      <c r="BS100" s="343"/>
      <c r="BT100" s="343"/>
      <c r="BU100" s="343"/>
      <c r="BV100" s="343"/>
      <c r="BW100" s="343"/>
      <c r="BX100" s="343"/>
    </row>
    <row r="101" spans="1:76" s="25" customFormat="1">
      <c r="A101" s="343"/>
      <c r="B101" s="343"/>
      <c r="C101" s="115" t="str">
        <f t="shared" si="21"/>
        <v/>
      </c>
      <c r="D101" s="123" t="str">
        <f t="shared" si="22"/>
        <v/>
      </c>
      <c r="E101" s="232" t="str">
        <f>IF(OR(AF101&lt;&gt;"",AO101&lt;&gt;""),IF(MAX(AF101,AO101)&gt;ABS(MIN(AF101,AO101)),MAX(AF101,AO101),IF(AND($N$9=2,'Shear(M)'!B143="#",'Shear(M)'!B142="#",'Shear(M)'!B144="#"),E100,MIN(AF101,AO101))),"")</f>
        <v/>
      </c>
      <c r="F101" s="232" t="str">
        <f t="shared" si="23"/>
        <v/>
      </c>
      <c r="G101" s="115" t="e">
        <f>IF(AND($N$9=2,'Shear(M)'!B143="#",'Shear(M)'!B142="#",'Shear(M)'!B144="#"),G100,IF(OR(AH101&lt;&gt;"",AQ101&lt;&gt;""),MAX(AH101,AQ101),""))</f>
        <v>#VALUE!</v>
      </c>
      <c r="H101" s="115" t="e">
        <f>IF(AND($N$9=2,'Shear(M)'!B143="#",'Shear(M)'!B142="#",'Shear(M)'!B144="#"),H100,IF(OR(AI101&lt;&gt;"",AR101&lt;&gt;""),MIN(AI101,AR101),""))</f>
        <v>#VALUE!</v>
      </c>
      <c r="I101" s="115" t="e">
        <f>IF(AND($N$9=2,'Shear(M)'!B143="#",'Shear(M)'!B142="#",'Shear(M)'!B144="#"),I100,IF(OR(AJ101&lt;&gt;"",AS101&lt;&gt;""),MAX(AJ101,AS101),""))</f>
        <v>#VALUE!</v>
      </c>
      <c r="J101" s="115" t="e">
        <f>IF(AND($N$9=2,'Shear(M)'!B143="#",'Shear(M)'!B142="#",'Shear(M)'!B144="#"),J100,IF(OR(AK101&lt;&gt;"",AT101&lt;&gt;""),MIN(AK101,AT101),""))</f>
        <v>#VALUE!</v>
      </c>
      <c r="K101" s="232" t="str">
        <f t="shared" si="24"/>
        <v/>
      </c>
      <c r="L101" s="232" t="str">
        <f t="shared" si="25"/>
        <v/>
      </c>
      <c r="M101" s="660" t="str">
        <f t="shared" si="26"/>
        <v/>
      </c>
      <c r="N101" s="355"/>
      <c r="O101" s="355"/>
      <c r="P101" s="355"/>
      <c r="Q101" s="355"/>
      <c r="R101" s="600" t="str">
        <f t="shared" si="27"/>
        <v>NA</v>
      </c>
      <c r="S101" s="600"/>
      <c r="T101" s="600"/>
      <c r="U101" s="600"/>
      <c r="V101" s="600"/>
      <c r="W101" s="600"/>
      <c r="X101" s="600"/>
      <c r="Y101" s="600"/>
      <c r="Z101" s="600"/>
      <c r="AA101" s="482"/>
      <c r="AB101" s="482"/>
      <c r="AC101" s="482"/>
      <c r="AD101" s="600">
        <v>90</v>
      </c>
      <c r="AE101" s="482"/>
      <c r="AF101" s="600" t="str">
        <f t="shared" si="28"/>
        <v/>
      </c>
      <c r="AG101" s="600" t="str">
        <f t="shared" si="29"/>
        <v/>
      </c>
      <c r="AH101" s="600" t="str">
        <f t="shared" si="30"/>
        <v/>
      </c>
      <c r="AI101" s="600" t="str">
        <f t="shared" si="31"/>
        <v/>
      </c>
      <c r="AJ101" s="600" t="str">
        <f t="shared" si="32"/>
        <v/>
      </c>
      <c r="AK101" s="600" t="str">
        <f t="shared" si="33"/>
        <v/>
      </c>
      <c r="AL101" s="600" t="str">
        <f t="shared" si="34"/>
        <v/>
      </c>
      <c r="AM101" s="600" t="str">
        <f t="shared" si="35"/>
        <v/>
      </c>
      <c r="AN101" s="600"/>
      <c r="AO101" s="600" t="str">
        <f t="shared" si="36"/>
        <v/>
      </c>
      <c r="AP101" s="600" t="str">
        <f t="shared" si="36"/>
        <v/>
      </c>
      <c r="AQ101" s="600" t="str">
        <f t="shared" si="36"/>
        <v/>
      </c>
      <c r="AR101" s="600" t="str">
        <f t="shared" si="36"/>
        <v/>
      </c>
      <c r="AS101" s="600" t="str">
        <f t="shared" si="36"/>
        <v/>
      </c>
      <c r="AT101" s="600" t="str">
        <f t="shared" si="36"/>
        <v/>
      </c>
      <c r="AU101" s="600" t="str">
        <f t="shared" si="36"/>
        <v/>
      </c>
      <c r="AV101" s="600" t="str">
        <f t="shared" si="36"/>
        <v/>
      </c>
      <c r="AW101" s="482"/>
      <c r="AX101" s="482"/>
      <c r="AY101" s="482"/>
      <c r="AZ101" s="482"/>
      <c r="BA101" s="343"/>
      <c r="BB101" s="343"/>
      <c r="BC101" s="343"/>
      <c r="BD101" s="343"/>
      <c r="BE101" s="343"/>
      <c r="BF101" s="343"/>
      <c r="BG101" s="343"/>
      <c r="BH101" s="343"/>
      <c r="BI101" s="343"/>
      <c r="BJ101" s="343"/>
      <c r="BK101" s="343"/>
      <c r="BL101" s="343"/>
      <c r="BM101" s="343"/>
      <c r="BN101" s="343"/>
      <c r="BO101" s="343"/>
      <c r="BP101" s="343"/>
      <c r="BQ101" s="343"/>
      <c r="BR101" s="343"/>
      <c r="BS101" s="343"/>
      <c r="BT101" s="343"/>
      <c r="BU101" s="343"/>
      <c r="BV101" s="343"/>
      <c r="BW101" s="343"/>
      <c r="BX101" s="343"/>
    </row>
    <row r="102" spans="1:76" s="25" customFormat="1">
      <c r="A102" s="343"/>
      <c r="B102" s="343"/>
      <c r="C102" s="115" t="str">
        <f t="shared" si="21"/>
        <v/>
      </c>
      <c r="D102" s="123" t="str">
        <f t="shared" si="22"/>
        <v/>
      </c>
      <c r="E102" s="232" t="str">
        <f>IF(OR(AF102&lt;&gt;"",AO102&lt;&gt;""),IF(MAX(AF102,AO102)&gt;ABS(MIN(AF102,AO102)),MAX(AF102,AO102),IF(AND($N$9=2,'Shear(M)'!B144="#",'Shear(M)'!B143="#",'Shear(M)'!B145="#"),E101,MIN(AF102,AO102))),"")</f>
        <v/>
      </c>
      <c r="F102" s="232" t="str">
        <f t="shared" si="23"/>
        <v/>
      </c>
      <c r="G102" s="115" t="e">
        <f>IF(AND($N$9=2,'Shear(M)'!B144="#",'Shear(M)'!B143="#",'Shear(M)'!B145="#"),G101,IF(OR(AH102&lt;&gt;"",AQ102&lt;&gt;""),MAX(AH102,AQ102),""))</f>
        <v>#VALUE!</v>
      </c>
      <c r="H102" s="115" t="e">
        <f>IF(AND($N$9=2,'Shear(M)'!B144="#",'Shear(M)'!B143="#",'Shear(M)'!B145="#"),H101,IF(OR(AI102&lt;&gt;"",AR102&lt;&gt;""),MIN(AI102,AR102),""))</f>
        <v>#VALUE!</v>
      </c>
      <c r="I102" s="115" t="e">
        <f>IF(AND($N$9=2,'Shear(M)'!B144="#",'Shear(M)'!B143="#",'Shear(M)'!B145="#"),I101,IF(OR(AJ102&lt;&gt;"",AS102&lt;&gt;""),MAX(AJ102,AS102),""))</f>
        <v>#VALUE!</v>
      </c>
      <c r="J102" s="115" t="e">
        <f>IF(AND($N$9=2,'Shear(M)'!B144="#",'Shear(M)'!B143="#",'Shear(M)'!B145="#"),J101,IF(OR(AK102&lt;&gt;"",AT102&lt;&gt;""),MIN(AK102,AT102),""))</f>
        <v>#VALUE!</v>
      </c>
      <c r="K102" s="232" t="str">
        <f t="shared" si="24"/>
        <v/>
      </c>
      <c r="L102" s="232" t="str">
        <f t="shared" si="25"/>
        <v/>
      </c>
      <c r="M102" s="660" t="str">
        <f t="shared" si="26"/>
        <v/>
      </c>
      <c r="N102" s="355"/>
      <c r="O102" s="355"/>
      <c r="P102" s="355"/>
      <c r="Q102" s="355"/>
      <c r="R102" s="600" t="str">
        <f t="shared" si="27"/>
        <v>NA</v>
      </c>
      <c r="S102" s="600"/>
      <c r="T102" s="600"/>
      <c r="U102" s="600"/>
      <c r="V102" s="600"/>
      <c r="W102" s="600"/>
      <c r="X102" s="600"/>
      <c r="Y102" s="600"/>
      <c r="Z102" s="600"/>
      <c r="AA102" s="482"/>
      <c r="AB102" s="482"/>
      <c r="AC102" s="482"/>
      <c r="AD102" s="600">
        <v>91</v>
      </c>
      <c r="AE102" s="482"/>
      <c r="AF102" s="600" t="str">
        <f t="shared" si="28"/>
        <v/>
      </c>
      <c r="AG102" s="600" t="str">
        <f t="shared" si="29"/>
        <v/>
      </c>
      <c r="AH102" s="600" t="str">
        <f t="shared" si="30"/>
        <v/>
      </c>
      <c r="AI102" s="600" t="str">
        <f t="shared" si="31"/>
        <v/>
      </c>
      <c r="AJ102" s="600" t="str">
        <f t="shared" si="32"/>
        <v/>
      </c>
      <c r="AK102" s="600" t="str">
        <f t="shared" si="33"/>
        <v/>
      </c>
      <c r="AL102" s="600" t="str">
        <f t="shared" si="34"/>
        <v/>
      </c>
      <c r="AM102" s="600" t="str">
        <f t="shared" si="35"/>
        <v/>
      </c>
      <c r="AN102" s="600"/>
      <c r="AO102" s="600" t="str">
        <f t="shared" si="36"/>
        <v/>
      </c>
      <c r="AP102" s="600" t="str">
        <f t="shared" si="36"/>
        <v/>
      </c>
      <c r="AQ102" s="600" t="str">
        <f t="shared" si="36"/>
        <v/>
      </c>
      <c r="AR102" s="600" t="str">
        <f t="shared" si="36"/>
        <v/>
      </c>
      <c r="AS102" s="600" t="str">
        <f t="shared" si="36"/>
        <v/>
      </c>
      <c r="AT102" s="600" t="str">
        <f t="shared" si="36"/>
        <v/>
      </c>
      <c r="AU102" s="600" t="str">
        <f t="shared" si="36"/>
        <v/>
      </c>
      <c r="AV102" s="600" t="str">
        <f t="shared" si="36"/>
        <v/>
      </c>
      <c r="AW102" s="482"/>
      <c r="AX102" s="482"/>
      <c r="AY102" s="482"/>
      <c r="AZ102" s="482"/>
      <c r="BA102" s="343"/>
      <c r="BB102" s="343"/>
      <c r="BC102" s="343"/>
      <c r="BD102" s="343"/>
      <c r="BE102" s="343"/>
      <c r="BF102" s="343"/>
      <c r="BG102" s="343"/>
      <c r="BH102" s="343"/>
      <c r="BI102" s="343"/>
      <c r="BJ102" s="343"/>
      <c r="BK102" s="343"/>
      <c r="BL102" s="343"/>
      <c r="BM102" s="343"/>
      <c r="BN102" s="343"/>
      <c r="BO102" s="343"/>
      <c r="BP102" s="343"/>
      <c r="BQ102" s="343"/>
      <c r="BR102" s="343"/>
      <c r="BS102" s="343"/>
      <c r="BT102" s="343"/>
      <c r="BU102" s="343"/>
      <c r="BV102" s="343"/>
      <c r="BW102" s="343"/>
      <c r="BX102" s="343"/>
    </row>
    <row r="103" spans="1:76" s="25" customFormat="1">
      <c r="A103" s="343"/>
      <c r="B103" s="343"/>
      <c r="C103" s="115" t="str">
        <f t="shared" si="21"/>
        <v/>
      </c>
      <c r="D103" s="123" t="str">
        <f t="shared" si="22"/>
        <v/>
      </c>
      <c r="E103" s="232" t="str">
        <f>IF(OR(AF103&lt;&gt;"",AO103&lt;&gt;""),IF(MAX(AF103,AO103)&gt;ABS(MIN(AF103,AO103)),MAX(AF103,AO103),IF(AND($N$9=2,'Shear(M)'!B145="#",'Shear(M)'!B144="#",'Shear(M)'!B146="#"),E102,MIN(AF103,AO103))),"")</f>
        <v/>
      </c>
      <c r="F103" s="232" t="str">
        <f t="shared" si="23"/>
        <v/>
      </c>
      <c r="G103" s="115" t="e">
        <f>IF(AND($N$9=2,'Shear(M)'!B145="#",'Shear(M)'!B144="#",'Shear(M)'!B146="#"),G102,IF(OR(AH103&lt;&gt;"",AQ103&lt;&gt;""),MAX(AH103,AQ103),""))</f>
        <v>#VALUE!</v>
      </c>
      <c r="H103" s="115" t="e">
        <f>IF(AND($N$9=2,'Shear(M)'!B145="#",'Shear(M)'!B144="#",'Shear(M)'!B146="#"),H102,IF(OR(AI103&lt;&gt;"",AR103&lt;&gt;""),MIN(AI103,AR103),""))</f>
        <v>#VALUE!</v>
      </c>
      <c r="I103" s="115" t="e">
        <f>IF(AND($N$9=2,'Shear(M)'!B145="#",'Shear(M)'!B144="#",'Shear(M)'!B146="#"),I102,IF(OR(AJ103&lt;&gt;"",AS103&lt;&gt;""),MAX(AJ103,AS103),""))</f>
        <v>#VALUE!</v>
      </c>
      <c r="J103" s="115" t="e">
        <f>IF(AND($N$9=2,'Shear(M)'!B145="#",'Shear(M)'!B144="#",'Shear(M)'!B146="#"),J102,IF(OR(AK103&lt;&gt;"",AT103&lt;&gt;""),MIN(AK103,AT103),""))</f>
        <v>#VALUE!</v>
      </c>
      <c r="K103" s="232" t="str">
        <f t="shared" si="24"/>
        <v/>
      </c>
      <c r="L103" s="232" t="str">
        <f t="shared" si="25"/>
        <v/>
      </c>
      <c r="M103" s="660" t="str">
        <f t="shared" si="26"/>
        <v/>
      </c>
      <c r="N103" s="355"/>
      <c r="O103" s="355"/>
      <c r="P103" s="355"/>
      <c r="Q103" s="355"/>
      <c r="R103" s="600" t="str">
        <f t="shared" si="27"/>
        <v>NA</v>
      </c>
      <c r="S103" s="600"/>
      <c r="T103" s="600"/>
      <c r="U103" s="600"/>
      <c r="V103" s="600"/>
      <c r="W103" s="600"/>
      <c r="X103" s="600"/>
      <c r="Y103" s="600"/>
      <c r="Z103" s="600"/>
      <c r="AA103" s="482"/>
      <c r="AB103" s="482"/>
      <c r="AC103" s="482"/>
      <c r="AD103" s="600">
        <v>92</v>
      </c>
      <c r="AE103" s="482"/>
      <c r="AF103" s="600" t="str">
        <f t="shared" si="28"/>
        <v/>
      </c>
      <c r="AG103" s="600" t="str">
        <f t="shared" si="29"/>
        <v/>
      </c>
      <c r="AH103" s="600" t="str">
        <f t="shared" si="30"/>
        <v/>
      </c>
      <c r="AI103" s="600" t="str">
        <f t="shared" si="31"/>
        <v/>
      </c>
      <c r="AJ103" s="600" t="str">
        <f t="shared" si="32"/>
        <v/>
      </c>
      <c r="AK103" s="600" t="str">
        <f t="shared" si="33"/>
        <v/>
      </c>
      <c r="AL103" s="600" t="str">
        <f t="shared" si="34"/>
        <v/>
      </c>
      <c r="AM103" s="600" t="str">
        <f t="shared" si="35"/>
        <v/>
      </c>
      <c r="AN103" s="600"/>
      <c r="AO103" s="600" t="str">
        <f t="shared" si="36"/>
        <v/>
      </c>
      <c r="AP103" s="600" t="str">
        <f t="shared" si="36"/>
        <v/>
      </c>
      <c r="AQ103" s="600" t="str">
        <f t="shared" si="36"/>
        <v/>
      </c>
      <c r="AR103" s="600" t="str">
        <f t="shared" si="36"/>
        <v/>
      </c>
      <c r="AS103" s="600" t="str">
        <f t="shared" si="36"/>
        <v/>
      </c>
      <c r="AT103" s="600" t="str">
        <f t="shared" si="36"/>
        <v/>
      </c>
      <c r="AU103" s="600" t="str">
        <f t="shared" si="36"/>
        <v/>
      </c>
      <c r="AV103" s="600" t="str">
        <f t="shared" si="36"/>
        <v/>
      </c>
      <c r="AW103" s="482"/>
      <c r="AX103" s="482"/>
      <c r="AY103" s="482"/>
      <c r="AZ103" s="482"/>
      <c r="BA103" s="343"/>
      <c r="BB103" s="343"/>
      <c r="BC103" s="343"/>
      <c r="BD103" s="343"/>
      <c r="BE103" s="343"/>
      <c r="BF103" s="343"/>
      <c r="BG103" s="343"/>
      <c r="BH103" s="343"/>
      <c r="BI103" s="343"/>
      <c r="BJ103" s="343"/>
      <c r="BK103" s="343"/>
      <c r="BL103" s="343"/>
      <c r="BM103" s="343"/>
      <c r="BN103" s="343"/>
      <c r="BO103" s="343"/>
      <c r="BP103" s="343"/>
      <c r="BQ103" s="343"/>
      <c r="BR103" s="343"/>
      <c r="BS103" s="343"/>
      <c r="BT103" s="343"/>
      <c r="BU103" s="343"/>
      <c r="BV103" s="343"/>
      <c r="BW103" s="343"/>
      <c r="BX103" s="343"/>
    </row>
    <row r="104" spans="1:76" s="25" customFormat="1">
      <c r="A104" s="343"/>
      <c r="B104" s="343"/>
      <c r="C104" s="115" t="str">
        <f t="shared" si="21"/>
        <v/>
      </c>
      <c r="D104" s="123" t="str">
        <f t="shared" si="22"/>
        <v/>
      </c>
      <c r="E104" s="232" t="str">
        <f>IF(OR(AF104&lt;&gt;"",AO104&lt;&gt;""),IF(MAX(AF104,AO104)&gt;ABS(MIN(AF104,AO104)),MAX(AF104,AO104),IF(AND($N$9=2,'Shear(M)'!B146="#",'Shear(M)'!B145="#",'Shear(M)'!B147="#"),E103,MIN(AF104,AO104))),"")</f>
        <v/>
      </c>
      <c r="F104" s="232" t="str">
        <f t="shared" si="23"/>
        <v/>
      </c>
      <c r="G104" s="115" t="e">
        <f>IF(AND($N$9=2,'Shear(M)'!B146="#",'Shear(M)'!B145="#",'Shear(M)'!B147="#"),G103,IF(OR(AH104&lt;&gt;"",AQ104&lt;&gt;""),MAX(AH104,AQ104),""))</f>
        <v>#VALUE!</v>
      </c>
      <c r="H104" s="115" t="e">
        <f>IF(AND($N$9=2,'Shear(M)'!B146="#",'Shear(M)'!B145="#",'Shear(M)'!B147="#"),H103,IF(OR(AI104&lt;&gt;"",AR104&lt;&gt;""),MIN(AI104,AR104),""))</f>
        <v>#VALUE!</v>
      </c>
      <c r="I104" s="115" t="e">
        <f>IF(AND($N$9=2,'Shear(M)'!B146="#",'Shear(M)'!B145="#",'Shear(M)'!B147="#"),I103,IF(OR(AJ104&lt;&gt;"",AS104&lt;&gt;""),MAX(AJ104,AS104),""))</f>
        <v>#VALUE!</v>
      </c>
      <c r="J104" s="115" t="e">
        <f>IF(AND($N$9=2,'Shear(M)'!B146="#",'Shear(M)'!B145="#",'Shear(M)'!B147="#"),J103,IF(OR(AK104&lt;&gt;"",AT104&lt;&gt;""),MIN(AK104,AT104),""))</f>
        <v>#VALUE!</v>
      </c>
      <c r="K104" s="232" t="str">
        <f t="shared" si="24"/>
        <v/>
      </c>
      <c r="L104" s="232" t="str">
        <f t="shared" si="25"/>
        <v/>
      </c>
      <c r="M104" s="660" t="str">
        <f t="shared" si="26"/>
        <v/>
      </c>
      <c r="N104" s="355"/>
      <c r="O104" s="355"/>
      <c r="P104" s="355"/>
      <c r="Q104" s="355"/>
      <c r="R104" s="600" t="str">
        <f t="shared" si="27"/>
        <v>NA</v>
      </c>
      <c r="S104" s="600"/>
      <c r="T104" s="600"/>
      <c r="U104" s="600"/>
      <c r="V104" s="600"/>
      <c r="W104" s="600"/>
      <c r="X104" s="600"/>
      <c r="Y104" s="600"/>
      <c r="Z104" s="600"/>
      <c r="AA104" s="482"/>
      <c r="AB104" s="482"/>
      <c r="AC104" s="482"/>
      <c r="AD104" s="600">
        <v>93</v>
      </c>
      <c r="AE104" s="482"/>
      <c r="AF104" s="600" t="str">
        <f t="shared" si="28"/>
        <v/>
      </c>
      <c r="AG104" s="600" t="str">
        <f t="shared" si="29"/>
        <v/>
      </c>
      <c r="AH104" s="600" t="str">
        <f t="shared" si="30"/>
        <v/>
      </c>
      <c r="AI104" s="600" t="str">
        <f t="shared" si="31"/>
        <v/>
      </c>
      <c r="AJ104" s="600" t="str">
        <f t="shared" si="32"/>
        <v/>
      </c>
      <c r="AK104" s="600" t="str">
        <f t="shared" si="33"/>
        <v/>
      </c>
      <c r="AL104" s="600" t="str">
        <f t="shared" si="34"/>
        <v/>
      </c>
      <c r="AM104" s="600" t="str">
        <f t="shared" si="35"/>
        <v/>
      </c>
      <c r="AN104" s="600"/>
      <c r="AO104" s="600" t="str">
        <f t="shared" si="36"/>
        <v/>
      </c>
      <c r="AP104" s="600" t="str">
        <f t="shared" si="36"/>
        <v/>
      </c>
      <c r="AQ104" s="600" t="str">
        <f t="shared" si="36"/>
        <v/>
      </c>
      <c r="AR104" s="600" t="str">
        <f t="shared" si="36"/>
        <v/>
      </c>
      <c r="AS104" s="600" t="str">
        <f t="shared" si="36"/>
        <v/>
      </c>
      <c r="AT104" s="600" t="str">
        <f t="shared" si="36"/>
        <v/>
      </c>
      <c r="AU104" s="600" t="str">
        <f t="shared" si="36"/>
        <v/>
      </c>
      <c r="AV104" s="600" t="str">
        <f t="shared" si="36"/>
        <v/>
      </c>
      <c r="AW104" s="482"/>
      <c r="AX104" s="482"/>
      <c r="AY104" s="482"/>
      <c r="AZ104" s="482"/>
      <c r="BA104" s="343"/>
      <c r="BB104" s="343"/>
      <c r="BC104" s="343"/>
      <c r="BD104" s="343"/>
      <c r="BE104" s="343"/>
      <c r="BF104" s="343"/>
      <c r="BG104" s="343"/>
      <c r="BH104" s="343"/>
      <c r="BI104" s="343"/>
      <c r="BJ104" s="343"/>
      <c r="BK104" s="343"/>
      <c r="BL104" s="343"/>
      <c r="BM104" s="343"/>
      <c r="BN104" s="343"/>
      <c r="BO104" s="343"/>
      <c r="BP104" s="343"/>
      <c r="BQ104" s="343"/>
      <c r="BR104" s="343"/>
      <c r="BS104" s="343"/>
      <c r="BT104" s="343"/>
      <c r="BU104" s="343"/>
      <c r="BV104" s="343"/>
      <c r="BW104" s="343"/>
      <c r="BX104" s="343"/>
    </row>
    <row r="105" spans="1:76" s="25" customFormat="1">
      <c r="A105" s="343"/>
      <c r="B105" s="343"/>
      <c r="C105" s="115" t="str">
        <f t="shared" si="21"/>
        <v/>
      </c>
      <c r="D105" s="123" t="str">
        <f t="shared" si="22"/>
        <v/>
      </c>
      <c r="E105" s="232" t="str">
        <f>IF(OR(AF105&lt;&gt;"",AO105&lt;&gt;""),IF(MAX(AF105,AO105)&gt;ABS(MIN(AF105,AO105)),MAX(AF105,AO105),IF(AND($N$9=2,'Shear(M)'!B147="#",'Shear(M)'!B146="#",'Shear(M)'!B148="#"),E104,MIN(AF105,AO105))),"")</f>
        <v/>
      </c>
      <c r="F105" s="232" t="str">
        <f t="shared" si="23"/>
        <v/>
      </c>
      <c r="G105" s="115" t="e">
        <f>IF(AND($N$9=2,'Shear(M)'!B147="#",'Shear(M)'!B146="#",'Shear(M)'!B148="#"),G104,IF(OR(AH105&lt;&gt;"",AQ105&lt;&gt;""),MAX(AH105,AQ105),""))</f>
        <v>#VALUE!</v>
      </c>
      <c r="H105" s="115" t="e">
        <f>IF(AND($N$9=2,'Shear(M)'!B147="#",'Shear(M)'!B146="#",'Shear(M)'!B148="#"),H104,IF(OR(AI105&lt;&gt;"",AR105&lt;&gt;""),MIN(AI105,AR105),""))</f>
        <v>#VALUE!</v>
      </c>
      <c r="I105" s="115" t="e">
        <f>IF(AND($N$9=2,'Shear(M)'!B147="#",'Shear(M)'!B146="#",'Shear(M)'!B148="#"),I104,IF(OR(AJ105&lt;&gt;"",AS105&lt;&gt;""),MAX(AJ105,AS105),""))</f>
        <v>#VALUE!</v>
      </c>
      <c r="J105" s="115" t="e">
        <f>IF(AND($N$9=2,'Shear(M)'!B147="#",'Shear(M)'!B146="#",'Shear(M)'!B148="#"),J104,IF(OR(AK105&lt;&gt;"",AT105&lt;&gt;""),MIN(AK105,AT105),""))</f>
        <v>#VALUE!</v>
      </c>
      <c r="K105" s="232" t="str">
        <f t="shared" si="24"/>
        <v/>
      </c>
      <c r="L105" s="232" t="str">
        <f t="shared" si="25"/>
        <v/>
      </c>
      <c r="M105" s="660" t="str">
        <f t="shared" si="26"/>
        <v/>
      </c>
      <c r="N105" s="355"/>
      <c r="O105" s="355"/>
      <c r="P105" s="355"/>
      <c r="Q105" s="355"/>
      <c r="R105" s="600" t="str">
        <f t="shared" si="27"/>
        <v>NA</v>
      </c>
      <c r="S105" s="600"/>
      <c r="T105" s="600"/>
      <c r="U105" s="600"/>
      <c r="V105" s="600"/>
      <c r="W105" s="600"/>
      <c r="X105" s="600"/>
      <c r="Y105" s="600"/>
      <c r="Z105" s="600"/>
      <c r="AA105" s="482"/>
      <c r="AB105" s="482"/>
      <c r="AC105" s="482"/>
      <c r="AD105" s="600">
        <v>94</v>
      </c>
      <c r="AE105" s="482"/>
      <c r="AF105" s="600" t="str">
        <f t="shared" si="28"/>
        <v/>
      </c>
      <c r="AG105" s="600" t="str">
        <f t="shared" si="29"/>
        <v/>
      </c>
      <c r="AH105" s="600" t="str">
        <f t="shared" si="30"/>
        <v/>
      </c>
      <c r="AI105" s="600" t="str">
        <f t="shared" si="31"/>
        <v/>
      </c>
      <c r="AJ105" s="600" t="str">
        <f t="shared" si="32"/>
        <v/>
      </c>
      <c r="AK105" s="600" t="str">
        <f t="shared" si="33"/>
        <v/>
      </c>
      <c r="AL105" s="600" t="str">
        <f t="shared" si="34"/>
        <v/>
      </c>
      <c r="AM105" s="600" t="str">
        <f t="shared" si="35"/>
        <v/>
      </c>
      <c r="AN105" s="600"/>
      <c r="AO105" s="600" t="str">
        <f t="shared" si="36"/>
        <v/>
      </c>
      <c r="AP105" s="600" t="str">
        <f t="shared" si="36"/>
        <v/>
      </c>
      <c r="AQ105" s="600" t="str">
        <f t="shared" si="36"/>
        <v/>
      </c>
      <c r="AR105" s="600" t="str">
        <f t="shared" si="36"/>
        <v/>
      </c>
      <c r="AS105" s="600" t="str">
        <f t="shared" si="36"/>
        <v/>
      </c>
      <c r="AT105" s="600" t="str">
        <f t="shared" si="36"/>
        <v/>
      </c>
      <c r="AU105" s="600" t="str">
        <f t="shared" si="36"/>
        <v/>
      </c>
      <c r="AV105" s="600" t="str">
        <f t="shared" si="36"/>
        <v/>
      </c>
      <c r="AW105" s="482"/>
      <c r="AX105" s="482"/>
      <c r="AY105" s="482"/>
      <c r="AZ105" s="482"/>
      <c r="BA105" s="343"/>
      <c r="BB105" s="343"/>
      <c r="BC105" s="343"/>
      <c r="BD105" s="343"/>
      <c r="BE105" s="343"/>
      <c r="BF105" s="343"/>
      <c r="BG105" s="343"/>
      <c r="BH105" s="343"/>
      <c r="BI105" s="343"/>
      <c r="BJ105" s="343"/>
      <c r="BK105" s="343"/>
      <c r="BL105" s="343"/>
      <c r="BM105" s="343"/>
      <c r="BN105" s="343"/>
      <c r="BO105" s="343"/>
      <c r="BP105" s="343"/>
      <c r="BQ105" s="343"/>
      <c r="BR105" s="343"/>
      <c r="BS105" s="343"/>
      <c r="BT105" s="343"/>
      <c r="BU105" s="343"/>
      <c r="BV105" s="343"/>
      <c r="BW105" s="343"/>
      <c r="BX105" s="343"/>
    </row>
    <row r="106" spans="1:76" s="25" customFormat="1">
      <c r="A106" s="343"/>
      <c r="B106" s="343"/>
      <c r="C106" s="115" t="str">
        <f t="shared" si="21"/>
        <v/>
      </c>
      <c r="D106" s="123" t="str">
        <f t="shared" si="22"/>
        <v/>
      </c>
      <c r="E106" s="232" t="str">
        <f>IF(OR(AF106&lt;&gt;"",AO106&lt;&gt;""),IF(MAX(AF106,AO106)&gt;ABS(MIN(AF106,AO106)),MAX(AF106,AO106),IF(AND($N$9=2,'Shear(M)'!B148="#",'Shear(M)'!B147="#",'Shear(M)'!B149="#"),E105,MIN(AF106,AO106))),"")</f>
        <v/>
      </c>
      <c r="F106" s="232" t="str">
        <f t="shared" si="23"/>
        <v/>
      </c>
      <c r="G106" s="115" t="e">
        <f>IF(AND($N$9=2,'Shear(M)'!B148="#",'Shear(M)'!B147="#",'Shear(M)'!B149="#"),G105,IF(OR(AH106&lt;&gt;"",AQ106&lt;&gt;""),MAX(AH106,AQ106),""))</f>
        <v>#VALUE!</v>
      </c>
      <c r="H106" s="115" t="e">
        <f>IF(AND($N$9=2,'Shear(M)'!B148="#",'Shear(M)'!B147="#",'Shear(M)'!B149="#"),H105,IF(OR(AI106&lt;&gt;"",AR106&lt;&gt;""),MIN(AI106,AR106),""))</f>
        <v>#VALUE!</v>
      </c>
      <c r="I106" s="115" t="e">
        <f>IF(AND($N$9=2,'Shear(M)'!B148="#",'Shear(M)'!B147="#",'Shear(M)'!B149="#"),I105,IF(OR(AJ106&lt;&gt;"",AS106&lt;&gt;""),MAX(AJ106,AS106),""))</f>
        <v>#VALUE!</v>
      </c>
      <c r="J106" s="115" t="e">
        <f>IF(AND($N$9=2,'Shear(M)'!B148="#",'Shear(M)'!B147="#",'Shear(M)'!B149="#"),J105,IF(OR(AK106&lt;&gt;"",AT106&lt;&gt;""),MIN(AK106,AT106),""))</f>
        <v>#VALUE!</v>
      </c>
      <c r="K106" s="232" t="str">
        <f t="shared" si="24"/>
        <v/>
      </c>
      <c r="L106" s="232" t="str">
        <f t="shared" si="25"/>
        <v/>
      </c>
      <c r="M106" s="660" t="str">
        <f t="shared" si="26"/>
        <v/>
      </c>
      <c r="N106" s="355"/>
      <c r="O106" s="355"/>
      <c r="P106" s="355"/>
      <c r="Q106" s="355"/>
      <c r="R106" s="600" t="str">
        <f t="shared" si="27"/>
        <v>NA</v>
      </c>
      <c r="S106" s="600"/>
      <c r="T106" s="600"/>
      <c r="U106" s="600"/>
      <c r="V106" s="600"/>
      <c r="W106" s="600"/>
      <c r="X106" s="600"/>
      <c r="Y106" s="600"/>
      <c r="Z106" s="600"/>
      <c r="AA106" s="482"/>
      <c r="AB106" s="482"/>
      <c r="AC106" s="482"/>
      <c r="AD106" s="600">
        <v>95</v>
      </c>
      <c r="AE106" s="482"/>
      <c r="AF106" s="600" t="str">
        <f t="shared" si="28"/>
        <v/>
      </c>
      <c r="AG106" s="600" t="str">
        <f t="shared" si="29"/>
        <v/>
      </c>
      <c r="AH106" s="600" t="str">
        <f t="shared" si="30"/>
        <v/>
      </c>
      <c r="AI106" s="600" t="str">
        <f t="shared" si="31"/>
        <v/>
      </c>
      <c r="AJ106" s="600" t="str">
        <f t="shared" si="32"/>
        <v/>
      </c>
      <c r="AK106" s="600" t="str">
        <f t="shared" si="33"/>
        <v/>
      </c>
      <c r="AL106" s="600" t="str">
        <f t="shared" si="34"/>
        <v/>
      </c>
      <c r="AM106" s="600" t="str">
        <f t="shared" si="35"/>
        <v/>
      </c>
      <c r="AN106" s="600"/>
      <c r="AO106" s="600" t="str">
        <f t="shared" si="36"/>
        <v/>
      </c>
      <c r="AP106" s="600" t="str">
        <f t="shared" si="36"/>
        <v/>
      </c>
      <c r="AQ106" s="600" t="str">
        <f t="shared" si="36"/>
        <v/>
      </c>
      <c r="AR106" s="600" t="str">
        <f t="shared" si="36"/>
        <v/>
      </c>
      <c r="AS106" s="600" t="str">
        <f t="shared" si="36"/>
        <v/>
      </c>
      <c r="AT106" s="600" t="str">
        <f t="shared" si="36"/>
        <v/>
      </c>
      <c r="AU106" s="600" t="str">
        <f t="shared" si="36"/>
        <v/>
      </c>
      <c r="AV106" s="600" t="str">
        <f t="shared" si="36"/>
        <v/>
      </c>
      <c r="AW106" s="482"/>
      <c r="AX106" s="482"/>
      <c r="AY106" s="482"/>
      <c r="AZ106" s="482"/>
      <c r="BA106" s="343"/>
      <c r="BB106" s="343"/>
      <c r="BC106" s="343"/>
      <c r="BD106" s="343"/>
      <c r="BE106" s="343"/>
      <c r="BF106" s="343"/>
      <c r="BG106" s="343"/>
      <c r="BH106" s="343"/>
      <c r="BI106" s="343"/>
      <c r="BJ106" s="343"/>
      <c r="BK106" s="343"/>
      <c r="BL106" s="343"/>
      <c r="BM106" s="343"/>
      <c r="BN106" s="343"/>
      <c r="BO106" s="343"/>
      <c r="BP106" s="343"/>
      <c r="BQ106" s="343"/>
      <c r="BR106" s="343"/>
      <c r="BS106" s="343"/>
      <c r="BT106" s="343"/>
      <c r="BU106" s="343"/>
      <c r="BV106" s="343"/>
      <c r="BW106" s="343"/>
      <c r="BX106" s="343"/>
    </row>
    <row r="107" spans="1:76" s="25" customFormat="1">
      <c r="A107" s="343"/>
      <c r="B107" s="343"/>
      <c r="C107" s="115" t="str">
        <f t="shared" si="21"/>
        <v/>
      </c>
      <c r="D107" s="123" t="str">
        <f t="shared" si="22"/>
        <v/>
      </c>
      <c r="E107" s="232" t="str">
        <f>IF(OR(AF107&lt;&gt;"",AO107&lt;&gt;""),IF(MAX(AF107,AO107)&gt;ABS(MIN(AF107,AO107)),MAX(AF107,AO107),IF(AND($N$9=2,'Shear(M)'!B149="#",'Shear(M)'!B148="#",'Shear(M)'!B150="#"),E106,MIN(AF107,AO107))),"")</f>
        <v/>
      </c>
      <c r="F107" s="232" t="str">
        <f t="shared" si="23"/>
        <v/>
      </c>
      <c r="G107" s="115" t="e">
        <f>IF(AND($N$9=2,'Shear(M)'!B149="#",'Shear(M)'!B148="#",'Shear(M)'!B150="#"),G106,IF(OR(AH107&lt;&gt;"",AQ107&lt;&gt;""),MAX(AH107,AQ107),""))</f>
        <v>#VALUE!</v>
      </c>
      <c r="H107" s="115" t="e">
        <f>IF(AND($N$9=2,'Shear(M)'!B149="#",'Shear(M)'!B148="#",'Shear(M)'!B150="#"),H106,IF(OR(AI107&lt;&gt;"",AR107&lt;&gt;""),MIN(AI107,AR107),""))</f>
        <v>#VALUE!</v>
      </c>
      <c r="I107" s="115" t="e">
        <f>IF(AND($N$9=2,'Shear(M)'!B149="#",'Shear(M)'!B148="#",'Shear(M)'!B150="#"),I106,IF(OR(AJ107&lt;&gt;"",AS107&lt;&gt;""),MAX(AJ107,AS107),""))</f>
        <v>#VALUE!</v>
      </c>
      <c r="J107" s="115" t="e">
        <f>IF(AND($N$9=2,'Shear(M)'!B149="#",'Shear(M)'!B148="#",'Shear(M)'!B150="#"),J106,IF(OR(AK107&lt;&gt;"",AT107&lt;&gt;""),MIN(AK107,AT107),""))</f>
        <v>#VALUE!</v>
      </c>
      <c r="K107" s="232" t="str">
        <f t="shared" si="24"/>
        <v/>
      </c>
      <c r="L107" s="232" t="str">
        <f t="shared" si="25"/>
        <v/>
      </c>
      <c r="M107" s="660" t="str">
        <f t="shared" si="26"/>
        <v/>
      </c>
      <c r="N107" s="355"/>
      <c r="O107" s="355"/>
      <c r="P107" s="355"/>
      <c r="Q107" s="355"/>
      <c r="R107" s="600" t="str">
        <f t="shared" si="27"/>
        <v>NA</v>
      </c>
      <c r="S107" s="600"/>
      <c r="T107" s="600"/>
      <c r="U107" s="600"/>
      <c r="V107" s="600"/>
      <c r="W107" s="600"/>
      <c r="X107" s="600"/>
      <c r="Y107" s="600"/>
      <c r="Z107" s="600"/>
      <c r="AA107" s="482"/>
      <c r="AB107" s="482"/>
      <c r="AC107" s="482"/>
      <c r="AD107" s="600">
        <v>96</v>
      </c>
      <c r="AE107" s="482"/>
      <c r="AF107" s="600" t="str">
        <f t="shared" si="28"/>
        <v/>
      </c>
      <c r="AG107" s="600" t="str">
        <f t="shared" si="29"/>
        <v/>
      </c>
      <c r="AH107" s="600" t="str">
        <f t="shared" si="30"/>
        <v/>
      </c>
      <c r="AI107" s="600" t="str">
        <f t="shared" si="31"/>
        <v/>
      </c>
      <c r="AJ107" s="600" t="str">
        <f t="shared" si="32"/>
        <v/>
      </c>
      <c r="AK107" s="600" t="str">
        <f t="shared" si="33"/>
        <v/>
      </c>
      <c r="AL107" s="600" t="str">
        <f t="shared" si="34"/>
        <v/>
      </c>
      <c r="AM107" s="600" t="str">
        <f t="shared" si="35"/>
        <v/>
      </c>
      <c r="AN107" s="600"/>
      <c r="AO107" s="600" t="str">
        <f t="shared" si="36"/>
        <v/>
      </c>
      <c r="AP107" s="600" t="str">
        <f t="shared" si="36"/>
        <v/>
      </c>
      <c r="AQ107" s="600" t="str">
        <f t="shared" si="36"/>
        <v/>
      </c>
      <c r="AR107" s="600" t="str">
        <f t="shared" si="36"/>
        <v/>
      </c>
      <c r="AS107" s="600" t="str">
        <f t="shared" si="36"/>
        <v/>
      </c>
      <c r="AT107" s="600" t="str">
        <f t="shared" si="36"/>
        <v/>
      </c>
      <c r="AU107" s="600" t="str">
        <f t="shared" si="36"/>
        <v/>
      </c>
      <c r="AV107" s="600" t="str">
        <f t="shared" si="36"/>
        <v/>
      </c>
      <c r="AW107" s="482"/>
      <c r="AX107" s="482"/>
      <c r="AY107" s="482"/>
      <c r="AZ107" s="482"/>
      <c r="BA107" s="343"/>
      <c r="BB107" s="343"/>
      <c r="BC107" s="343"/>
      <c r="BD107" s="343"/>
      <c r="BE107" s="343"/>
      <c r="BF107" s="343"/>
      <c r="BG107" s="343"/>
      <c r="BH107" s="343"/>
      <c r="BI107" s="343"/>
      <c r="BJ107" s="343"/>
      <c r="BK107" s="343"/>
      <c r="BL107" s="343"/>
      <c r="BM107" s="343"/>
      <c r="BN107" s="343"/>
      <c r="BO107" s="343"/>
      <c r="BP107" s="343"/>
      <c r="BQ107" s="343"/>
      <c r="BR107" s="343"/>
      <c r="BS107" s="343"/>
      <c r="BT107" s="343"/>
      <c r="BU107" s="343"/>
      <c r="BV107" s="343"/>
      <c r="BW107" s="343"/>
      <c r="BX107" s="343"/>
    </row>
    <row r="108" spans="1:76" s="25" customFormat="1">
      <c r="A108" s="343"/>
      <c r="B108" s="343"/>
      <c r="C108" s="115" t="str">
        <f t="shared" si="21"/>
        <v/>
      </c>
      <c r="D108" s="123" t="str">
        <f t="shared" si="22"/>
        <v/>
      </c>
      <c r="E108" s="232" t="str">
        <f>IF(OR(AF108&lt;&gt;"",AO108&lt;&gt;""),IF(MAX(AF108,AO108)&gt;ABS(MIN(AF108,AO108)),MAX(AF108,AO108),IF(AND($N$9=2,'Shear(M)'!B150="#",'Shear(M)'!B149="#",'Shear(M)'!B151="#"),E107,MIN(AF108,AO108))),"")</f>
        <v/>
      </c>
      <c r="F108" s="232" t="str">
        <f t="shared" si="23"/>
        <v/>
      </c>
      <c r="G108" s="115" t="e">
        <f>IF(AND($N$9=2,'Shear(M)'!B150="#",'Shear(M)'!B149="#",'Shear(M)'!B151="#"),G107,IF(OR(AH108&lt;&gt;"",AQ108&lt;&gt;""),MAX(AH108,AQ108),""))</f>
        <v>#VALUE!</v>
      </c>
      <c r="H108" s="115" t="e">
        <f>IF(AND($N$9=2,'Shear(M)'!B150="#",'Shear(M)'!B149="#",'Shear(M)'!B151="#"),H107,IF(OR(AI108&lt;&gt;"",AR108&lt;&gt;""),MIN(AI108,AR108),""))</f>
        <v>#VALUE!</v>
      </c>
      <c r="I108" s="115" t="e">
        <f>IF(AND($N$9=2,'Shear(M)'!B150="#",'Shear(M)'!B149="#",'Shear(M)'!B151="#"),I107,IF(OR(AJ108&lt;&gt;"",AS108&lt;&gt;""),MAX(AJ108,AS108),""))</f>
        <v>#VALUE!</v>
      </c>
      <c r="J108" s="115" t="e">
        <f>IF(AND($N$9=2,'Shear(M)'!B150="#",'Shear(M)'!B149="#",'Shear(M)'!B151="#"),J107,IF(OR(AK108&lt;&gt;"",AT108&lt;&gt;""),MIN(AK108,AT108),""))</f>
        <v>#VALUE!</v>
      </c>
      <c r="K108" s="232" t="str">
        <f t="shared" si="24"/>
        <v/>
      </c>
      <c r="L108" s="232" t="str">
        <f t="shared" si="25"/>
        <v/>
      </c>
      <c r="M108" s="660" t="str">
        <f t="shared" si="26"/>
        <v/>
      </c>
      <c r="N108" s="355"/>
      <c r="O108" s="355"/>
      <c r="P108" s="355"/>
      <c r="Q108" s="355"/>
      <c r="R108" s="600" t="str">
        <f t="shared" si="27"/>
        <v>NA</v>
      </c>
      <c r="S108" s="600"/>
      <c r="T108" s="600"/>
      <c r="U108" s="600"/>
      <c r="V108" s="600"/>
      <c r="W108" s="600"/>
      <c r="X108" s="600"/>
      <c r="Y108" s="600"/>
      <c r="Z108" s="600"/>
      <c r="AA108" s="482"/>
      <c r="AB108" s="482"/>
      <c r="AC108" s="482"/>
      <c r="AD108" s="600">
        <v>97</v>
      </c>
      <c r="AE108" s="482"/>
      <c r="AF108" s="600" t="str">
        <f t="shared" si="28"/>
        <v/>
      </c>
      <c r="AG108" s="600" t="str">
        <f t="shared" si="29"/>
        <v/>
      </c>
      <c r="AH108" s="600" t="str">
        <f t="shared" si="30"/>
        <v/>
      </c>
      <c r="AI108" s="600" t="str">
        <f t="shared" si="31"/>
        <v/>
      </c>
      <c r="AJ108" s="600" t="str">
        <f t="shared" si="32"/>
        <v/>
      </c>
      <c r="AK108" s="600" t="str">
        <f t="shared" si="33"/>
        <v/>
      </c>
      <c r="AL108" s="600" t="str">
        <f t="shared" si="34"/>
        <v/>
      </c>
      <c r="AM108" s="600" t="str">
        <f t="shared" si="35"/>
        <v/>
      </c>
      <c r="AN108" s="600"/>
      <c r="AO108" s="600" t="str">
        <f t="shared" si="36"/>
        <v/>
      </c>
      <c r="AP108" s="600" t="str">
        <f t="shared" si="36"/>
        <v/>
      </c>
      <c r="AQ108" s="600" t="str">
        <f t="shared" si="36"/>
        <v/>
      </c>
      <c r="AR108" s="600" t="str">
        <f t="shared" si="36"/>
        <v/>
      </c>
      <c r="AS108" s="600" t="str">
        <f t="shared" si="36"/>
        <v/>
      </c>
      <c r="AT108" s="600" t="str">
        <f t="shared" si="36"/>
        <v/>
      </c>
      <c r="AU108" s="600" t="str">
        <f t="shared" si="36"/>
        <v/>
      </c>
      <c r="AV108" s="600" t="str">
        <f t="shared" si="36"/>
        <v/>
      </c>
      <c r="AW108" s="482"/>
      <c r="AX108" s="482"/>
      <c r="AY108" s="482"/>
      <c r="AZ108" s="482"/>
      <c r="BA108" s="343"/>
      <c r="BB108" s="343"/>
      <c r="BC108" s="343"/>
      <c r="BD108" s="343"/>
      <c r="BE108" s="343"/>
      <c r="BF108" s="343"/>
      <c r="BG108" s="343"/>
      <c r="BH108" s="343"/>
      <c r="BI108" s="343"/>
      <c r="BJ108" s="343"/>
      <c r="BK108" s="343"/>
      <c r="BL108" s="343"/>
      <c r="BM108" s="343"/>
      <c r="BN108" s="343"/>
      <c r="BO108" s="343"/>
      <c r="BP108" s="343"/>
      <c r="BQ108" s="343"/>
      <c r="BR108" s="343"/>
      <c r="BS108" s="343"/>
      <c r="BT108" s="343"/>
      <c r="BU108" s="343"/>
      <c r="BV108" s="343"/>
      <c r="BW108" s="343"/>
      <c r="BX108" s="343"/>
    </row>
    <row r="109" spans="1:76" s="25" customFormat="1">
      <c r="A109" s="343"/>
      <c r="B109" s="343"/>
      <c r="C109" s="115" t="str">
        <f t="shared" si="21"/>
        <v/>
      </c>
      <c r="D109" s="123" t="str">
        <f t="shared" si="22"/>
        <v/>
      </c>
      <c r="E109" s="232" t="str">
        <f>IF(OR(AF109&lt;&gt;"",AO109&lt;&gt;""),IF(MAX(AF109,AO109)&gt;ABS(MIN(AF109,AO109)),MAX(AF109,AO109),IF(AND($N$9=2,'Shear(M)'!B151="#",'Shear(M)'!B150="#",'Shear(M)'!B152="#"),E108,MIN(AF109,AO109))),"")</f>
        <v/>
      </c>
      <c r="F109" s="232" t="str">
        <f t="shared" si="23"/>
        <v/>
      </c>
      <c r="G109" s="115" t="e">
        <f>IF(AND($N$9=2,'Shear(M)'!B151="#",'Shear(M)'!B150="#",'Shear(M)'!B152="#"),G108,IF(OR(AH109&lt;&gt;"",AQ109&lt;&gt;""),MAX(AH109,AQ109),""))</f>
        <v>#VALUE!</v>
      </c>
      <c r="H109" s="115" t="e">
        <f>IF(AND($N$9=2,'Shear(M)'!B151="#",'Shear(M)'!B150="#",'Shear(M)'!B152="#"),H108,IF(OR(AI109&lt;&gt;"",AR109&lt;&gt;""),MIN(AI109,AR109),""))</f>
        <v>#VALUE!</v>
      </c>
      <c r="I109" s="115" t="e">
        <f>IF(AND($N$9=2,'Shear(M)'!B151="#",'Shear(M)'!B150="#",'Shear(M)'!B152="#"),I108,IF(OR(AJ109&lt;&gt;"",AS109&lt;&gt;""),MAX(AJ109,AS109),""))</f>
        <v>#VALUE!</v>
      </c>
      <c r="J109" s="115" t="e">
        <f>IF(AND($N$9=2,'Shear(M)'!B151="#",'Shear(M)'!B150="#",'Shear(M)'!B152="#"),J108,IF(OR(AK109&lt;&gt;"",AT109&lt;&gt;""),MIN(AK109,AT109),""))</f>
        <v>#VALUE!</v>
      </c>
      <c r="K109" s="232" t="str">
        <f t="shared" si="24"/>
        <v/>
      </c>
      <c r="L109" s="232" t="str">
        <f t="shared" si="25"/>
        <v/>
      </c>
      <c r="M109" s="660" t="str">
        <f t="shared" si="26"/>
        <v/>
      </c>
      <c r="N109" s="355"/>
      <c r="O109" s="355"/>
      <c r="P109" s="355"/>
      <c r="Q109" s="355"/>
      <c r="R109" s="600" t="str">
        <f t="shared" si="27"/>
        <v>NA</v>
      </c>
      <c r="S109" s="600"/>
      <c r="T109" s="600"/>
      <c r="U109" s="600"/>
      <c r="V109" s="600"/>
      <c r="W109" s="600"/>
      <c r="X109" s="600"/>
      <c r="Y109" s="600"/>
      <c r="Z109" s="600"/>
      <c r="AA109" s="482"/>
      <c r="AB109" s="482"/>
      <c r="AC109" s="482"/>
      <c r="AD109" s="600">
        <v>98</v>
      </c>
      <c r="AE109" s="482"/>
      <c r="AF109" s="600" t="str">
        <f t="shared" si="28"/>
        <v/>
      </c>
      <c r="AG109" s="600" t="str">
        <f t="shared" si="29"/>
        <v/>
      </c>
      <c r="AH109" s="600" t="str">
        <f t="shared" si="30"/>
        <v/>
      </c>
      <c r="AI109" s="600" t="str">
        <f t="shared" si="31"/>
        <v/>
      </c>
      <c r="AJ109" s="600" t="str">
        <f t="shared" si="32"/>
        <v/>
      </c>
      <c r="AK109" s="600" t="str">
        <f t="shared" si="33"/>
        <v/>
      </c>
      <c r="AL109" s="600" t="str">
        <f t="shared" si="34"/>
        <v/>
      </c>
      <c r="AM109" s="600" t="str">
        <f t="shared" si="35"/>
        <v/>
      </c>
      <c r="AN109" s="600"/>
      <c r="AO109" s="600" t="str">
        <f t="shared" si="36"/>
        <v/>
      </c>
      <c r="AP109" s="600" t="str">
        <f t="shared" si="36"/>
        <v/>
      </c>
      <c r="AQ109" s="600" t="str">
        <f t="shared" si="36"/>
        <v/>
      </c>
      <c r="AR109" s="600" t="str">
        <f t="shared" si="36"/>
        <v/>
      </c>
      <c r="AS109" s="600" t="str">
        <f t="shared" si="36"/>
        <v/>
      </c>
      <c r="AT109" s="600" t="str">
        <f t="shared" si="36"/>
        <v/>
      </c>
      <c r="AU109" s="600" t="str">
        <f t="shared" si="36"/>
        <v/>
      </c>
      <c r="AV109" s="600" t="str">
        <f t="shared" si="36"/>
        <v/>
      </c>
      <c r="AW109" s="482"/>
      <c r="AX109" s="482"/>
      <c r="AY109" s="482"/>
      <c r="AZ109" s="482"/>
      <c r="BA109" s="343"/>
      <c r="BB109" s="343"/>
      <c r="BC109" s="343"/>
      <c r="BD109" s="343"/>
      <c r="BE109" s="343"/>
      <c r="BF109" s="343"/>
      <c r="BG109" s="343"/>
      <c r="BH109" s="343"/>
      <c r="BI109" s="343"/>
      <c r="BJ109" s="343"/>
      <c r="BK109" s="343"/>
      <c r="BL109" s="343"/>
      <c r="BM109" s="343"/>
      <c r="BN109" s="343"/>
      <c r="BO109" s="343"/>
      <c r="BP109" s="343"/>
      <c r="BQ109" s="343"/>
      <c r="BR109" s="343"/>
      <c r="BS109" s="343"/>
      <c r="BT109" s="343"/>
      <c r="BU109" s="343"/>
      <c r="BV109" s="343"/>
      <c r="BW109" s="343"/>
      <c r="BX109" s="343"/>
    </row>
    <row r="110" spans="1:76" s="25" customFormat="1">
      <c r="A110" s="343"/>
      <c r="B110" s="343"/>
      <c r="C110" s="115" t="str">
        <f t="shared" si="21"/>
        <v/>
      </c>
      <c r="D110" s="123" t="str">
        <f t="shared" si="22"/>
        <v/>
      </c>
      <c r="E110" s="232" t="str">
        <f>IF(OR(AF110&lt;&gt;"",AO110&lt;&gt;""),IF(MAX(AF110,AO110)&gt;ABS(MIN(AF110,AO110)),MAX(AF110,AO110),IF(AND($N$9=2,'Shear(M)'!B152="#",'Shear(M)'!B151="#",'Shear(M)'!B153="#"),E109,MIN(AF110,AO110))),"")</f>
        <v/>
      </c>
      <c r="F110" s="232" t="str">
        <f t="shared" si="23"/>
        <v/>
      </c>
      <c r="G110" s="115" t="e">
        <f>IF(AND($N$9=2,'Shear(M)'!B152="#",'Shear(M)'!B151="#",'Shear(M)'!B153="#"),G109,IF(OR(AH110&lt;&gt;"",AQ110&lt;&gt;""),MAX(AH110,AQ110),""))</f>
        <v>#VALUE!</v>
      </c>
      <c r="H110" s="115" t="e">
        <f>IF(AND($N$9=2,'Shear(M)'!B152="#",'Shear(M)'!B151="#",'Shear(M)'!B153="#"),H109,IF(OR(AI110&lt;&gt;"",AR110&lt;&gt;""),MIN(AI110,AR110),""))</f>
        <v>#VALUE!</v>
      </c>
      <c r="I110" s="115" t="e">
        <f>IF(AND($N$9=2,'Shear(M)'!B152="#",'Shear(M)'!B151="#",'Shear(M)'!B153="#"),I109,IF(OR(AJ110&lt;&gt;"",AS110&lt;&gt;""),MAX(AJ110,AS110),""))</f>
        <v>#VALUE!</v>
      </c>
      <c r="J110" s="115" t="e">
        <f>IF(AND($N$9=2,'Shear(M)'!B152="#",'Shear(M)'!B151="#",'Shear(M)'!B153="#"),J109,IF(OR(AK110&lt;&gt;"",AT110&lt;&gt;""),MIN(AK110,AT110),""))</f>
        <v>#VALUE!</v>
      </c>
      <c r="K110" s="232" t="str">
        <f t="shared" si="24"/>
        <v/>
      </c>
      <c r="L110" s="232" t="str">
        <f t="shared" si="25"/>
        <v/>
      </c>
      <c r="M110" s="660" t="str">
        <f t="shared" si="26"/>
        <v/>
      </c>
      <c r="N110" s="355"/>
      <c r="O110" s="355"/>
      <c r="P110" s="355"/>
      <c r="Q110" s="355"/>
      <c r="R110" s="600" t="str">
        <f t="shared" si="27"/>
        <v>NA</v>
      </c>
      <c r="S110" s="600"/>
      <c r="T110" s="600"/>
      <c r="U110" s="600"/>
      <c r="V110" s="600"/>
      <c r="W110" s="600"/>
      <c r="X110" s="600"/>
      <c r="Y110" s="600"/>
      <c r="Z110" s="600"/>
      <c r="AA110" s="482"/>
      <c r="AB110" s="482"/>
      <c r="AC110" s="482"/>
      <c r="AD110" s="600">
        <v>99</v>
      </c>
      <c r="AE110" s="482"/>
      <c r="AF110" s="600" t="str">
        <f t="shared" si="28"/>
        <v/>
      </c>
      <c r="AG110" s="600" t="str">
        <f t="shared" si="29"/>
        <v/>
      </c>
      <c r="AH110" s="600" t="str">
        <f t="shared" si="30"/>
        <v/>
      </c>
      <c r="AI110" s="600" t="str">
        <f t="shared" si="31"/>
        <v/>
      </c>
      <c r="AJ110" s="600" t="str">
        <f t="shared" si="32"/>
        <v/>
      </c>
      <c r="AK110" s="600" t="str">
        <f t="shared" si="33"/>
        <v/>
      </c>
      <c r="AL110" s="600" t="str">
        <f t="shared" si="34"/>
        <v/>
      </c>
      <c r="AM110" s="600" t="str">
        <f t="shared" si="35"/>
        <v/>
      </c>
      <c r="AN110" s="600"/>
      <c r="AO110" s="600" t="str">
        <f t="shared" si="36"/>
        <v/>
      </c>
      <c r="AP110" s="600" t="str">
        <f t="shared" si="36"/>
        <v/>
      </c>
      <c r="AQ110" s="600" t="str">
        <f t="shared" si="36"/>
        <v/>
      </c>
      <c r="AR110" s="600" t="str">
        <f t="shared" si="36"/>
        <v/>
      </c>
      <c r="AS110" s="600" t="str">
        <f t="shared" si="36"/>
        <v/>
      </c>
      <c r="AT110" s="600" t="str">
        <f t="shared" si="36"/>
        <v/>
      </c>
      <c r="AU110" s="600" t="str">
        <f t="shared" si="36"/>
        <v/>
      </c>
      <c r="AV110" s="600" t="str">
        <f t="shared" si="36"/>
        <v/>
      </c>
      <c r="AW110" s="482"/>
      <c r="AX110" s="482"/>
      <c r="AY110" s="482"/>
      <c r="AZ110" s="482"/>
      <c r="BA110" s="343"/>
      <c r="BB110" s="343"/>
      <c r="BC110" s="343"/>
      <c r="BD110" s="343"/>
      <c r="BE110" s="343"/>
      <c r="BF110" s="343"/>
      <c r="BG110" s="343"/>
      <c r="BH110" s="343"/>
      <c r="BI110" s="343"/>
      <c r="BJ110" s="343"/>
      <c r="BK110" s="343"/>
      <c r="BL110" s="343"/>
      <c r="BM110" s="343"/>
      <c r="BN110" s="343"/>
      <c r="BO110" s="343"/>
      <c r="BP110" s="343"/>
      <c r="BQ110" s="343"/>
      <c r="BR110" s="343"/>
      <c r="BS110" s="343"/>
      <c r="BT110" s="343"/>
      <c r="BU110" s="343"/>
      <c r="BV110" s="343"/>
      <c r="BW110" s="343"/>
      <c r="BX110" s="343"/>
    </row>
    <row r="111" spans="1:76" s="25" customFormat="1">
      <c r="A111" s="343"/>
      <c r="B111" s="343"/>
      <c r="C111" s="115" t="str">
        <f t="shared" si="21"/>
        <v/>
      </c>
      <c r="D111" s="123" t="str">
        <f t="shared" si="22"/>
        <v/>
      </c>
      <c r="E111" s="232" t="str">
        <f>IF(OR(AF111&lt;&gt;"",AO111&lt;&gt;""),IF(MAX(AF111,AO111)&gt;ABS(MIN(AF111,AO111)),MAX(AF111,AO111),IF(AND($N$9=2,'Shear(M)'!B153="#",'Shear(M)'!B152="#",'Shear(M)'!B154="#"),E110,MIN(AF111,AO111))),"")</f>
        <v/>
      </c>
      <c r="F111" s="232" t="str">
        <f t="shared" si="23"/>
        <v/>
      </c>
      <c r="G111" s="115" t="e">
        <f>IF(AND($N$9=2,'Shear(M)'!B153="#",'Shear(M)'!B152="#",'Shear(M)'!B154="#"),G110,IF(OR(AH111&lt;&gt;"",AQ111&lt;&gt;""),MAX(AH111,AQ111),""))</f>
        <v>#VALUE!</v>
      </c>
      <c r="H111" s="115" t="e">
        <f>IF(AND($N$9=2,'Shear(M)'!B153="#",'Shear(M)'!B152="#",'Shear(M)'!B154="#"),H110,IF(OR(AI111&lt;&gt;"",AR111&lt;&gt;""),MIN(AI111,AR111),""))</f>
        <v>#VALUE!</v>
      </c>
      <c r="I111" s="115" t="e">
        <f>IF(AND($N$9=2,'Shear(M)'!B153="#",'Shear(M)'!B152="#",'Shear(M)'!B154="#"),I110,IF(OR(AJ111&lt;&gt;"",AS111&lt;&gt;""),MAX(AJ111,AS111),""))</f>
        <v>#VALUE!</v>
      </c>
      <c r="J111" s="115" t="e">
        <f>IF(AND($N$9=2,'Shear(M)'!B153="#",'Shear(M)'!B152="#",'Shear(M)'!B154="#"),J110,IF(OR(AK111&lt;&gt;"",AT111&lt;&gt;""),MIN(AK111,AT111),""))</f>
        <v>#VALUE!</v>
      </c>
      <c r="K111" s="232" t="str">
        <f t="shared" si="24"/>
        <v/>
      </c>
      <c r="L111" s="232" t="str">
        <f t="shared" si="25"/>
        <v/>
      </c>
      <c r="M111" s="660" t="str">
        <f t="shared" si="26"/>
        <v/>
      </c>
      <c r="N111" s="355"/>
      <c r="O111" s="355"/>
      <c r="P111" s="355"/>
      <c r="Q111" s="355"/>
      <c r="R111" s="600" t="str">
        <f t="shared" si="27"/>
        <v>NA</v>
      </c>
      <c r="S111" s="600"/>
      <c r="T111" s="600"/>
      <c r="U111" s="600"/>
      <c r="V111" s="600"/>
      <c r="W111" s="600"/>
      <c r="X111" s="600"/>
      <c r="Y111" s="600"/>
      <c r="Z111" s="600"/>
      <c r="AA111" s="482"/>
      <c r="AB111" s="482"/>
      <c r="AC111" s="482"/>
      <c r="AD111" s="600">
        <v>100</v>
      </c>
      <c r="AE111" s="482"/>
      <c r="AF111" s="600" t="str">
        <f t="shared" si="28"/>
        <v/>
      </c>
      <c r="AG111" s="600" t="str">
        <f t="shared" si="29"/>
        <v/>
      </c>
      <c r="AH111" s="600" t="str">
        <f t="shared" si="30"/>
        <v/>
      </c>
      <c r="AI111" s="600" t="str">
        <f t="shared" si="31"/>
        <v/>
      </c>
      <c r="AJ111" s="600" t="str">
        <f t="shared" si="32"/>
        <v/>
      </c>
      <c r="AK111" s="600" t="str">
        <f t="shared" si="33"/>
        <v/>
      </c>
      <c r="AL111" s="600" t="str">
        <f t="shared" si="34"/>
        <v/>
      </c>
      <c r="AM111" s="600" t="str">
        <f t="shared" si="35"/>
        <v/>
      </c>
      <c r="AN111" s="600"/>
      <c r="AO111" s="600" t="str">
        <f t="shared" si="36"/>
        <v/>
      </c>
      <c r="AP111" s="600" t="str">
        <f t="shared" si="36"/>
        <v/>
      </c>
      <c r="AQ111" s="600" t="str">
        <f t="shared" si="36"/>
        <v/>
      </c>
      <c r="AR111" s="600" t="str">
        <f t="shared" si="36"/>
        <v/>
      </c>
      <c r="AS111" s="600" t="str">
        <f t="shared" si="36"/>
        <v/>
      </c>
      <c r="AT111" s="600" t="str">
        <f t="shared" si="36"/>
        <v/>
      </c>
      <c r="AU111" s="600" t="str">
        <f t="shared" si="36"/>
        <v/>
      </c>
      <c r="AV111" s="600" t="str">
        <f t="shared" si="36"/>
        <v/>
      </c>
      <c r="AW111" s="482"/>
      <c r="AX111" s="482"/>
      <c r="AY111" s="482"/>
      <c r="AZ111" s="482"/>
      <c r="BA111" s="343"/>
      <c r="BB111" s="343"/>
      <c r="BC111" s="343"/>
      <c r="BD111" s="343"/>
      <c r="BE111" s="343"/>
      <c r="BF111" s="343"/>
      <c r="BG111" s="343"/>
      <c r="BH111" s="343"/>
      <c r="BI111" s="343"/>
      <c r="BJ111" s="343"/>
      <c r="BK111" s="343"/>
      <c r="BL111" s="343"/>
      <c r="BM111" s="343"/>
      <c r="BN111" s="343"/>
      <c r="BO111" s="343"/>
      <c r="BP111" s="343"/>
      <c r="BQ111" s="343"/>
      <c r="BR111" s="343"/>
      <c r="BS111" s="343"/>
      <c r="BT111" s="343"/>
      <c r="BU111" s="343"/>
      <c r="BV111" s="343"/>
      <c r="BW111" s="343"/>
      <c r="BX111" s="343"/>
    </row>
    <row r="112" spans="1:76" s="25" customFormat="1">
      <c r="A112" s="343"/>
      <c r="B112" s="343"/>
      <c r="C112" s="115" t="str">
        <f t="shared" si="21"/>
        <v/>
      </c>
      <c r="D112" s="123" t="str">
        <f t="shared" si="22"/>
        <v/>
      </c>
      <c r="E112" s="232" t="str">
        <f>IF(OR(AF112&lt;&gt;"",AO112&lt;&gt;""),IF(MAX(AF112,AO112)&gt;ABS(MIN(AF112,AO112)),MAX(AF112,AO112),IF(AND($N$9=2,'Shear(M)'!B154="#",'Shear(M)'!B153="#",'Shear(M)'!B155="#"),E111,MIN(AF112,AO112))),"")</f>
        <v/>
      </c>
      <c r="F112" s="232" t="str">
        <f t="shared" si="23"/>
        <v/>
      </c>
      <c r="G112" s="115" t="e">
        <f>IF(AND($N$9=2,'Shear(M)'!B154="#",'Shear(M)'!B153="#",'Shear(M)'!B155="#"),G111,IF(OR(AH112&lt;&gt;"",AQ112&lt;&gt;""),MAX(AH112,AQ112),""))</f>
        <v>#VALUE!</v>
      </c>
      <c r="H112" s="115" t="e">
        <f>IF(AND($N$9=2,'Shear(M)'!B154="#",'Shear(M)'!B153="#",'Shear(M)'!B155="#"),H111,IF(OR(AI112&lt;&gt;"",AR112&lt;&gt;""),MIN(AI112,AR112),""))</f>
        <v>#VALUE!</v>
      </c>
      <c r="I112" s="115" t="e">
        <f>IF(AND($N$9=2,'Shear(M)'!B154="#",'Shear(M)'!B153="#",'Shear(M)'!B155="#"),I111,IF(OR(AJ112&lt;&gt;"",AS112&lt;&gt;""),MAX(AJ112,AS112),""))</f>
        <v>#VALUE!</v>
      </c>
      <c r="J112" s="115" t="e">
        <f>IF(AND($N$9=2,'Shear(M)'!B154="#",'Shear(M)'!B153="#",'Shear(M)'!B155="#"),J111,IF(OR(AK112&lt;&gt;"",AT112&lt;&gt;""),MIN(AK112,AT112),""))</f>
        <v>#VALUE!</v>
      </c>
      <c r="K112" s="232" t="str">
        <f t="shared" si="24"/>
        <v/>
      </c>
      <c r="L112" s="232" t="str">
        <f t="shared" si="25"/>
        <v/>
      </c>
      <c r="M112" s="660" t="str">
        <f t="shared" si="26"/>
        <v/>
      </c>
      <c r="N112" s="355"/>
      <c r="O112" s="355"/>
      <c r="P112" s="355"/>
      <c r="Q112" s="355"/>
      <c r="R112" s="600" t="str">
        <f t="shared" si="27"/>
        <v>NA</v>
      </c>
      <c r="S112" s="600"/>
      <c r="T112" s="600"/>
      <c r="U112" s="600"/>
      <c r="V112" s="600"/>
      <c r="W112" s="600"/>
      <c r="X112" s="600"/>
      <c r="Y112" s="600"/>
      <c r="Z112" s="600"/>
      <c r="AA112" s="482"/>
      <c r="AB112" s="482"/>
      <c r="AC112" s="482"/>
      <c r="AD112" s="600">
        <v>101</v>
      </c>
      <c r="AE112" s="482"/>
      <c r="AF112" s="600" t="str">
        <f t="shared" si="28"/>
        <v/>
      </c>
      <c r="AG112" s="600" t="str">
        <f t="shared" si="29"/>
        <v/>
      </c>
      <c r="AH112" s="600" t="str">
        <f t="shared" si="30"/>
        <v/>
      </c>
      <c r="AI112" s="600" t="str">
        <f t="shared" si="31"/>
        <v/>
      </c>
      <c r="AJ112" s="600" t="str">
        <f t="shared" si="32"/>
        <v/>
      </c>
      <c r="AK112" s="600" t="str">
        <f t="shared" si="33"/>
        <v/>
      </c>
      <c r="AL112" s="600" t="str">
        <f t="shared" si="34"/>
        <v/>
      </c>
      <c r="AM112" s="600" t="str">
        <f t="shared" si="35"/>
        <v/>
      </c>
      <c r="AN112" s="600"/>
      <c r="AO112" s="600" t="str">
        <f t="shared" si="36"/>
        <v/>
      </c>
      <c r="AP112" s="600" t="str">
        <f t="shared" si="36"/>
        <v/>
      </c>
      <c r="AQ112" s="600" t="str">
        <f t="shared" si="36"/>
        <v/>
      </c>
      <c r="AR112" s="600" t="str">
        <f t="shared" si="36"/>
        <v/>
      </c>
      <c r="AS112" s="600" t="str">
        <f t="shared" si="36"/>
        <v/>
      </c>
      <c r="AT112" s="600" t="str">
        <f t="shared" si="36"/>
        <v/>
      </c>
      <c r="AU112" s="600" t="str">
        <f t="shared" si="36"/>
        <v/>
      </c>
      <c r="AV112" s="600" t="str">
        <f t="shared" si="36"/>
        <v/>
      </c>
      <c r="AW112" s="482"/>
      <c r="AX112" s="482"/>
      <c r="AY112" s="482"/>
      <c r="AZ112" s="482"/>
      <c r="BA112" s="343"/>
      <c r="BB112" s="343"/>
      <c r="BC112" s="343"/>
      <c r="BD112" s="343"/>
      <c r="BE112" s="343"/>
      <c r="BF112" s="343"/>
      <c r="BG112" s="343"/>
      <c r="BH112" s="343"/>
      <c r="BI112" s="343"/>
      <c r="BJ112" s="343"/>
      <c r="BK112" s="343"/>
      <c r="BL112" s="343"/>
      <c r="BM112" s="343"/>
      <c r="BN112" s="343"/>
      <c r="BO112" s="343"/>
      <c r="BP112" s="343"/>
      <c r="BQ112" s="343"/>
      <c r="BR112" s="343"/>
      <c r="BS112" s="343"/>
      <c r="BT112" s="343"/>
      <c r="BU112" s="343"/>
      <c r="BV112" s="343"/>
      <c r="BW112" s="343"/>
      <c r="BX112" s="343"/>
    </row>
    <row r="113" spans="1:76" s="25" customFormat="1">
      <c r="A113" s="343"/>
      <c r="B113" s="343"/>
      <c r="C113" s="115" t="str">
        <f t="shared" si="21"/>
        <v/>
      </c>
      <c r="D113" s="123" t="str">
        <f t="shared" si="22"/>
        <v/>
      </c>
      <c r="E113" s="232" t="str">
        <f>IF(OR(AF113&lt;&gt;"",AO113&lt;&gt;""),IF(MAX(AF113,AO113)&gt;ABS(MIN(AF113,AO113)),MAX(AF113,AO113),IF(AND($N$9=2,'Shear(M)'!B155="#",'Shear(M)'!B154="#",'Shear(M)'!B156="#"),E112,MIN(AF113,AO113))),"")</f>
        <v/>
      </c>
      <c r="F113" s="232" t="str">
        <f t="shared" si="23"/>
        <v/>
      </c>
      <c r="G113" s="115" t="e">
        <f>IF(AND($N$9=2,'Shear(M)'!B155="#",'Shear(M)'!B154="#",'Shear(M)'!B156="#"),G112,IF(OR(AH113&lt;&gt;"",AQ113&lt;&gt;""),MAX(AH113,AQ113),""))</f>
        <v>#VALUE!</v>
      </c>
      <c r="H113" s="115" t="e">
        <f>IF(AND($N$9=2,'Shear(M)'!B155="#",'Shear(M)'!B154="#",'Shear(M)'!B156="#"),H112,IF(OR(AI113&lt;&gt;"",AR113&lt;&gt;""),MIN(AI113,AR113),""))</f>
        <v>#VALUE!</v>
      </c>
      <c r="I113" s="115" t="e">
        <f>IF(AND($N$9=2,'Shear(M)'!B155="#",'Shear(M)'!B154="#",'Shear(M)'!B156="#"),I112,IF(OR(AJ113&lt;&gt;"",AS113&lt;&gt;""),MAX(AJ113,AS113),""))</f>
        <v>#VALUE!</v>
      </c>
      <c r="J113" s="115" t="e">
        <f>IF(AND($N$9=2,'Shear(M)'!B155="#",'Shear(M)'!B154="#",'Shear(M)'!B156="#"),J112,IF(OR(AK113&lt;&gt;"",AT113&lt;&gt;""),MIN(AK113,AT113),""))</f>
        <v>#VALUE!</v>
      </c>
      <c r="K113" s="232" t="str">
        <f t="shared" si="24"/>
        <v/>
      </c>
      <c r="L113" s="232" t="str">
        <f t="shared" si="25"/>
        <v/>
      </c>
      <c r="M113" s="660" t="str">
        <f t="shared" si="26"/>
        <v/>
      </c>
      <c r="N113" s="355"/>
      <c r="O113" s="355"/>
      <c r="P113" s="355"/>
      <c r="Q113" s="355"/>
      <c r="R113" s="600" t="str">
        <f t="shared" si="27"/>
        <v>NA</v>
      </c>
      <c r="S113" s="600"/>
      <c r="T113" s="600"/>
      <c r="U113" s="600"/>
      <c r="V113" s="600"/>
      <c r="W113" s="600"/>
      <c r="X113" s="600"/>
      <c r="Y113" s="600"/>
      <c r="Z113" s="600"/>
      <c r="AA113" s="482"/>
      <c r="AB113" s="482"/>
      <c r="AC113" s="482"/>
      <c r="AD113" s="600">
        <v>102</v>
      </c>
      <c r="AE113" s="482"/>
      <c r="AF113" s="600" t="str">
        <f t="shared" si="28"/>
        <v/>
      </c>
      <c r="AG113" s="600" t="str">
        <f t="shared" si="29"/>
        <v/>
      </c>
      <c r="AH113" s="600" t="str">
        <f t="shared" si="30"/>
        <v/>
      </c>
      <c r="AI113" s="600" t="str">
        <f t="shared" si="31"/>
        <v/>
      </c>
      <c r="AJ113" s="600" t="str">
        <f t="shared" si="32"/>
        <v/>
      </c>
      <c r="AK113" s="600" t="str">
        <f t="shared" si="33"/>
        <v/>
      </c>
      <c r="AL113" s="600" t="str">
        <f t="shared" si="34"/>
        <v/>
      </c>
      <c r="AM113" s="600" t="str">
        <f t="shared" si="35"/>
        <v/>
      </c>
      <c r="AN113" s="600"/>
      <c r="AO113" s="600" t="str">
        <f t="shared" si="36"/>
        <v/>
      </c>
      <c r="AP113" s="600" t="str">
        <f t="shared" si="36"/>
        <v/>
      </c>
      <c r="AQ113" s="600" t="str">
        <f t="shared" si="36"/>
        <v/>
      </c>
      <c r="AR113" s="600" t="str">
        <f t="shared" si="36"/>
        <v/>
      </c>
      <c r="AS113" s="600" t="str">
        <f t="shared" si="36"/>
        <v/>
      </c>
      <c r="AT113" s="600" t="str">
        <f t="shared" si="36"/>
        <v/>
      </c>
      <c r="AU113" s="600" t="str">
        <f t="shared" si="36"/>
        <v/>
      </c>
      <c r="AV113" s="600" t="str">
        <f t="shared" si="36"/>
        <v/>
      </c>
      <c r="AW113" s="482"/>
      <c r="AX113" s="482"/>
      <c r="AY113" s="482"/>
      <c r="AZ113" s="482"/>
      <c r="BA113" s="343"/>
      <c r="BB113" s="343"/>
      <c r="BC113" s="343"/>
      <c r="BD113" s="343"/>
      <c r="BE113" s="343"/>
      <c r="BF113" s="343"/>
      <c r="BG113" s="343"/>
      <c r="BH113" s="343"/>
      <c r="BI113" s="343"/>
      <c r="BJ113" s="343"/>
      <c r="BK113" s="343"/>
      <c r="BL113" s="343"/>
      <c r="BM113" s="343"/>
      <c r="BN113" s="343"/>
      <c r="BO113" s="343"/>
      <c r="BP113" s="343"/>
      <c r="BQ113" s="343"/>
      <c r="BR113" s="343"/>
      <c r="BS113" s="343"/>
      <c r="BT113" s="343"/>
      <c r="BU113" s="343"/>
      <c r="BV113" s="343"/>
      <c r="BW113" s="343"/>
      <c r="BX113" s="343"/>
    </row>
    <row r="114" spans="1:76" s="25" customFormat="1">
      <c r="A114" s="343"/>
      <c r="B114" s="343"/>
      <c r="C114" s="115" t="str">
        <f t="shared" si="21"/>
        <v/>
      </c>
      <c r="D114" s="123" t="str">
        <f t="shared" si="22"/>
        <v/>
      </c>
      <c r="E114" s="232" t="str">
        <f>IF(OR(AF114&lt;&gt;"",AO114&lt;&gt;""),IF(MAX(AF114,AO114)&gt;ABS(MIN(AF114,AO114)),MAX(AF114,AO114),IF(AND($N$9=2,'Shear(M)'!B156="#",'Shear(M)'!B155="#",'Shear(M)'!B157="#"),E113,MIN(AF114,AO114))),"")</f>
        <v/>
      </c>
      <c r="F114" s="232" t="str">
        <f t="shared" si="23"/>
        <v/>
      </c>
      <c r="G114" s="115" t="e">
        <f>IF(AND($N$9=2,'Shear(M)'!B156="#",'Shear(M)'!B155="#",'Shear(M)'!B157="#"),G113,IF(OR(AH114&lt;&gt;"",AQ114&lt;&gt;""),MAX(AH114,AQ114),""))</f>
        <v>#VALUE!</v>
      </c>
      <c r="H114" s="115" t="e">
        <f>IF(AND($N$9=2,'Shear(M)'!B156="#",'Shear(M)'!B155="#",'Shear(M)'!B157="#"),H113,IF(OR(AI114&lt;&gt;"",AR114&lt;&gt;""),MIN(AI114,AR114),""))</f>
        <v>#VALUE!</v>
      </c>
      <c r="I114" s="115" t="e">
        <f>IF(AND($N$9=2,'Shear(M)'!B156="#",'Shear(M)'!B155="#",'Shear(M)'!B157="#"),I113,IF(OR(AJ114&lt;&gt;"",AS114&lt;&gt;""),MAX(AJ114,AS114),""))</f>
        <v>#VALUE!</v>
      </c>
      <c r="J114" s="115" t="e">
        <f>IF(AND($N$9=2,'Shear(M)'!B156="#",'Shear(M)'!B155="#",'Shear(M)'!B157="#"),J113,IF(OR(AK114&lt;&gt;"",AT114&lt;&gt;""),MIN(AK114,AT114),""))</f>
        <v>#VALUE!</v>
      </c>
      <c r="K114" s="232" t="str">
        <f t="shared" si="24"/>
        <v/>
      </c>
      <c r="L114" s="232" t="str">
        <f t="shared" si="25"/>
        <v/>
      </c>
      <c r="M114" s="660" t="str">
        <f t="shared" si="26"/>
        <v/>
      </c>
      <c r="N114" s="355"/>
      <c r="O114" s="355"/>
      <c r="P114" s="355"/>
      <c r="Q114" s="355"/>
      <c r="R114" s="600" t="str">
        <f t="shared" si="27"/>
        <v>NA</v>
      </c>
      <c r="S114" s="600"/>
      <c r="T114" s="600"/>
      <c r="U114" s="600"/>
      <c r="V114" s="600"/>
      <c r="W114" s="600"/>
      <c r="X114" s="600"/>
      <c r="Y114" s="600"/>
      <c r="Z114" s="600"/>
      <c r="AA114" s="482"/>
      <c r="AB114" s="482"/>
      <c r="AC114" s="482"/>
      <c r="AD114" s="600">
        <v>103</v>
      </c>
      <c r="AE114" s="482"/>
      <c r="AF114" s="600" t="str">
        <f t="shared" si="28"/>
        <v/>
      </c>
      <c r="AG114" s="600" t="str">
        <f t="shared" si="29"/>
        <v/>
      </c>
      <c r="AH114" s="600" t="str">
        <f t="shared" si="30"/>
        <v/>
      </c>
      <c r="AI114" s="600" t="str">
        <f t="shared" si="31"/>
        <v/>
      </c>
      <c r="AJ114" s="600" t="str">
        <f t="shared" si="32"/>
        <v/>
      </c>
      <c r="AK114" s="600" t="str">
        <f t="shared" si="33"/>
        <v/>
      </c>
      <c r="AL114" s="600" t="str">
        <f t="shared" si="34"/>
        <v/>
      </c>
      <c r="AM114" s="600" t="str">
        <f t="shared" si="35"/>
        <v/>
      </c>
      <c r="AN114" s="600"/>
      <c r="AO114" s="600" t="str">
        <f t="shared" si="36"/>
        <v/>
      </c>
      <c r="AP114" s="600" t="str">
        <f t="shared" si="36"/>
        <v/>
      </c>
      <c r="AQ114" s="600" t="str">
        <f t="shared" si="36"/>
        <v/>
      </c>
      <c r="AR114" s="600" t="str">
        <f t="shared" si="36"/>
        <v/>
      </c>
      <c r="AS114" s="600" t="str">
        <f t="shared" si="36"/>
        <v/>
      </c>
      <c r="AT114" s="600" t="str">
        <f t="shared" si="36"/>
        <v/>
      </c>
      <c r="AU114" s="600" t="str">
        <f t="shared" si="36"/>
        <v/>
      </c>
      <c r="AV114" s="600" t="str">
        <f t="shared" si="36"/>
        <v/>
      </c>
      <c r="AW114" s="482"/>
      <c r="AX114" s="482"/>
      <c r="AY114" s="482"/>
      <c r="AZ114" s="482"/>
      <c r="BA114" s="343"/>
      <c r="BB114" s="343"/>
      <c r="BC114" s="343"/>
      <c r="BD114" s="343"/>
      <c r="BE114" s="343"/>
      <c r="BF114" s="343"/>
      <c r="BG114" s="343"/>
      <c r="BH114" s="343"/>
      <c r="BI114" s="343"/>
      <c r="BJ114" s="343"/>
      <c r="BK114" s="343"/>
      <c r="BL114" s="343"/>
      <c r="BM114" s="343"/>
      <c r="BN114" s="343"/>
      <c r="BO114" s="343"/>
      <c r="BP114" s="343"/>
      <c r="BQ114" s="343"/>
      <c r="BR114" s="343"/>
      <c r="BS114" s="343"/>
      <c r="BT114" s="343"/>
      <c r="BU114" s="343"/>
      <c r="BV114" s="343"/>
      <c r="BW114" s="343"/>
      <c r="BX114" s="343"/>
    </row>
    <row r="115" spans="1:76" s="25" customFormat="1">
      <c r="A115" s="343"/>
      <c r="B115" s="343"/>
      <c r="C115" s="115"/>
      <c r="D115" s="123"/>
      <c r="E115" s="232"/>
      <c r="F115" s="232"/>
      <c r="G115" s="115"/>
      <c r="H115" s="115"/>
      <c r="I115" s="115"/>
      <c r="J115" s="115"/>
      <c r="K115" s="232"/>
      <c r="L115" s="232"/>
      <c r="M115" s="660"/>
      <c r="N115" s="355"/>
      <c r="O115" s="355"/>
      <c r="P115" s="355"/>
      <c r="Q115" s="355"/>
      <c r="R115" s="600"/>
      <c r="S115" s="600"/>
      <c r="T115" s="600"/>
      <c r="U115" s="600"/>
      <c r="V115" s="600"/>
      <c r="W115" s="600"/>
      <c r="X115" s="600"/>
      <c r="Y115" s="600"/>
      <c r="Z115" s="600"/>
      <c r="AA115" s="482"/>
      <c r="AB115" s="482"/>
      <c r="AC115" s="482"/>
      <c r="AD115" s="600">
        <v>104</v>
      </c>
      <c r="AE115" s="482"/>
      <c r="AF115" s="600"/>
      <c r="AG115" s="600"/>
      <c r="AH115" s="600"/>
      <c r="AI115" s="600"/>
      <c r="AJ115" s="600"/>
      <c r="AK115" s="600"/>
      <c r="AL115" s="600"/>
      <c r="AM115" s="600"/>
      <c r="AN115" s="600"/>
      <c r="AO115" s="600"/>
      <c r="AP115" s="600"/>
      <c r="AQ115" s="600"/>
      <c r="AR115" s="600"/>
      <c r="AS115" s="600"/>
      <c r="AT115" s="600"/>
      <c r="AU115" s="600"/>
      <c r="AV115" s="600"/>
      <c r="AW115" s="482"/>
      <c r="AX115" s="482"/>
      <c r="AY115" s="482"/>
      <c r="AZ115" s="482"/>
      <c r="BA115" s="343"/>
      <c r="BB115" s="343"/>
      <c r="BC115" s="343"/>
      <c r="BD115" s="343"/>
      <c r="BE115" s="343"/>
      <c r="BF115" s="343"/>
      <c r="BG115" s="343"/>
      <c r="BH115" s="343"/>
      <c r="BI115" s="343"/>
      <c r="BJ115" s="343"/>
      <c r="BK115" s="343"/>
      <c r="BL115" s="343"/>
      <c r="BM115" s="343"/>
      <c r="BN115" s="343"/>
      <c r="BO115" s="343"/>
      <c r="BP115" s="343"/>
      <c r="BQ115" s="343"/>
      <c r="BR115" s="343"/>
      <c r="BS115" s="343"/>
      <c r="BT115" s="343"/>
      <c r="BU115" s="343"/>
      <c r="BV115" s="343"/>
      <c r="BW115" s="343"/>
      <c r="BX115" s="343"/>
    </row>
    <row r="116" spans="1:76" s="25" customFormat="1">
      <c r="A116" s="343"/>
      <c r="B116" s="343"/>
      <c r="C116" s="115"/>
      <c r="D116" s="123"/>
      <c r="E116" s="232"/>
      <c r="F116" s="232"/>
      <c r="G116" s="115"/>
      <c r="H116" s="115"/>
      <c r="I116" s="115"/>
      <c r="J116" s="115"/>
      <c r="K116" s="232"/>
      <c r="L116" s="232"/>
      <c r="M116" s="660"/>
      <c r="N116" s="355"/>
      <c r="O116" s="355"/>
      <c r="P116" s="355"/>
      <c r="Q116" s="355"/>
      <c r="R116" s="600"/>
      <c r="S116" s="600"/>
      <c r="T116" s="600"/>
      <c r="U116" s="600"/>
      <c r="V116" s="600"/>
      <c r="W116" s="600"/>
      <c r="X116" s="600"/>
      <c r="Y116" s="600"/>
      <c r="Z116" s="600"/>
      <c r="AA116" s="482"/>
      <c r="AB116" s="482"/>
      <c r="AC116" s="482"/>
      <c r="AD116" s="600">
        <v>105</v>
      </c>
      <c r="AE116" s="482"/>
      <c r="AF116" s="600"/>
      <c r="AG116" s="600"/>
      <c r="AH116" s="600"/>
      <c r="AI116" s="600"/>
      <c r="AJ116" s="600"/>
      <c r="AK116" s="600"/>
      <c r="AL116" s="600"/>
      <c r="AM116" s="600"/>
      <c r="AN116" s="600"/>
      <c r="AO116" s="600"/>
      <c r="AP116" s="600"/>
      <c r="AQ116" s="600"/>
      <c r="AR116" s="600"/>
      <c r="AS116" s="600"/>
      <c r="AT116" s="600"/>
      <c r="AU116" s="600"/>
      <c r="AV116" s="600"/>
      <c r="AW116" s="482"/>
      <c r="AX116" s="482"/>
      <c r="AY116" s="482"/>
      <c r="AZ116" s="482"/>
      <c r="BA116" s="343"/>
      <c r="BB116" s="343"/>
      <c r="BC116" s="343"/>
      <c r="BD116" s="343"/>
      <c r="BE116" s="343"/>
      <c r="BF116" s="343"/>
      <c r="BG116" s="343"/>
      <c r="BH116" s="343"/>
      <c r="BI116" s="343"/>
      <c r="BJ116" s="343"/>
      <c r="BK116" s="343"/>
      <c r="BL116" s="343"/>
      <c r="BM116" s="343"/>
      <c r="BN116" s="343"/>
      <c r="BO116" s="343"/>
      <c r="BP116" s="343"/>
      <c r="BQ116" s="343"/>
      <c r="BR116" s="343"/>
      <c r="BS116" s="343"/>
      <c r="BT116" s="343"/>
      <c r="BU116" s="343"/>
      <c r="BV116" s="343"/>
      <c r="BW116" s="343"/>
      <c r="BX116" s="343"/>
    </row>
    <row r="117" spans="1:76" s="25" customFormat="1">
      <c r="A117" s="343"/>
      <c r="B117" s="343"/>
      <c r="C117" s="115"/>
      <c r="D117" s="123"/>
      <c r="E117" s="232"/>
      <c r="F117" s="232"/>
      <c r="G117" s="115"/>
      <c r="H117" s="115"/>
      <c r="I117" s="115"/>
      <c r="J117" s="115"/>
      <c r="K117" s="232"/>
      <c r="L117" s="232"/>
      <c r="M117" s="660"/>
      <c r="N117" s="355"/>
      <c r="O117" s="355"/>
      <c r="P117" s="355"/>
      <c r="Q117" s="355"/>
      <c r="R117" s="600"/>
      <c r="S117" s="600"/>
      <c r="T117" s="600"/>
      <c r="U117" s="600"/>
      <c r="V117" s="600"/>
      <c r="W117" s="600"/>
      <c r="X117" s="600"/>
      <c r="Y117" s="600"/>
      <c r="Z117" s="600"/>
      <c r="AA117" s="482"/>
      <c r="AB117" s="482"/>
      <c r="AC117" s="482"/>
      <c r="AD117" s="600">
        <v>106</v>
      </c>
      <c r="AE117" s="482"/>
      <c r="AF117" s="600"/>
      <c r="AG117" s="600"/>
      <c r="AH117" s="600"/>
      <c r="AI117" s="600"/>
      <c r="AJ117" s="600"/>
      <c r="AK117" s="600"/>
      <c r="AL117" s="600"/>
      <c r="AM117" s="600"/>
      <c r="AN117" s="600"/>
      <c r="AO117" s="600"/>
      <c r="AP117" s="600"/>
      <c r="AQ117" s="600"/>
      <c r="AR117" s="600"/>
      <c r="AS117" s="600"/>
      <c r="AT117" s="600"/>
      <c r="AU117" s="600"/>
      <c r="AV117" s="600"/>
      <c r="AW117" s="482"/>
      <c r="AX117" s="482"/>
      <c r="AY117" s="482"/>
      <c r="AZ117" s="482"/>
      <c r="BA117" s="343"/>
      <c r="BB117" s="343"/>
      <c r="BC117" s="343"/>
      <c r="BD117" s="343"/>
      <c r="BE117" s="343"/>
      <c r="BF117" s="343"/>
      <c r="BG117" s="343"/>
      <c r="BH117" s="343"/>
      <c r="BI117" s="343"/>
      <c r="BJ117" s="343"/>
      <c r="BK117" s="343"/>
      <c r="BL117" s="343"/>
      <c r="BM117" s="343"/>
      <c r="BN117" s="343"/>
      <c r="BO117" s="343"/>
      <c r="BP117" s="343"/>
      <c r="BQ117" s="343"/>
      <c r="BR117" s="343"/>
      <c r="BS117" s="343"/>
      <c r="BT117" s="343"/>
      <c r="BU117" s="343"/>
      <c r="BV117" s="343"/>
      <c r="BW117" s="343"/>
      <c r="BX117" s="343"/>
    </row>
    <row r="118" spans="1:76" s="25" customFormat="1">
      <c r="A118" s="343"/>
      <c r="B118" s="343"/>
      <c r="C118" s="115"/>
      <c r="D118" s="123"/>
      <c r="E118" s="232"/>
      <c r="F118" s="232"/>
      <c r="G118" s="115"/>
      <c r="H118" s="115"/>
      <c r="I118" s="115"/>
      <c r="J118" s="115"/>
      <c r="K118" s="232"/>
      <c r="L118" s="232"/>
      <c r="M118" s="660"/>
      <c r="N118" s="355"/>
      <c r="O118" s="355"/>
      <c r="P118" s="355"/>
      <c r="Q118" s="355"/>
      <c r="R118" s="600"/>
      <c r="S118" s="600"/>
      <c r="T118" s="600"/>
      <c r="U118" s="600"/>
      <c r="V118" s="600"/>
      <c r="W118" s="600"/>
      <c r="X118" s="600"/>
      <c r="Y118" s="600"/>
      <c r="Z118" s="600"/>
      <c r="AA118" s="482"/>
      <c r="AB118" s="482"/>
      <c r="AC118" s="482"/>
      <c r="AD118" s="600">
        <v>107</v>
      </c>
      <c r="AE118" s="482"/>
      <c r="AF118" s="600"/>
      <c r="AG118" s="600"/>
      <c r="AH118" s="600"/>
      <c r="AI118" s="600"/>
      <c r="AJ118" s="600"/>
      <c r="AK118" s="600"/>
      <c r="AL118" s="600"/>
      <c r="AM118" s="600"/>
      <c r="AN118" s="600"/>
      <c r="AO118" s="600"/>
      <c r="AP118" s="600"/>
      <c r="AQ118" s="600"/>
      <c r="AR118" s="600"/>
      <c r="AS118" s="600"/>
      <c r="AT118" s="600"/>
      <c r="AU118" s="600"/>
      <c r="AV118" s="600"/>
      <c r="AW118" s="482"/>
      <c r="AX118" s="482"/>
      <c r="AY118" s="482"/>
      <c r="AZ118" s="482"/>
      <c r="BA118" s="343"/>
      <c r="BB118" s="343"/>
      <c r="BC118" s="343"/>
      <c r="BD118" s="343"/>
      <c r="BE118" s="343"/>
      <c r="BF118" s="343"/>
      <c r="BG118" s="343"/>
      <c r="BH118" s="343"/>
      <c r="BI118" s="343"/>
      <c r="BJ118" s="343"/>
      <c r="BK118" s="343"/>
      <c r="BL118" s="343"/>
      <c r="BM118" s="343"/>
      <c r="BN118" s="343"/>
      <c r="BO118" s="343"/>
      <c r="BP118" s="343"/>
      <c r="BQ118" s="343"/>
      <c r="BR118" s="343"/>
      <c r="BS118" s="343"/>
      <c r="BT118" s="343"/>
      <c r="BU118" s="343"/>
      <c r="BV118" s="343"/>
      <c r="BW118" s="343"/>
      <c r="BX118" s="343"/>
    </row>
    <row r="119" spans="1:76" s="25" customFormat="1">
      <c r="A119" s="343"/>
      <c r="B119" s="343"/>
      <c r="C119" s="115"/>
      <c r="D119" s="123"/>
      <c r="E119" s="232"/>
      <c r="F119" s="232"/>
      <c r="G119" s="115"/>
      <c r="H119" s="115"/>
      <c r="I119" s="115"/>
      <c r="J119" s="115"/>
      <c r="K119" s="232"/>
      <c r="L119" s="232"/>
      <c r="M119" s="660"/>
      <c r="N119" s="355"/>
      <c r="O119" s="355"/>
      <c r="P119" s="355"/>
      <c r="Q119" s="355"/>
      <c r="R119" s="600"/>
      <c r="S119" s="600"/>
      <c r="T119" s="600"/>
      <c r="U119" s="600"/>
      <c r="V119" s="600"/>
      <c r="W119" s="600"/>
      <c r="X119" s="600"/>
      <c r="Y119" s="600"/>
      <c r="Z119" s="600"/>
      <c r="AA119" s="482"/>
      <c r="AB119" s="482"/>
      <c r="AC119" s="482"/>
      <c r="AD119" s="600">
        <v>108</v>
      </c>
      <c r="AE119" s="482"/>
      <c r="AF119" s="600"/>
      <c r="AG119" s="600"/>
      <c r="AH119" s="600"/>
      <c r="AI119" s="600"/>
      <c r="AJ119" s="600"/>
      <c r="AK119" s="600"/>
      <c r="AL119" s="600"/>
      <c r="AM119" s="600"/>
      <c r="AN119" s="600"/>
      <c r="AO119" s="600"/>
      <c r="AP119" s="600"/>
      <c r="AQ119" s="600"/>
      <c r="AR119" s="600"/>
      <c r="AS119" s="600"/>
      <c r="AT119" s="600"/>
      <c r="AU119" s="600"/>
      <c r="AV119" s="600"/>
      <c r="AW119" s="482"/>
      <c r="AX119" s="482"/>
      <c r="AY119" s="482"/>
      <c r="AZ119" s="482"/>
      <c r="BA119" s="343"/>
      <c r="BB119" s="343"/>
      <c r="BC119" s="343"/>
      <c r="BD119" s="343"/>
      <c r="BE119" s="343"/>
      <c r="BF119" s="343"/>
      <c r="BG119" s="343"/>
      <c r="BH119" s="343"/>
      <c r="BI119" s="343"/>
      <c r="BJ119" s="343"/>
      <c r="BK119" s="343"/>
      <c r="BL119" s="343"/>
      <c r="BM119" s="343"/>
      <c r="BN119" s="343"/>
      <c r="BO119" s="343"/>
      <c r="BP119" s="343"/>
      <c r="BQ119" s="343"/>
      <c r="BR119" s="343"/>
      <c r="BS119" s="343"/>
      <c r="BT119" s="343"/>
      <c r="BU119" s="343"/>
      <c r="BV119" s="343"/>
      <c r="BW119" s="343"/>
      <c r="BX119" s="343"/>
    </row>
    <row r="120" spans="1:76" s="25" customFormat="1">
      <c r="A120" s="343"/>
      <c r="B120" s="343"/>
      <c r="C120" s="115"/>
      <c r="D120" s="123"/>
      <c r="E120" s="232"/>
      <c r="F120" s="232"/>
      <c r="G120" s="115"/>
      <c r="H120" s="115"/>
      <c r="I120" s="115"/>
      <c r="J120" s="115"/>
      <c r="K120" s="232"/>
      <c r="L120" s="232"/>
      <c r="M120" s="660"/>
      <c r="N120" s="355"/>
      <c r="O120" s="355"/>
      <c r="P120" s="355"/>
      <c r="Q120" s="355"/>
      <c r="R120" s="600"/>
      <c r="S120" s="600"/>
      <c r="T120" s="600"/>
      <c r="U120" s="600"/>
      <c r="V120" s="600"/>
      <c r="W120" s="600"/>
      <c r="X120" s="600"/>
      <c r="Y120" s="600"/>
      <c r="Z120" s="600"/>
      <c r="AA120" s="482"/>
      <c r="AB120" s="482"/>
      <c r="AC120" s="482"/>
      <c r="AD120" s="600">
        <v>109</v>
      </c>
      <c r="AE120" s="482"/>
      <c r="AF120" s="600"/>
      <c r="AG120" s="600"/>
      <c r="AH120" s="600"/>
      <c r="AI120" s="600"/>
      <c r="AJ120" s="600"/>
      <c r="AK120" s="600"/>
      <c r="AL120" s="600"/>
      <c r="AM120" s="600"/>
      <c r="AN120" s="600"/>
      <c r="AO120" s="600"/>
      <c r="AP120" s="600"/>
      <c r="AQ120" s="600"/>
      <c r="AR120" s="600"/>
      <c r="AS120" s="600"/>
      <c r="AT120" s="600"/>
      <c r="AU120" s="600"/>
      <c r="AV120" s="600"/>
      <c r="AW120" s="482"/>
      <c r="AX120" s="482"/>
      <c r="AY120" s="482"/>
      <c r="AZ120" s="482"/>
      <c r="BA120" s="343"/>
      <c r="BB120" s="343"/>
      <c r="BC120" s="343"/>
      <c r="BD120" s="343"/>
      <c r="BE120" s="343"/>
      <c r="BF120" s="343"/>
      <c r="BG120" s="343"/>
      <c r="BH120" s="343"/>
      <c r="BI120" s="343"/>
      <c r="BJ120" s="343"/>
      <c r="BK120" s="343"/>
      <c r="BL120" s="343"/>
      <c r="BM120" s="343"/>
      <c r="BN120" s="343"/>
      <c r="BO120" s="343"/>
      <c r="BP120" s="343"/>
      <c r="BQ120" s="343"/>
      <c r="BR120" s="343"/>
      <c r="BS120" s="343"/>
      <c r="BT120" s="343"/>
      <c r="BU120" s="343"/>
      <c r="BV120" s="343"/>
      <c r="BW120" s="343"/>
      <c r="BX120" s="343"/>
    </row>
    <row r="121" spans="1:76" s="25" customFormat="1">
      <c r="A121" s="343"/>
      <c r="B121" s="343"/>
      <c r="C121" s="115"/>
      <c r="D121" s="123"/>
      <c r="E121" s="232"/>
      <c r="F121" s="232"/>
      <c r="G121" s="115"/>
      <c r="H121" s="115"/>
      <c r="I121" s="115"/>
      <c r="J121" s="115"/>
      <c r="K121" s="232"/>
      <c r="L121" s="232"/>
      <c r="M121" s="660"/>
      <c r="N121" s="355"/>
      <c r="O121" s="355"/>
      <c r="P121" s="355"/>
      <c r="Q121" s="355"/>
      <c r="R121" s="600"/>
      <c r="S121" s="600"/>
      <c r="T121" s="600"/>
      <c r="U121" s="600"/>
      <c r="V121" s="600"/>
      <c r="W121" s="600"/>
      <c r="X121" s="600"/>
      <c r="Y121" s="600"/>
      <c r="Z121" s="600"/>
      <c r="AA121" s="482"/>
      <c r="AB121" s="482"/>
      <c r="AC121" s="482"/>
      <c r="AD121" s="600">
        <v>110</v>
      </c>
      <c r="AE121" s="482"/>
      <c r="AF121" s="600"/>
      <c r="AG121" s="600"/>
      <c r="AH121" s="600"/>
      <c r="AI121" s="600"/>
      <c r="AJ121" s="600"/>
      <c r="AK121" s="600"/>
      <c r="AL121" s="600"/>
      <c r="AM121" s="600"/>
      <c r="AN121" s="600"/>
      <c r="AO121" s="600"/>
      <c r="AP121" s="600"/>
      <c r="AQ121" s="600"/>
      <c r="AR121" s="600"/>
      <c r="AS121" s="600"/>
      <c r="AT121" s="600"/>
      <c r="AU121" s="600"/>
      <c r="AV121" s="600"/>
      <c r="AW121" s="482"/>
      <c r="AX121" s="482"/>
      <c r="AY121" s="482"/>
      <c r="AZ121" s="482"/>
      <c r="BA121" s="343"/>
      <c r="BB121" s="343"/>
      <c r="BC121" s="343"/>
      <c r="BD121" s="343"/>
      <c r="BE121" s="343"/>
      <c r="BF121" s="343"/>
      <c r="BG121" s="343"/>
      <c r="BH121" s="343"/>
      <c r="BI121" s="343"/>
      <c r="BJ121" s="343"/>
      <c r="BK121" s="343"/>
      <c r="BL121" s="343"/>
      <c r="BM121" s="343"/>
      <c r="BN121" s="343"/>
      <c r="BO121" s="343"/>
      <c r="BP121" s="343"/>
      <c r="BQ121" s="343"/>
      <c r="BR121" s="343"/>
      <c r="BS121" s="343"/>
      <c r="BT121" s="343"/>
      <c r="BU121" s="343"/>
      <c r="BV121" s="343"/>
      <c r="BW121" s="343"/>
      <c r="BX121" s="343"/>
    </row>
    <row r="122" spans="1:76" s="25" customFormat="1">
      <c r="A122" s="343"/>
      <c r="B122" s="343"/>
      <c r="C122" s="115"/>
      <c r="D122" s="123"/>
      <c r="E122" s="232"/>
      <c r="F122" s="232"/>
      <c r="G122" s="115"/>
      <c r="H122" s="115"/>
      <c r="I122" s="115"/>
      <c r="J122" s="115"/>
      <c r="K122" s="232"/>
      <c r="L122" s="232"/>
      <c r="M122" s="660"/>
      <c r="N122" s="355"/>
      <c r="O122" s="355"/>
      <c r="P122" s="355"/>
      <c r="Q122" s="355"/>
      <c r="R122" s="600"/>
      <c r="S122" s="600"/>
      <c r="T122" s="600"/>
      <c r="U122" s="600"/>
      <c r="V122" s="600"/>
      <c r="W122" s="600"/>
      <c r="X122" s="600"/>
      <c r="Y122" s="600"/>
      <c r="Z122" s="600"/>
      <c r="AA122" s="482"/>
      <c r="AB122" s="482"/>
      <c r="AC122" s="482"/>
      <c r="AD122" s="600">
        <v>111</v>
      </c>
      <c r="AE122" s="482"/>
      <c r="AF122" s="600"/>
      <c r="AG122" s="600"/>
      <c r="AH122" s="600"/>
      <c r="AI122" s="600"/>
      <c r="AJ122" s="600"/>
      <c r="AK122" s="600"/>
      <c r="AL122" s="600"/>
      <c r="AM122" s="600"/>
      <c r="AN122" s="600"/>
      <c r="AO122" s="600"/>
      <c r="AP122" s="600"/>
      <c r="AQ122" s="600"/>
      <c r="AR122" s="600"/>
      <c r="AS122" s="600"/>
      <c r="AT122" s="600"/>
      <c r="AU122" s="600"/>
      <c r="AV122" s="600"/>
      <c r="AW122" s="482"/>
      <c r="AX122" s="482"/>
      <c r="AY122" s="482"/>
      <c r="AZ122" s="482"/>
      <c r="BA122" s="343"/>
      <c r="BB122" s="343"/>
      <c r="BC122" s="343"/>
      <c r="BD122" s="343"/>
      <c r="BE122" s="343"/>
      <c r="BF122" s="343"/>
      <c r="BG122" s="343"/>
      <c r="BH122" s="343"/>
      <c r="BI122" s="343"/>
      <c r="BJ122" s="343"/>
      <c r="BK122" s="343"/>
      <c r="BL122" s="343"/>
      <c r="BM122" s="343"/>
      <c r="BN122" s="343"/>
      <c r="BO122" s="343"/>
      <c r="BP122" s="343"/>
      <c r="BQ122" s="343"/>
      <c r="BR122" s="343"/>
      <c r="BS122" s="343"/>
      <c r="BT122" s="343"/>
      <c r="BU122" s="343"/>
      <c r="BV122" s="343"/>
      <c r="BW122" s="343"/>
      <c r="BX122" s="343"/>
    </row>
    <row r="123" spans="1:76" s="25" customFormat="1">
      <c r="A123" s="343"/>
      <c r="B123" s="343"/>
      <c r="C123" s="115"/>
      <c r="D123" s="123"/>
      <c r="E123" s="232"/>
      <c r="F123" s="232"/>
      <c r="G123" s="115"/>
      <c r="H123" s="115"/>
      <c r="I123" s="115"/>
      <c r="J123" s="115"/>
      <c r="K123" s="232"/>
      <c r="L123" s="232"/>
      <c r="M123" s="660"/>
      <c r="N123" s="355"/>
      <c r="O123" s="355"/>
      <c r="P123" s="355"/>
      <c r="Q123" s="355"/>
      <c r="R123" s="600"/>
      <c r="S123" s="600"/>
      <c r="T123" s="600"/>
      <c r="U123" s="600"/>
      <c r="V123" s="600"/>
      <c r="W123" s="600"/>
      <c r="X123" s="600"/>
      <c r="Y123" s="600"/>
      <c r="Z123" s="600"/>
      <c r="AA123" s="482"/>
      <c r="AB123" s="482"/>
      <c r="AC123" s="482"/>
      <c r="AD123" s="600">
        <v>112</v>
      </c>
      <c r="AE123" s="482"/>
      <c r="AF123" s="600"/>
      <c r="AG123" s="600"/>
      <c r="AH123" s="600"/>
      <c r="AI123" s="600"/>
      <c r="AJ123" s="600"/>
      <c r="AK123" s="600"/>
      <c r="AL123" s="600"/>
      <c r="AM123" s="600"/>
      <c r="AN123" s="600"/>
      <c r="AO123" s="600"/>
      <c r="AP123" s="600"/>
      <c r="AQ123" s="600"/>
      <c r="AR123" s="600"/>
      <c r="AS123" s="600"/>
      <c r="AT123" s="600"/>
      <c r="AU123" s="600"/>
      <c r="AV123" s="600"/>
      <c r="AW123" s="482"/>
      <c r="AX123" s="482"/>
      <c r="AY123" s="482"/>
      <c r="AZ123" s="482"/>
      <c r="BA123" s="343"/>
      <c r="BB123" s="343"/>
      <c r="BC123" s="343"/>
      <c r="BD123" s="343"/>
      <c r="BE123" s="343"/>
      <c r="BF123" s="343"/>
      <c r="BG123" s="343"/>
      <c r="BH123" s="343"/>
      <c r="BI123" s="343"/>
      <c r="BJ123" s="343"/>
      <c r="BK123" s="343"/>
      <c r="BL123" s="343"/>
      <c r="BM123" s="343"/>
      <c r="BN123" s="343"/>
      <c r="BO123" s="343"/>
      <c r="BP123" s="343"/>
      <c r="BQ123" s="343"/>
      <c r="BR123" s="343"/>
      <c r="BS123" s="343"/>
      <c r="BT123" s="343"/>
      <c r="BU123" s="343"/>
      <c r="BV123" s="343"/>
      <c r="BW123" s="343"/>
      <c r="BX123" s="343"/>
    </row>
    <row r="124" spans="1:76" s="25" customFormat="1">
      <c r="A124" s="343"/>
      <c r="B124" s="343"/>
      <c r="C124" s="115"/>
      <c r="D124" s="123"/>
      <c r="E124" s="232"/>
      <c r="F124" s="232"/>
      <c r="G124" s="115"/>
      <c r="H124" s="115"/>
      <c r="I124" s="115"/>
      <c r="J124" s="115"/>
      <c r="K124" s="232"/>
      <c r="L124" s="232"/>
      <c r="M124" s="660"/>
      <c r="N124" s="355"/>
      <c r="O124" s="355"/>
      <c r="P124" s="355"/>
      <c r="Q124" s="355"/>
      <c r="R124" s="600"/>
      <c r="S124" s="600"/>
      <c r="T124" s="600"/>
      <c r="U124" s="600"/>
      <c r="V124" s="600"/>
      <c r="W124" s="600"/>
      <c r="X124" s="600"/>
      <c r="Y124" s="600"/>
      <c r="Z124" s="600"/>
      <c r="AA124" s="482"/>
      <c r="AB124" s="482"/>
      <c r="AC124" s="482"/>
      <c r="AD124" s="600">
        <v>113</v>
      </c>
      <c r="AE124" s="482"/>
      <c r="AF124" s="600"/>
      <c r="AG124" s="600"/>
      <c r="AH124" s="600"/>
      <c r="AI124" s="600"/>
      <c r="AJ124" s="600"/>
      <c r="AK124" s="600"/>
      <c r="AL124" s="600"/>
      <c r="AM124" s="600"/>
      <c r="AN124" s="600"/>
      <c r="AO124" s="600"/>
      <c r="AP124" s="600"/>
      <c r="AQ124" s="600"/>
      <c r="AR124" s="600"/>
      <c r="AS124" s="600"/>
      <c r="AT124" s="600"/>
      <c r="AU124" s="600"/>
      <c r="AV124" s="600"/>
      <c r="AW124" s="482"/>
      <c r="AX124" s="482"/>
      <c r="AY124" s="482"/>
      <c r="AZ124" s="482"/>
      <c r="BA124" s="343"/>
      <c r="BB124" s="343"/>
      <c r="BC124" s="343"/>
      <c r="BD124" s="343"/>
      <c r="BE124" s="343"/>
      <c r="BF124" s="343"/>
      <c r="BG124" s="343"/>
      <c r="BH124" s="343"/>
      <c r="BI124" s="343"/>
      <c r="BJ124" s="343"/>
      <c r="BK124" s="343"/>
      <c r="BL124" s="343"/>
      <c r="BM124" s="343"/>
      <c r="BN124" s="343"/>
      <c r="BO124" s="343"/>
      <c r="BP124" s="343"/>
      <c r="BQ124" s="343"/>
      <c r="BR124" s="343"/>
      <c r="BS124" s="343"/>
      <c r="BT124" s="343"/>
      <c r="BU124" s="343"/>
      <c r="BV124" s="343"/>
      <c r="BW124" s="343"/>
      <c r="BX124" s="343"/>
    </row>
    <row r="125" spans="1:76" s="25" customFormat="1">
      <c r="A125" s="343"/>
      <c r="B125" s="343"/>
      <c r="C125" s="115"/>
      <c r="D125" s="123"/>
      <c r="E125" s="232"/>
      <c r="F125" s="232"/>
      <c r="G125" s="115"/>
      <c r="H125" s="115"/>
      <c r="I125" s="115"/>
      <c r="J125" s="115"/>
      <c r="K125" s="232"/>
      <c r="L125" s="232"/>
      <c r="M125" s="660"/>
      <c r="N125" s="355"/>
      <c r="O125" s="355"/>
      <c r="P125" s="355"/>
      <c r="Q125" s="355"/>
      <c r="R125" s="600"/>
      <c r="S125" s="600"/>
      <c r="T125" s="600"/>
      <c r="U125" s="600"/>
      <c r="V125" s="600"/>
      <c r="W125" s="600"/>
      <c r="X125" s="600"/>
      <c r="Y125" s="600"/>
      <c r="Z125" s="600"/>
      <c r="AA125" s="482"/>
      <c r="AB125" s="482"/>
      <c r="AC125" s="482"/>
      <c r="AD125" s="600">
        <v>114</v>
      </c>
      <c r="AE125" s="482"/>
      <c r="AF125" s="600"/>
      <c r="AG125" s="600"/>
      <c r="AH125" s="600"/>
      <c r="AI125" s="600"/>
      <c r="AJ125" s="600"/>
      <c r="AK125" s="600"/>
      <c r="AL125" s="600"/>
      <c r="AM125" s="600"/>
      <c r="AN125" s="600"/>
      <c r="AO125" s="600"/>
      <c r="AP125" s="600"/>
      <c r="AQ125" s="600"/>
      <c r="AR125" s="600"/>
      <c r="AS125" s="600"/>
      <c r="AT125" s="600"/>
      <c r="AU125" s="600"/>
      <c r="AV125" s="600"/>
      <c r="AW125" s="482"/>
      <c r="AX125" s="482"/>
      <c r="AY125" s="482"/>
      <c r="AZ125" s="482"/>
      <c r="BA125" s="343"/>
      <c r="BB125" s="343"/>
      <c r="BC125" s="343"/>
      <c r="BD125" s="343"/>
      <c r="BE125" s="343"/>
      <c r="BF125" s="343"/>
      <c r="BG125" s="343"/>
      <c r="BH125" s="343"/>
      <c r="BI125" s="343"/>
      <c r="BJ125" s="343"/>
      <c r="BK125" s="343"/>
      <c r="BL125" s="343"/>
      <c r="BM125" s="343"/>
      <c r="BN125" s="343"/>
      <c r="BO125" s="343"/>
      <c r="BP125" s="343"/>
      <c r="BQ125" s="343"/>
      <c r="BR125" s="343"/>
      <c r="BS125" s="343"/>
      <c r="BT125" s="343"/>
      <c r="BU125" s="343"/>
      <c r="BV125" s="343"/>
      <c r="BW125" s="343"/>
      <c r="BX125" s="343"/>
    </row>
    <row r="126" spans="1:76" s="25" customFormat="1">
      <c r="A126" s="343"/>
      <c r="B126" s="343"/>
      <c r="C126" s="115"/>
      <c r="D126" s="123"/>
      <c r="E126" s="232"/>
      <c r="F126" s="232"/>
      <c r="G126" s="115"/>
      <c r="H126" s="115"/>
      <c r="I126" s="115"/>
      <c r="J126" s="115"/>
      <c r="K126" s="232"/>
      <c r="L126" s="232"/>
      <c r="M126" s="660"/>
      <c r="N126" s="355"/>
      <c r="O126" s="355"/>
      <c r="P126" s="355"/>
      <c r="Q126" s="355"/>
      <c r="R126" s="600"/>
      <c r="S126" s="600"/>
      <c r="T126" s="600"/>
      <c r="U126" s="600"/>
      <c r="V126" s="600"/>
      <c r="W126" s="600"/>
      <c r="X126" s="600"/>
      <c r="Y126" s="600"/>
      <c r="Z126" s="600"/>
      <c r="AA126" s="482"/>
      <c r="AB126" s="482"/>
      <c r="AC126" s="482"/>
      <c r="AD126" s="600">
        <v>115</v>
      </c>
      <c r="AE126" s="482"/>
      <c r="AF126" s="600"/>
      <c r="AG126" s="600"/>
      <c r="AH126" s="600"/>
      <c r="AI126" s="600"/>
      <c r="AJ126" s="600"/>
      <c r="AK126" s="600"/>
      <c r="AL126" s="600"/>
      <c r="AM126" s="600"/>
      <c r="AN126" s="600"/>
      <c r="AO126" s="600"/>
      <c r="AP126" s="600"/>
      <c r="AQ126" s="600"/>
      <c r="AR126" s="600"/>
      <c r="AS126" s="600"/>
      <c r="AT126" s="600"/>
      <c r="AU126" s="600"/>
      <c r="AV126" s="600"/>
      <c r="AW126" s="482"/>
      <c r="AX126" s="482"/>
      <c r="AY126" s="482"/>
      <c r="AZ126" s="482"/>
      <c r="BA126" s="343"/>
      <c r="BB126" s="343"/>
      <c r="BC126" s="343"/>
      <c r="BD126" s="343"/>
      <c r="BE126" s="343"/>
      <c r="BF126" s="343"/>
      <c r="BG126" s="343"/>
      <c r="BH126" s="343"/>
      <c r="BI126" s="343"/>
      <c r="BJ126" s="343"/>
      <c r="BK126" s="343"/>
      <c r="BL126" s="343"/>
      <c r="BM126" s="343"/>
      <c r="BN126" s="343"/>
      <c r="BO126" s="343"/>
      <c r="BP126" s="343"/>
      <c r="BQ126" s="343"/>
      <c r="BR126" s="343"/>
      <c r="BS126" s="343"/>
      <c r="BT126" s="343"/>
      <c r="BU126" s="343"/>
      <c r="BV126" s="343"/>
      <c r="BW126" s="343"/>
      <c r="BX126" s="343"/>
    </row>
    <row r="127" spans="1:76" s="25" customFormat="1">
      <c r="A127" s="343"/>
      <c r="B127" s="343"/>
      <c r="C127" s="115"/>
      <c r="D127" s="123"/>
      <c r="E127" s="232"/>
      <c r="F127" s="232"/>
      <c r="G127" s="115"/>
      <c r="H127" s="115"/>
      <c r="I127" s="115"/>
      <c r="J127" s="115"/>
      <c r="K127" s="232"/>
      <c r="L127" s="232"/>
      <c r="M127" s="660"/>
      <c r="N127" s="355"/>
      <c r="O127" s="355"/>
      <c r="P127" s="355"/>
      <c r="Q127" s="355"/>
      <c r="R127" s="600"/>
      <c r="S127" s="600"/>
      <c r="T127" s="600"/>
      <c r="U127" s="600"/>
      <c r="V127" s="600"/>
      <c r="W127" s="600"/>
      <c r="X127" s="600"/>
      <c r="Y127" s="600"/>
      <c r="Z127" s="600"/>
      <c r="AA127" s="482"/>
      <c r="AB127" s="482"/>
      <c r="AC127" s="482"/>
      <c r="AD127" s="600">
        <v>116</v>
      </c>
      <c r="AE127" s="482"/>
      <c r="AF127" s="600"/>
      <c r="AG127" s="600"/>
      <c r="AH127" s="600"/>
      <c r="AI127" s="600"/>
      <c r="AJ127" s="600"/>
      <c r="AK127" s="600"/>
      <c r="AL127" s="600"/>
      <c r="AM127" s="600"/>
      <c r="AN127" s="600"/>
      <c r="AO127" s="600"/>
      <c r="AP127" s="600"/>
      <c r="AQ127" s="600"/>
      <c r="AR127" s="600"/>
      <c r="AS127" s="600"/>
      <c r="AT127" s="600"/>
      <c r="AU127" s="600"/>
      <c r="AV127" s="600"/>
      <c r="AW127" s="482"/>
      <c r="AX127" s="482"/>
      <c r="AY127" s="482"/>
      <c r="AZ127" s="482"/>
      <c r="BA127" s="343"/>
      <c r="BB127" s="343"/>
      <c r="BC127" s="343"/>
      <c r="BD127" s="343"/>
      <c r="BE127" s="343"/>
      <c r="BF127" s="343"/>
      <c r="BG127" s="343"/>
      <c r="BH127" s="343"/>
      <c r="BI127" s="343"/>
      <c r="BJ127" s="343"/>
      <c r="BK127" s="343"/>
      <c r="BL127" s="343"/>
      <c r="BM127" s="343"/>
      <c r="BN127" s="343"/>
      <c r="BO127" s="343"/>
      <c r="BP127" s="343"/>
      <c r="BQ127" s="343"/>
      <c r="BR127" s="343"/>
      <c r="BS127" s="343"/>
      <c r="BT127" s="343"/>
      <c r="BU127" s="343"/>
      <c r="BV127" s="343"/>
      <c r="BW127" s="343"/>
      <c r="BX127" s="343"/>
    </row>
    <row r="128" spans="1:76" s="25" customFormat="1">
      <c r="A128" s="343"/>
      <c r="B128" s="343"/>
      <c r="C128" s="115"/>
      <c r="D128" s="123"/>
      <c r="E128" s="232"/>
      <c r="F128" s="232"/>
      <c r="G128" s="115"/>
      <c r="H128" s="115"/>
      <c r="I128" s="115"/>
      <c r="J128" s="115"/>
      <c r="K128" s="232"/>
      <c r="L128" s="232"/>
      <c r="M128" s="660"/>
      <c r="N128" s="355"/>
      <c r="O128" s="355"/>
      <c r="P128" s="355"/>
      <c r="Q128" s="355"/>
      <c r="R128" s="600"/>
      <c r="S128" s="600"/>
      <c r="T128" s="600"/>
      <c r="U128" s="600"/>
      <c r="V128" s="600"/>
      <c r="W128" s="600"/>
      <c r="X128" s="600"/>
      <c r="Y128" s="600"/>
      <c r="Z128" s="600"/>
      <c r="AA128" s="482"/>
      <c r="AB128" s="482"/>
      <c r="AC128" s="482"/>
      <c r="AD128" s="600">
        <v>117</v>
      </c>
      <c r="AE128" s="482"/>
      <c r="AF128" s="600"/>
      <c r="AG128" s="600"/>
      <c r="AH128" s="600"/>
      <c r="AI128" s="600"/>
      <c r="AJ128" s="600"/>
      <c r="AK128" s="600"/>
      <c r="AL128" s="600"/>
      <c r="AM128" s="600"/>
      <c r="AN128" s="600"/>
      <c r="AO128" s="600"/>
      <c r="AP128" s="600"/>
      <c r="AQ128" s="600"/>
      <c r="AR128" s="600"/>
      <c r="AS128" s="600"/>
      <c r="AT128" s="600"/>
      <c r="AU128" s="600"/>
      <c r="AV128" s="600"/>
      <c r="AW128" s="482"/>
      <c r="AX128" s="482"/>
      <c r="AY128" s="482"/>
      <c r="AZ128" s="482"/>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row>
    <row r="129" spans="1:76" s="25" customFormat="1">
      <c r="A129" s="343"/>
      <c r="B129" s="343"/>
      <c r="C129" s="115"/>
      <c r="D129" s="123"/>
      <c r="E129" s="232"/>
      <c r="F129" s="232"/>
      <c r="G129" s="115"/>
      <c r="H129" s="115"/>
      <c r="I129" s="115"/>
      <c r="J129" s="115"/>
      <c r="K129" s="232"/>
      <c r="L129" s="232"/>
      <c r="M129" s="660"/>
      <c r="N129" s="355"/>
      <c r="O129" s="355"/>
      <c r="P129" s="355"/>
      <c r="Q129" s="355"/>
      <c r="R129" s="600"/>
      <c r="S129" s="600"/>
      <c r="T129" s="600"/>
      <c r="U129" s="600"/>
      <c r="V129" s="600"/>
      <c r="W129" s="600"/>
      <c r="X129" s="600"/>
      <c r="Y129" s="600"/>
      <c r="Z129" s="600"/>
      <c r="AA129" s="482"/>
      <c r="AB129" s="482"/>
      <c r="AC129" s="482"/>
      <c r="AD129" s="600">
        <v>118</v>
      </c>
      <c r="AE129" s="482"/>
      <c r="AF129" s="600"/>
      <c r="AG129" s="600"/>
      <c r="AH129" s="600"/>
      <c r="AI129" s="600"/>
      <c r="AJ129" s="600"/>
      <c r="AK129" s="600"/>
      <c r="AL129" s="600"/>
      <c r="AM129" s="600"/>
      <c r="AN129" s="600"/>
      <c r="AO129" s="600"/>
      <c r="AP129" s="600"/>
      <c r="AQ129" s="600"/>
      <c r="AR129" s="600"/>
      <c r="AS129" s="600"/>
      <c r="AT129" s="600"/>
      <c r="AU129" s="600"/>
      <c r="AV129" s="600"/>
      <c r="AW129" s="482"/>
      <c r="AX129" s="482"/>
      <c r="AY129" s="482"/>
      <c r="AZ129" s="482"/>
      <c r="BA129" s="343"/>
      <c r="BB129" s="343"/>
      <c r="BC129" s="343"/>
      <c r="BD129" s="343"/>
      <c r="BE129" s="343"/>
      <c r="BF129" s="343"/>
      <c r="BG129" s="343"/>
      <c r="BH129" s="343"/>
      <c r="BI129" s="343"/>
      <c r="BJ129" s="343"/>
      <c r="BK129" s="343"/>
      <c r="BL129" s="343"/>
      <c r="BM129" s="343"/>
      <c r="BN129" s="343"/>
      <c r="BO129" s="343"/>
      <c r="BP129" s="343"/>
      <c r="BQ129" s="343"/>
      <c r="BR129" s="343"/>
      <c r="BS129" s="343"/>
      <c r="BT129" s="343"/>
      <c r="BU129" s="343"/>
      <c r="BV129" s="343"/>
      <c r="BW129" s="343"/>
      <c r="BX129" s="343"/>
    </row>
    <row r="130" spans="1:76" s="25" customFormat="1">
      <c r="A130" s="343"/>
      <c r="B130" s="343"/>
      <c r="C130" s="115"/>
      <c r="D130" s="123"/>
      <c r="E130" s="232"/>
      <c r="F130" s="232"/>
      <c r="G130" s="115"/>
      <c r="H130" s="115"/>
      <c r="I130" s="115"/>
      <c r="J130" s="115"/>
      <c r="K130" s="232"/>
      <c r="L130" s="232"/>
      <c r="M130" s="660"/>
      <c r="N130" s="355"/>
      <c r="O130" s="355"/>
      <c r="P130" s="355"/>
      <c r="Q130" s="355"/>
      <c r="R130" s="600"/>
      <c r="S130" s="600"/>
      <c r="T130" s="600"/>
      <c r="U130" s="600"/>
      <c r="V130" s="600"/>
      <c r="W130" s="600"/>
      <c r="X130" s="600"/>
      <c r="Y130" s="600"/>
      <c r="Z130" s="600"/>
      <c r="AA130" s="482"/>
      <c r="AB130" s="482"/>
      <c r="AC130" s="482"/>
      <c r="AD130" s="600">
        <v>119</v>
      </c>
      <c r="AE130" s="482"/>
      <c r="AF130" s="600"/>
      <c r="AG130" s="600"/>
      <c r="AH130" s="600"/>
      <c r="AI130" s="600"/>
      <c r="AJ130" s="600"/>
      <c r="AK130" s="600"/>
      <c r="AL130" s="600"/>
      <c r="AM130" s="600"/>
      <c r="AN130" s="600"/>
      <c r="AO130" s="600"/>
      <c r="AP130" s="600"/>
      <c r="AQ130" s="600"/>
      <c r="AR130" s="600"/>
      <c r="AS130" s="600"/>
      <c r="AT130" s="600"/>
      <c r="AU130" s="600"/>
      <c r="AV130" s="600"/>
      <c r="AW130" s="482"/>
      <c r="AX130" s="482"/>
      <c r="AY130" s="482"/>
      <c r="AZ130" s="482"/>
      <c r="BA130" s="343"/>
      <c r="BB130" s="343"/>
      <c r="BC130" s="343"/>
      <c r="BD130" s="343"/>
      <c r="BE130" s="343"/>
      <c r="BF130" s="343"/>
      <c r="BG130" s="343"/>
      <c r="BH130" s="343"/>
      <c r="BI130" s="343"/>
      <c r="BJ130" s="343"/>
      <c r="BK130" s="343"/>
      <c r="BL130" s="343"/>
      <c r="BM130" s="343"/>
      <c r="BN130" s="343"/>
      <c r="BO130" s="343"/>
      <c r="BP130" s="343"/>
      <c r="BQ130" s="343"/>
      <c r="BR130" s="343"/>
      <c r="BS130" s="343"/>
      <c r="BT130" s="343"/>
      <c r="BU130" s="343"/>
      <c r="BV130" s="343"/>
      <c r="BW130" s="343"/>
      <c r="BX130" s="343"/>
    </row>
    <row r="131" spans="1:76" s="25" customFormat="1">
      <c r="A131" s="343"/>
      <c r="B131" s="343"/>
      <c r="C131" s="115"/>
      <c r="D131" s="123"/>
      <c r="E131" s="232"/>
      <c r="F131" s="232"/>
      <c r="G131" s="115"/>
      <c r="H131" s="115"/>
      <c r="I131" s="115"/>
      <c r="J131" s="115"/>
      <c r="K131" s="232"/>
      <c r="L131" s="232"/>
      <c r="M131" s="660"/>
      <c r="N131" s="355"/>
      <c r="O131" s="355"/>
      <c r="P131" s="355"/>
      <c r="Q131" s="355"/>
      <c r="R131" s="600"/>
      <c r="S131" s="600"/>
      <c r="T131" s="600"/>
      <c r="U131" s="600"/>
      <c r="V131" s="600"/>
      <c r="W131" s="600"/>
      <c r="X131" s="600"/>
      <c r="Y131" s="600"/>
      <c r="Z131" s="600"/>
      <c r="AA131" s="482"/>
      <c r="AB131" s="482"/>
      <c r="AC131" s="482"/>
      <c r="AD131" s="600">
        <v>120</v>
      </c>
      <c r="AE131" s="482"/>
      <c r="AF131" s="600"/>
      <c r="AG131" s="600"/>
      <c r="AH131" s="600"/>
      <c r="AI131" s="600"/>
      <c r="AJ131" s="600"/>
      <c r="AK131" s="600"/>
      <c r="AL131" s="600"/>
      <c r="AM131" s="600"/>
      <c r="AN131" s="600"/>
      <c r="AO131" s="600"/>
      <c r="AP131" s="600"/>
      <c r="AQ131" s="600"/>
      <c r="AR131" s="600"/>
      <c r="AS131" s="600"/>
      <c r="AT131" s="600"/>
      <c r="AU131" s="600"/>
      <c r="AV131" s="600"/>
      <c r="AW131" s="482"/>
      <c r="AX131" s="482"/>
      <c r="AY131" s="482"/>
      <c r="AZ131" s="482"/>
      <c r="BA131" s="343"/>
      <c r="BB131" s="343"/>
      <c r="BC131" s="343"/>
      <c r="BD131" s="343"/>
      <c r="BE131" s="343"/>
      <c r="BF131" s="343"/>
      <c r="BG131" s="343"/>
      <c r="BH131" s="343"/>
      <c r="BI131" s="343"/>
      <c r="BJ131" s="343"/>
      <c r="BK131" s="343"/>
      <c r="BL131" s="343"/>
      <c r="BM131" s="343"/>
      <c r="BN131" s="343"/>
      <c r="BO131" s="343"/>
      <c r="BP131" s="343"/>
      <c r="BQ131" s="343"/>
      <c r="BR131" s="343"/>
      <c r="BS131" s="343"/>
      <c r="BT131" s="343"/>
      <c r="BU131" s="343"/>
      <c r="BV131" s="343"/>
      <c r="BW131" s="343"/>
      <c r="BX131" s="343"/>
    </row>
    <row r="132" spans="1:76" s="25" customFormat="1">
      <c r="A132" s="343"/>
      <c r="B132" s="343"/>
      <c r="C132" s="115"/>
      <c r="D132" s="123"/>
      <c r="E132" s="232"/>
      <c r="F132" s="232"/>
      <c r="G132" s="115"/>
      <c r="H132" s="115"/>
      <c r="I132" s="115"/>
      <c r="J132" s="115"/>
      <c r="K132" s="232"/>
      <c r="L132" s="232"/>
      <c r="M132" s="660"/>
      <c r="N132" s="355"/>
      <c r="O132" s="355"/>
      <c r="P132" s="355"/>
      <c r="Q132" s="355"/>
      <c r="R132" s="600"/>
      <c r="S132" s="600"/>
      <c r="T132" s="600"/>
      <c r="U132" s="600"/>
      <c r="V132" s="600"/>
      <c r="W132" s="600"/>
      <c r="X132" s="600"/>
      <c r="Y132" s="600"/>
      <c r="Z132" s="600"/>
      <c r="AA132" s="482"/>
      <c r="AB132" s="482"/>
      <c r="AC132" s="482"/>
      <c r="AD132" s="600">
        <v>121</v>
      </c>
      <c r="AE132" s="482"/>
      <c r="AF132" s="600"/>
      <c r="AG132" s="600"/>
      <c r="AH132" s="600"/>
      <c r="AI132" s="600"/>
      <c r="AJ132" s="600"/>
      <c r="AK132" s="600"/>
      <c r="AL132" s="600"/>
      <c r="AM132" s="600"/>
      <c r="AN132" s="600"/>
      <c r="AO132" s="600"/>
      <c r="AP132" s="600"/>
      <c r="AQ132" s="600"/>
      <c r="AR132" s="600"/>
      <c r="AS132" s="600"/>
      <c r="AT132" s="600"/>
      <c r="AU132" s="600"/>
      <c r="AV132" s="600"/>
      <c r="AW132" s="482"/>
      <c r="AX132" s="482"/>
      <c r="AY132" s="482"/>
      <c r="AZ132" s="482"/>
      <c r="BA132" s="343"/>
      <c r="BB132" s="343"/>
      <c r="BC132" s="343"/>
      <c r="BD132" s="343"/>
      <c r="BE132" s="343"/>
      <c r="BF132" s="343"/>
      <c r="BG132" s="343"/>
      <c r="BH132" s="343"/>
      <c r="BI132" s="343"/>
      <c r="BJ132" s="343"/>
      <c r="BK132" s="343"/>
      <c r="BL132" s="343"/>
      <c r="BM132" s="343"/>
      <c r="BN132" s="343"/>
      <c r="BO132" s="343"/>
      <c r="BP132" s="343"/>
      <c r="BQ132" s="343"/>
      <c r="BR132" s="343"/>
      <c r="BS132" s="343"/>
      <c r="BT132" s="343"/>
      <c r="BU132" s="343"/>
      <c r="BV132" s="343"/>
      <c r="BW132" s="343"/>
      <c r="BX132" s="343"/>
    </row>
    <row r="133" spans="1:76" s="25" customFormat="1">
      <c r="A133" s="343"/>
      <c r="B133" s="343"/>
      <c r="C133" s="115"/>
      <c r="D133" s="123"/>
      <c r="E133" s="232"/>
      <c r="F133" s="232"/>
      <c r="G133" s="115"/>
      <c r="H133" s="115"/>
      <c r="I133" s="115"/>
      <c r="J133" s="115"/>
      <c r="K133" s="232"/>
      <c r="L133" s="232"/>
      <c r="M133" s="660"/>
      <c r="N133" s="355"/>
      <c r="O133" s="355"/>
      <c r="P133" s="355"/>
      <c r="Q133" s="355"/>
      <c r="R133" s="600"/>
      <c r="S133" s="600"/>
      <c r="T133" s="600"/>
      <c r="U133" s="600"/>
      <c r="V133" s="600"/>
      <c r="W133" s="600"/>
      <c r="X133" s="600"/>
      <c r="Y133" s="600"/>
      <c r="Z133" s="600"/>
      <c r="AA133" s="482"/>
      <c r="AB133" s="482"/>
      <c r="AC133" s="482"/>
      <c r="AD133" s="600">
        <v>122</v>
      </c>
      <c r="AE133" s="482"/>
      <c r="AF133" s="600"/>
      <c r="AG133" s="600"/>
      <c r="AH133" s="600"/>
      <c r="AI133" s="600"/>
      <c r="AJ133" s="600"/>
      <c r="AK133" s="600"/>
      <c r="AL133" s="600"/>
      <c r="AM133" s="600"/>
      <c r="AN133" s="600"/>
      <c r="AO133" s="600"/>
      <c r="AP133" s="600"/>
      <c r="AQ133" s="600"/>
      <c r="AR133" s="600"/>
      <c r="AS133" s="600"/>
      <c r="AT133" s="600"/>
      <c r="AU133" s="600"/>
      <c r="AV133" s="600"/>
      <c r="AW133" s="482"/>
      <c r="AX133" s="482"/>
      <c r="AY133" s="482"/>
      <c r="AZ133" s="482"/>
      <c r="BA133" s="343"/>
      <c r="BB133" s="343"/>
      <c r="BC133" s="343"/>
      <c r="BD133" s="343"/>
      <c r="BE133" s="343"/>
      <c r="BF133" s="343"/>
      <c r="BG133" s="343"/>
      <c r="BH133" s="343"/>
      <c r="BI133" s="343"/>
      <c r="BJ133" s="343"/>
      <c r="BK133" s="343"/>
      <c r="BL133" s="343"/>
      <c r="BM133" s="343"/>
      <c r="BN133" s="343"/>
      <c r="BO133" s="343"/>
      <c r="BP133" s="343"/>
      <c r="BQ133" s="343"/>
      <c r="BR133" s="343"/>
      <c r="BS133" s="343"/>
      <c r="BT133" s="343"/>
      <c r="BU133" s="343"/>
      <c r="BV133" s="343"/>
      <c r="BW133" s="343"/>
      <c r="BX133" s="343"/>
    </row>
    <row r="134" spans="1:76" s="25" customFormat="1">
      <c r="A134" s="343"/>
      <c r="B134" s="343"/>
      <c r="C134" s="115"/>
      <c r="D134" s="123"/>
      <c r="E134" s="232"/>
      <c r="F134" s="232"/>
      <c r="G134" s="115"/>
      <c r="H134" s="115"/>
      <c r="I134" s="115"/>
      <c r="J134" s="115"/>
      <c r="K134" s="232"/>
      <c r="L134" s="232"/>
      <c r="M134" s="660"/>
      <c r="N134" s="355"/>
      <c r="O134" s="355"/>
      <c r="P134" s="355"/>
      <c r="Q134" s="355"/>
      <c r="R134" s="600"/>
      <c r="S134" s="600"/>
      <c r="T134" s="600"/>
      <c r="U134" s="600"/>
      <c r="V134" s="600"/>
      <c r="W134" s="600"/>
      <c r="X134" s="600"/>
      <c r="Y134" s="600"/>
      <c r="Z134" s="600"/>
      <c r="AA134" s="482"/>
      <c r="AB134" s="482"/>
      <c r="AC134" s="482"/>
      <c r="AD134" s="600">
        <v>123</v>
      </c>
      <c r="AE134" s="482"/>
      <c r="AF134" s="600"/>
      <c r="AG134" s="600"/>
      <c r="AH134" s="600"/>
      <c r="AI134" s="600"/>
      <c r="AJ134" s="600"/>
      <c r="AK134" s="600"/>
      <c r="AL134" s="600"/>
      <c r="AM134" s="600"/>
      <c r="AN134" s="600"/>
      <c r="AO134" s="600"/>
      <c r="AP134" s="600"/>
      <c r="AQ134" s="600"/>
      <c r="AR134" s="600"/>
      <c r="AS134" s="600"/>
      <c r="AT134" s="600"/>
      <c r="AU134" s="600"/>
      <c r="AV134" s="600"/>
      <c r="AW134" s="482"/>
      <c r="AX134" s="482"/>
      <c r="AY134" s="482"/>
      <c r="AZ134" s="482"/>
      <c r="BA134" s="343"/>
      <c r="BB134" s="343"/>
      <c r="BC134" s="343"/>
      <c r="BD134" s="343"/>
      <c r="BE134" s="343"/>
      <c r="BF134" s="343"/>
      <c r="BG134" s="343"/>
      <c r="BH134" s="343"/>
      <c r="BI134" s="343"/>
      <c r="BJ134" s="343"/>
      <c r="BK134" s="343"/>
      <c r="BL134" s="343"/>
      <c r="BM134" s="343"/>
      <c r="BN134" s="343"/>
      <c r="BO134" s="343"/>
      <c r="BP134" s="343"/>
      <c r="BQ134" s="343"/>
      <c r="BR134" s="343"/>
      <c r="BS134" s="343"/>
      <c r="BT134" s="343"/>
      <c r="BU134" s="343"/>
      <c r="BV134" s="343"/>
      <c r="BW134" s="343"/>
      <c r="BX134" s="343"/>
    </row>
    <row r="135" spans="1:76" s="25" customFormat="1">
      <c r="A135" s="343"/>
      <c r="B135" s="343"/>
      <c r="C135" s="115"/>
      <c r="D135" s="123"/>
      <c r="E135" s="232"/>
      <c r="F135" s="232"/>
      <c r="G135" s="115"/>
      <c r="H135" s="115"/>
      <c r="I135" s="115"/>
      <c r="J135" s="115"/>
      <c r="K135" s="232"/>
      <c r="L135" s="232"/>
      <c r="M135" s="660"/>
      <c r="N135" s="355"/>
      <c r="O135" s="355"/>
      <c r="P135" s="355"/>
      <c r="Q135" s="355"/>
      <c r="R135" s="600"/>
      <c r="S135" s="600"/>
      <c r="T135" s="600"/>
      <c r="U135" s="600"/>
      <c r="V135" s="600"/>
      <c r="W135" s="600"/>
      <c r="X135" s="600"/>
      <c r="Y135" s="600"/>
      <c r="Z135" s="600"/>
      <c r="AA135" s="482"/>
      <c r="AB135" s="482"/>
      <c r="AC135" s="482"/>
      <c r="AD135" s="600">
        <v>124</v>
      </c>
      <c r="AE135" s="482"/>
      <c r="AF135" s="600"/>
      <c r="AG135" s="600"/>
      <c r="AH135" s="600"/>
      <c r="AI135" s="600"/>
      <c r="AJ135" s="600"/>
      <c r="AK135" s="600"/>
      <c r="AL135" s="600"/>
      <c r="AM135" s="600"/>
      <c r="AN135" s="600"/>
      <c r="AO135" s="600"/>
      <c r="AP135" s="600"/>
      <c r="AQ135" s="600"/>
      <c r="AR135" s="600"/>
      <c r="AS135" s="600"/>
      <c r="AT135" s="600"/>
      <c r="AU135" s="600"/>
      <c r="AV135" s="600"/>
      <c r="AW135" s="482"/>
      <c r="AX135" s="482"/>
      <c r="AY135" s="482"/>
      <c r="AZ135" s="482"/>
      <c r="BA135" s="343"/>
      <c r="BB135" s="343"/>
      <c r="BC135" s="343"/>
      <c r="BD135" s="343"/>
      <c r="BE135" s="343"/>
      <c r="BF135" s="343"/>
      <c r="BG135" s="343"/>
      <c r="BH135" s="343"/>
      <c r="BI135" s="343"/>
      <c r="BJ135" s="343"/>
      <c r="BK135" s="343"/>
      <c r="BL135" s="343"/>
      <c r="BM135" s="343"/>
      <c r="BN135" s="343"/>
      <c r="BO135" s="343"/>
      <c r="BP135" s="343"/>
      <c r="BQ135" s="343"/>
      <c r="BR135" s="343"/>
      <c r="BS135" s="343"/>
      <c r="BT135" s="343"/>
      <c r="BU135" s="343"/>
      <c r="BV135" s="343"/>
      <c r="BW135" s="343"/>
      <c r="BX135" s="343"/>
    </row>
    <row r="136" spans="1:76" s="25" customFormat="1">
      <c r="A136" s="343"/>
      <c r="B136" s="343"/>
      <c r="C136" s="115"/>
      <c r="D136" s="123"/>
      <c r="E136" s="232"/>
      <c r="F136" s="232"/>
      <c r="G136" s="115"/>
      <c r="H136" s="115"/>
      <c r="I136" s="115"/>
      <c r="J136" s="115"/>
      <c r="K136" s="232"/>
      <c r="L136" s="232"/>
      <c r="M136" s="660"/>
      <c r="N136" s="355"/>
      <c r="O136" s="355"/>
      <c r="P136" s="355"/>
      <c r="Q136" s="355"/>
      <c r="R136" s="600"/>
      <c r="S136" s="600"/>
      <c r="T136" s="600"/>
      <c r="U136" s="600"/>
      <c r="V136" s="600"/>
      <c r="W136" s="600"/>
      <c r="X136" s="600"/>
      <c r="Y136" s="600"/>
      <c r="Z136" s="600"/>
      <c r="AA136" s="482"/>
      <c r="AB136" s="482"/>
      <c r="AC136" s="482"/>
      <c r="AD136" s="600">
        <v>125</v>
      </c>
      <c r="AE136" s="482"/>
      <c r="AF136" s="600"/>
      <c r="AG136" s="600"/>
      <c r="AH136" s="600"/>
      <c r="AI136" s="600"/>
      <c r="AJ136" s="600"/>
      <c r="AK136" s="600"/>
      <c r="AL136" s="600"/>
      <c r="AM136" s="600"/>
      <c r="AN136" s="600"/>
      <c r="AO136" s="600"/>
      <c r="AP136" s="600"/>
      <c r="AQ136" s="600"/>
      <c r="AR136" s="600"/>
      <c r="AS136" s="600"/>
      <c r="AT136" s="600"/>
      <c r="AU136" s="600"/>
      <c r="AV136" s="600"/>
      <c r="AW136" s="482"/>
      <c r="AX136" s="482"/>
      <c r="AY136" s="482"/>
      <c r="AZ136" s="482"/>
      <c r="BA136" s="343"/>
      <c r="BB136" s="343"/>
      <c r="BC136" s="343"/>
      <c r="BD136" s="343"/>
      <c r="BE136" s="343"/>
      <c r="BF136" s="343"/>
      <c r="BG136" s="343"/>
      <c r="BH136" s="343"/>
      <c r="BI136" s="343"/>
      <c r="BJ136" s="343"/>
      <c r="BK136" s="343"/>
      <c r="BL136" s="343"/>
      <c r="BM136" s="343"/>
      <c r="BN136" s="343"/>
      <c r="BO136" s="343"/>
      <c r="BP136" s="343"/>
      <c r="BQ136" s="343"/>
      <c r="BR136" s="343"/>
      <c r="BS136" s="343"/>
      <c r="BT136" s="343"/>
      <c r="BU136" s="343"/>
      <c r="BV136" s="343"/>
      <c r="BW136" s="343"/>
      <c r="BX136" s="343"/>
    </row>
    <row r="137" spans="1:76" s="25" customFormat="1">
      <c r="A137" s="343"/>
      <c r="B137" s="343"/>
      <c r="C137" s="115"/>
      <c r="D137" s="123"/>
      <c r="E137" s="232"/>
      <c r="F137" s="232"/>
      <c r="G137" s="115"/>
      <c r="H137" s="115"/>
      <c r="I137" s="115"/>
      <c r="J137" s="115"/>
      <c r="K137" s="232"/>
      <c r="L137" s="232"/>
      <c r="M137" s="660"/>
      <c r="N137" s="355"/>
      <c r="O137" s="355"/>
      <c r="P137" s="355"/>
      <c r="Q137" s="355"/>
      <c r="R137" s="600"/>
      <c r="S137" s="600"/>
      <c r="T137" s="600"/>
      <c r="U137" s="600"/>
      <c r="V137" s="600"/>
      <c r="W137" s="600"/>
      <c r="X137" s="600"/>
      <c r="Y137" s="600"/>
      <c r="Z137" s="600"/>
      <c r="AA137" s="482"/>
      <c r="AB137" s="482"/>
      <c r="AC137" s="482"/>
      <c r="AD137" s="600">
        <v>126</v>
      </c>
      <c r="AE137" s="482"/>
      <c r="AF137" s="600"/>
      <c r="AG137" s="600"/>
      <c r="AH137" s="600"/>
      <c r="AI137" s="600"/>
      <c r="AJ137" s="600"/>
      <c r="AK137" s="600"/>
      <c r="AL137" s="600"/>
      <c r="AM137" s="600"/>
      <c r="AN137" s="600"/>
      <c r="AO137" s="600"/>
      <c r="AP137" s="600"/>
      <c r="AQ137" s="600"/>
      <c r="AR137" s="600"/>
      <c r="AS137" s="600"/>
      <c r="AT137" s="600"/>
      <c r="AU137" s="600"/>
      <c r="AV137" s="600"/>
      <c r="AW137" s="482"/>
      <c r="AX137" s="482"/>
      <c r="AY137" s="482"/>
      <c r="AZ137" s="482"/>
      <c r="BA137" s="343"/>
      <c r="BB137" s="343"/>
      <c r="BC137" s="343"/>
      <c r="BD137" s="343"/>
      <c r="BE137" s="343"/>
      <c r="BF137" s="343"/>
      <c r="BG137" s="343"/>
      <c r="BH137" s="343"/>
      <c r="BI137" s="343"/>
      <c r="BJ137" s="343"/>
      <c r="BK137" s="343"/>
      <c r="BL137" s="343"/>
      <c r="BM137" s="343"/>
      <c r="BN137" s="343"/>
      <c r="BO137" s="343"/>
      <c r="BP137" s="343"/>
      <c r="BQ137" s="343"/>
      <c r="BR137" s="343"/>
      <c r="BS137" s="343"/>
      <c r="BT137" s="343"/>
      <c r="BU137" s="343"/>
      <c r="BV137" s="343"/>
      <c r="BW137" s="343"/>
      <c r="BX137" s="343"/>
    </row>
    <row r="138" spans="1:76" s="25" customFormat="1">
      <c r="A138" s="343"/>
      <c r="B138" s="343"/>
      <c r="C138" s="115"/>
      <c r="D138" s="123"/>
      <c r="E138" s="232"/>
      <c r="F138" s="232"/>
      <c r="G138" s="115"/>
      <c r="H138" s="115"/>
      <c r="I138" s="115"/>
      <c r="J138" s="115"/>
      <c r="K138" s="232"/>
      <c r="L138" s="232"/>
      <c r="M138" s="660"/>
      <c r="N138" s="355"/>
      <c r="O138" s="355"/>
      <c r="P138" s="355"/>
      <c r="Q138" s="355"/>
      <c r="R138" s="600"/>
      <c r="S138" s="600"/>
      <c r="T138" s="600"/>
      <c r="U138" s="600"/>
      <c r="V138" s="600"/>
      <c r="W138" s="600"/>
      <c r="X138" s="600"/>
      <c r="Y138" s="600"/>
      <c r="Z138" s="600"/>
      <c r="AA138" s="482"/>
      <c r="AB138" s="482"/>
      <c r="AC138" s="482"/>
      <c r="AD138" s="600">
        <v>127</v>
      </c>
      <c r="AE138" s="482"/>
      <c r="AF138" s="600"/>
      <c r="AG138" s="600"/>
      <c r="AH138" s="600"/>
      <c r="AI138" s="600"/>
      <c r="AJ138" s="600"/>
      <c r="AK138" s="600"/>
      <c r="AL138" s="600"/>
      <c r="AM138" s="600"/>
      <c r="AN138" s="600"/>
      <c r="AO138" s="600"/>
      <c r="AP138" s="600"/>
      <c r="AQ138" s="600"/>
      <c r="AR138" s="600"/>
      <c r="AS138" s="600"/>
      <c r="AT138" s="600"/>
      <c r="AU138" s="600"/>
      <c r="AV138" s="600"/>
      <c r="AW138" s="482"/>
      <c r="AX138" s="482"/>
      <c r="AY138" s="482"/>
      <c r="AZ138" s="482"/>
      <c r="BA138" s="343"/>
      <c r="BB138" s="343"/>
      <c r="BC138" s="343"/>
      <c r="BD138" s="343"/>
      <c r="BE138" s="343"/>
      <c r="BF138" s="343"/>
      <c r="BG138" s="343"/>
      <c r="BH138" s="343"/>
      <c r="BI138" s="343"/>
      <c r="BJ138" s="343"/>
      <c r="BK138" s="343"/>
      <c r="BL138" s="343"/>
      <c r="BM138" s="343"/>
      <c r="BN138" s="343"/>
      <c r="BO138" s="343"/>
      <c r="BP138" s="343"/>
      <c r="BQ138" s="343"/>
      <c r="BR138" s="343"/>
      <c r="BS138" s="343"/>
      <c r="BT138" s="343"/>
      <c r="BU138" s="343"/>
      <c r="BV138" s="343"/>
      <c r="BW138" s="343"/>
      <c r="BX138" s="343"/>
    </row>
    <row r="139" spans="1:76" s="25" customFormat="1">
      <c r="A139" s="343"/>
      <c r="B139" s="343"/>
      <c r="C139" s="115"/>
      <c r="D139" s="123"/>
      <c r="E139" s="232"/>
      <c r="F139" s="232"/>
      <c r="G139" s="115"/>
      <c r="H139" s="115"/>
      <c r="I139" s="115"/>
      <c r="J139" s="115"/>
      <c r="K139" s="232"/>
      <c r="L139" s="232"/>
      <c r="M139" s="660"/>
      <c r="N139" s="355"/>
      <c r="O139" s="355"/>
      <c r="P139" s="355"/>
      <c r="Q139" s="355"/>
      <c r="R139" s="600"/>
      <c r="S139" s="600"/>
      <c r="T139" s="600"/>
      <c r="U139" s="600"/>
      <c r="V139" s="600"/>
      <c r="W139" s="600"/>
      <c r="X139" s="600"/>
      <c r="Y139" s="600"/>
      <c r="Z139" s="600"/>
      <c r="AA139" s="482"/>
      <c r="AB139" s="482"/>
      <c r="AC139" s="482"/>
      <c r="AD139" s="600">
        <v>128</v>
      </c>
      <c r="AE139" s="482"/>
      <c r="AF139" s="600"/>
      <c r="AG139" s="600"/>
      <c r="AH139" s="600"/>
      <c r="AI139" s="600"/>
      <c r="AJ139" s="600"/>
      <c r="AK139" s="600"/>
      <c r="AL139" s="600"/>
      <c r="AM139" s="600"/>
      <c r="AN139" s="600"/>
      <c r="AO139" s="600"/>
      <c r="AP139" s="600"/>
      <c r="AQ139" s="600"/>
      <c r="AR139" s="600"/>
      <c r="AS139" s="600"/>
      <c r="AT139" s="600"/>
      <c r="AU139" s="600"/>
      <c r="AV139" s="600"/>
      <c r="AW139" s="482"/>
      <c r="AX139" s="482"/>
      <c r="AY139" s="482"/>
      <c r="AZ139" s="482"/>
      <c r="BA139" s="343"/>
      <c r="BB139" s="343"/>
      <c r="BC139" s="343"/>
      <c r="BD139" s="343"/>
      <c r="BE139" s="343"/>
      <c r="BF139" s="343"/>
      <c r="BG139" s="343"/>
      <c r="BH139" s="343"/>
      <c r="BI139" s="343"/>
      <c r="BJ139" s="343"/>
      <c r="BK139" s="343"/>
      <c r="BL139" s="343"/>
      <c r="BM139" s="343"/>
      <c r="BN139" s="343"/>
      <c r="BO139" s="343"/>
      <c r="BP139" s="343"/>
      <c r="BQ139" s="343"/>
      <c r="BR139" s="343"/>
      <c r="BS139" s="343"/>
      <c r="BT139" s="343"/>
      <c r="BU139" s="343"/>
      <c r="BV139" s="343"/>
      <c r="BW139" s="343"/>
      <c r="BX139" s="343"/>
    </row>
    <row r="140" spans="1:76" s="25" customFormat="1">
      <c r="A140" s="343"/>
      <c r="B140" s="343"/>
      <c r="C140" s="115"/>
      <c r="D140" s="123"/>
      <c r="E140" s="232"/>
      <c r="F140" s="232"/>
      <c r="G140" s="115"/>
      <c r="H140" s="115"/>
      <c r="I140" s="115"/>
      <c r="J140" s="115"/>
      <c r="K140" s="232"/>
      <c r="L140" s="232"/>
      <c r="M140" s="660"/>
      <c r="N140" s="355"/>
      <c r="O140" s="355"/>
      <c r="P140" s="355"/>
      <c r="Q140" s="355"/>
      <c r="R140" s="600"/>
      <c r="S140" s="600"/>
      <c r="T140" s="600"/>
      <c r="U140" s="600"/>
      <c r="V140" s="600"/>
      <c r="W140" s="600"/>
      <c r="X140" s="600"/>
      <c r="Y140" s="600"/>
      <c r="Z140" s="600"/>
      <c r="AA140" s="482"/>
      <c r="AB140" s="482"/>
      <c r="AC140" s="482"/>
      <c r="AD140" s="600">
        <v>129</v>
      </c>
      <c r="AE140" s="482"/>
      <c r="AF140" s="600"/>
      <c r="AG140" s="600"/>
      <c r="AH140" s="600"/>
      <c r="AI140" s="600"/>
      <c r="AJ140" s="600"/>
      <c r="AK140" s="600"/>
      <c r="AL140" s="600"/>
      <c r="AM140" s="600"/>
      <c r="AN140" s="600"/>
      <c r="AO140" s="600"/>
      <c r="AP140" s="600"/>
      <c r="AQ140" s="600"/>
      <c r="AR140" s="600"/>
      <c r="AS140" s="600"/>
      <c r="AT140" s="600"/>
      <c r="AU140" s="600"/>
      <c r="AV140" s="600"/>
      <c r="AW140" s="482"/>
      <c r="AX140" s="482"/>
      <c r="AY140" s="482"/>
      <c r="AZ140" s="482"/>
      <c r="BA140" s="343"/>
      <c r="BB140" s="343"/>
      <c r="BC140" s="343"/>
      <c r="BD140" s="343"/>
      <c r="BE140" s="343"/>
      <c r="BF140" s="343"/>
      <c r="BG140" s="343"/>
      <c r="BH140" s="343"/>
      <c r="BI140" s="343"/>
      <c r="BJ140" s="343"/>
      <c r="BK140" s="343"/>
      <c r="BL140" s="343"/>
      <c r="BM140" s="343"/>
      <c r="BN140" s="343"/>
      <c r="BO140" s="343"/>
      <c r="BP140" s="343"/>
      <c r="BQ140" s="343"/>
      <c r="BR140" s="343"/>
      <c r="BS140" s="343"/>
      <c r="BT140" s="343"/>
      <c r="BU140" s="343"/>
      <c r="BV140" s="343"/>
      <c r="BW140" s="343"/>
      <c r="BX140" s="343"/>
    </row>
    <row r="141" spans="1:76" s="25" customFormat="1">
      <c r="A141" s="343"/>
      <c r="B141" s="343"/>
      <c r="C141" s="115"/>
      <c r="D141" s="123"/>
      <c r="E141" s="232"/>
      <c r="F141" s="232"/>
      <c r="G141" s="115"/>
      <c r="H141" s="115"/>
      <c r="I141" s="115"/>
      <c r="J141" s="115"/>
      <c r="K141" s="232"/>
      <c r="L141" s="232"/>
      <c r="M141" s="660"/>
      <c r="N141" s="355"/>
      <c r="O141" s="355"/>
      <c r="P141" s="355"/>
      <c r="Q141" s="355"/>
      <c r="R141" s="600"/>
      <c r="S141" s="600"/>
      <c r="T141" s="600"/>
      <c r="U141" s="600"/>
      <c r="V141" s="600"/>
      <c r="W141" s="600"/>
      <c r="X141" s="600"/>
      <c r="Y141" s="600"/>
      <c r="Z141" s="600"/>
      <c r="AA141" s="482"/>
      <c r="AB141" s="482"/>
      <c r="AC141" s="482"/>
      <c r="AD141" s="600">
        <v>130</v>
      </c>
      <c r="AE141" s="482"/>
      <c r="AF141" s="600"/>
      <c r="AG141" s="600"/>
      <c r="AH141" s="600"/>
      <c r="AI141" s="600"/>
      <c r="AJ141" s="600"/>
      <c r="AK141" s="600"/>
      <c r="AL141" s="600"/>
      <c r="AM141" s="600"/>
      <c r="AN141" s="600"/>
      <c r="AO141" s="600"/>
      <c r="AP141" s="600"/>
      <c r="AQ141" s="600"/>
      <c r="AR141" s="600"/>
      <c r="AS141" s="600"/>
      <c r="AT141" s="600"/>
      <c r="AU141" s="600"/>
      <c r="AV141" s="600"/>
      <c r="AW141" s="482"/>
      <c r="AX141" s="482"/>
      <c r="AY141" s="482"/>
      <c r="AZ141" s="482"/>
      <c r="BA141" s="343"/>
      <c r="BB141" s="343"/>
      <c r="BC141" s="343"/>
      <c r="BD141" s="343"/>
      <c r="BE141" s="343"/>
      <c r="BF141" s="343"/>
      <c r="BG141" s="343"/>
      <c r="BH141" s="343"/>
      <c r="BI141" s="343"/>
      <c r="BJ141" s="343"/>
      <c r="BK141" s="343"/>
      <c r="BL141" s="343"/>
      <c r="BM141" s="343"/>
      <c r="BN141" s="343"/>
      <c r="BO141" s="343"/>
      <c r="BP141" s="343"/>
      <c r="BQ141" s="343"/>
      <c r="BR141" s="343"/>
      <c r="BS141" s="343"/>
      <c r="BT141" s="343"/>
      <c r="BU141" s="343"/>
      <c r="BV141" s="343"/>
      <c r="BW141" s="343"/>
      <c r="BX141" s="343"/>
    </row>
    <row r="142" spans="1:76" s="25" customFormat="1">
      <c r="A142" s="343"/>
      <c r="B142" s="343"/>
      <c r="C142" s="115"/>
      <c r="D142" s="123"/>
      <c r="E142" s="232"/>
      <c r="F142" s="232"/>
      <c r="G142" s="115"/>
      <c r="H142" s="115"/>
      <c r="I142" s="115"/>
      <c r="J142" s="115"/>
      <c r="K142" s="232"/>
      <c r="L142" s="232"/>
      <c r="M142" s="660"/>
      <c r="N142" s="355"/>
      <c r="O142" s="355"/>
      <c r="P142" s="355"/>
      <c r="Q142" s="355"/>
      <c r="R142" s="600"/>
      <c r="S142" s="600"/>
      <c r="T142" s="600"/>
      <c r="U142" s="600"/>
      <c r="V142" s="600"/>
      <c r="W142" s="600"/>
      <c r="X142" s="600"/>
      <c r="Y142" s="600"/>
      <c r="Z142" s="600"/>
      <c r="AA142" s="482"/>
      <c r="AB142" s="482"/>
      <c r="AC142" s="482"/>
      <c r="AD142" s="600">
        <v>131</v>
      </c>
      <c r="AE142" s="482"/>
      <c r="AF142" s="600"/>
      <c r="AG142" s="600"/>
      <c r="AH142" s="600"/>
      <c r="AI142" s="600"/>
      <c r="AJ142" s="600"/>
      <c r="AK142" s="600"/>
      <c r="AL142" s="600"/>
      <c r="AM142" s="600"/>
      <c r="AN142" s="600"/>
      <c r="AO142" s="600"/>
      <c r="AP142" s="600"/>
      <c r="AQ142" s="600"/>
      <c r="AR142" s="600"/>
      <c r="AS142" s="600"/>
      <c r="AT142" s="600"/>
      <c r="AU142" s="600"/>
      <c r="AV142" s="600"/>
      <c r="AW142" s="482"/>
      <c r="AX142" s="482"/>
      <c r="AY142" s="482"/>
      <c r="AZ142" s="482"/>
      <c r="BA142" s="343"/>
      <c r="BB142" s="343"/>
      <c r="BC142" s="343"/>
      <c r="BD142" s="343"/>
      <c r="BE142" s="343"/>
      <c r="BF142" s="343"/>
      <c r="BG142" s="343"/>
      <c r="BH142" s="343"/>
      <c r="BI142" s="343"/>
      <c r="BJ142" s="343"/>
      <c r="BK142" s="343"/>
      <c r="BL142" s="343"/>
      <c r="BM142" s="343"/>
      <c r="BN142" s="343"/>
      <c r="BO142" s="343"/>
      <c r="BP142" s="343"/>
      <c r="BQ142" s="343"/>
      <c r="BR142" s="343"/>
      <c r="BS142" s="343"/>
      <c r="BT142" s="343"/>
      <c r="BU142" s="343"/>
      <c r="BV142" s="343"/>
      <c r="BW142" s="343"/>
      <c r="BX142" s="343"/>
    </row>
    <row r="143" spans="1:76" s="25" customFormat="1">
      <c r="A143" s="343"/>
      <c r="B143" s="343"/>
      <c r="C143" s="115"/>
      <c r="D143" s="123"/>
      <c r="E143" s="232"/>
      <c r="F143" s="232"/>
      <c r="G143" s="115"/>
      <c r="H143" s="115"/>
      <c r="I143" s="115"/>
      <c r="J143" s="115"/>
      <c r="K143" s="232"/>
      <c r="L143" s="232"/>
      <c r="M143" s="660"/>
      <c r="N143" s="355"/>
      <c r="O143" s="355"/>
      <c r="P143" s="355"/>
      <c r="Q143" s="355"/>
      <c r="R143" s="600"/>
      <c r="S143" s="600"/>
      <c r="T143" s="600"/>
      <c r="U143" s="600"/>
      <c r="V143" s="600"/>
      <c r="W143" s="600"/>
      <c r="X143" s="600"/>
      <c r="Y143" s="600"/>
      <c r="Z143" s="600"/>
      <c r="AA143" s="482"/>
      <c r="AB143" s="482"/>
      <c r="AC143" s="482"/>
      <c r="AD143" s="600">
        <v>132</v>
      </c>
      <c r="AE143" s="482"/>
      <c r="AF143" s="600"/>
      <c r="AG143" s="600"/>
      <c r="AH143" s="600"/>
      <c r="AI143" s="600"/>
      <c r="AJ143" s="600"/>
      <c r="AK143" s="600"/>
      <c r="AL143" s="600"/>
      <c r="AM143" s="600"/>
      <c r="AN143" s="600"/>
      <c r="AO143" s="600"/>
      <c r="AP143" s="600"/>
      <c r="AQ143" s="600"/>
      <c r="AR143" s="600"/>
      <c r="AS143" s="600"/>
      <c r="AT143" s="600"/>
      <c r="AU143" s="600"/>
      <c r="AV143" s="600"/>
      <c r="AW143" s="482"/>
      <c r="AX143" s="482"/>
      <c r="AY143" s="482"/>
      <c r="AZ143" s="482"/>
      <c r="BA143" s="343"/>
      <c r="BB143" s="343"/>
      <c r="BC143" s="343"/>
      <c r="BD143" s="343"/>
      <c r="BE143" s="343"/>
      <c r="BF143" s="343"/>
      <c r="BG143" s="343"/>
      <c r="BH143" s="343"/>
      <c r="BI143" s="343"/>
      <c r="BJ143" s="343"/>
      <c r="BK143" s="343"/>
      <c r="BL143" s="343"/>
      <c r="BM143" s="343"/>
      <c r="BN143" s="343"/>
      <c r="BO143" s="343"/>
      <c r="BP143" s="343"/>
      <c r="BQ143" s="343"/>
      <c r="BR143" s="343"/>
      <c r="BS143" s="343"/>
      <c r="BT143" s="343"/>
      <c r="BU143" s="343"/>
      <c r="BV143" s="343"/>
      <c r="BW143" s="343"/>
      <c r="BX143" s="343"/>
    </row>
    <row r="144" spans="1:76" s="25" customFormat="1">
      <c r="A144" s="343"/>
      <c r="B144" s="343"/>
      <c r="C144" s="115"/>
      <c r="D144" s="123"/>
      <c r="E144" s="232"/>
      <c r="F144" s="232"/>
      <c r="G144" s="115"/>
      <c r="H144" s="115"/>
      <c r="I144" s="115"/>
      <c r="J144" s="115"/>
      <c r="K144" s="232"/>
      <c r="L144" s="232"/>
      <c r="M144" s="660"/>
      <c r="N144" s="355"/>
      <c r="O144" s="355"/>
      <c r="P144" s="355"/>
      <c r="Q144" s="355"/>
      <c r="R144" s="600"/>
      <c r="S144" s="600"/>
      <c r="T144" s="600"/>
      <c r="U144" s="600"/>
      <c r="V144" s="600"/>
      <c r="W144" s="600"/>
      <c r="X144" s="600"/>
      <c r="Y144" s="600"/>
      <c r="Z144" s="600"/>
      <c r="AA144" s="482"/>
      <c r="AB144" s="482"/>
      <c r="AC144" s="482"/>
      <c r="AD144" s="600">
        <v>133</v>
      </c>
      <c r="AE144" s="482"/>
      <c r="AF144" s="600"/>
      <c r="AG144" s="600"/>
      <c r="AH144" s="600"/>
      <c r="AI144" s="600"/>
      <c r="AJ144" s="600"/>
      <c r="AK144" s="600"/>
      <c r="AL144" s="600"/>
      <c r="AM144" s="600"/>
      <c r="AN144" s="600"/>
      <c r="AO144" s="600"/>
      <c r="AP144" s="600"/>
      <c r="AQ144" s="600"/>
      <c r="AR144" s="600"/>
      <c r="AS144" s="600"/>
      <c r="AT144" s="600"/>
      <c r="AU144" s="600"/>
      <c r="AV144" s="600"/>
      <c r="AW144" s="482"/>
      <c r="AX144" s="482"/>
      <c r="AY144" s="482"/>
      <c r="AZ144" s="482"/>
      <c r="BA144" s="343"/>
      <c r="BB144" s="343"/>
      <c r="BC144" s="343"/>
      <c r="BD144" s="343"/>
      <c r="BE144" s="343"/>
      <c r="BF144" s="343"/>
      <c r="BG144" s="343"/>
      <c r="BH144" s="343"/>
      <c r="BI144" s="343"/>
      <c r="BJ144" s="343"/>
      <c r="BK144" s="343"/>
      <c r="BL144" s="343"/>
      <c r="BM144" s="343"/>
      <c r="BN144" s="343"/>
      <c r="BO144" s="343"/>
      <c r="BP144" s="343"/>
      <c r="BQ144" s="343"/>
      <c r="BR144" s="343"/>
      <c r="BS144" s="343"/>
      <c r="BT144" s="343"/>
      <c r="BU144" s="343"/>
      <c r="BV144" s="343"/>
      <c r="BW144" s="343"/>
      <c r="BX144" s="343"/>
    </row>
    <row r="145" spans="1:76" s="25" customFormat="1">
      <c r="A145" s="343"/>
      <c r="B145" s="343"/>
      <c r="C145" s="115"/>
      <c r="D145" s="123"/>
      <c r="E145" s="232"/>
      <c r="F145" s="232"/>
      <c r="G145" s="115"/>
      <c r="H145" s="115"/>
      <c r="I145" s="115"/>
      <c r="J145" s="115"/>
      <c r="K145" s="232"/>
      <c r="L145" s="232"/>
      <c r="M145" s="660"/>
      <c r="N145" s="355"/>
      <c r="O145" s="355"/>
      <c r="P145" s="355"/>
      <c r="Q145" s="355"/>
      <c r="R145" s="600"/>
      <c r="S145" s="600"/>
      <c r="T145" s="600"/>
      <c r="U145" s="600"/>
      <c r="V145" s="600"/>
      <c r="W145" s="600"/>
      <c r="X145" s="600"/>
      <c r="Y145" s="600"/>
      <c r="Z145" s="600"/>
      <c r="AA145" s="482"/>
      <c r="AB145" s="482"/>
      <c r="AC145" s="482"/>
      <c r="AD145" s="600">
        <v>134</v>
      </c>
      <c r="AE145" s="482"/>
      <c r="AF145" s="600"/>
      <c r="AG145" s="600"/>
      <c r="AH145" s="600"/>
      <c r="AI145" s="600"/>
      <c r="AJ145" s="600"/>
      <c r="AK145" s="600"/>
      <c r="AL145" s="600"/>
      <c r="AM145" s="600"/>
      <c r="AN145" s="600"/>
      <c r="AO145" s="600"/>
      <c r="AP145" s="600"/>
      <c r="AQ145" s="600"/>
      <c r="AR145" s="600"/>
      <c r="AS145" s="600"/>
      <c r="AT145" s="600"/>
      <c r="AU145" s="600"/>
      <c r="AV145" s="600"/>
      <c r="AW145" s="482"/>
      <c r="AX145" s="482"/>
      <c r="AY145" s="482"/>
      <c r="AZ145" s="482"/>
      <c r="BA145" s="343"/>
      <c r="BB145" s="343"/>
      <c r="BC145" s="343"/>
      <c r="BD145" s="343"/>
      <c r="BE145" s="343"/>
      <c r="BF145" s="343"/>
      <c r="BG145" s="343"/>
      <c r="BH145" s="343"/>
      <c r="BI145" s="343"/>
      <c r="BJ145" s="343"/>
      <c r="BK145" s="343"/>
      <c r="BL145" s="343"/>
      <c r="BM145" s="343"/>
      <c r="BN145" s="343"/>
      <c r="BO145" s="343"/>
      <c r="BP145" s="343"/>
      <c r="BQ145" s="343"/>
      <c r="BR145" s="343"/>
      <c r="BS145" s="343"/>
      <c r="BT145" s="343"/>
      <c r="BU145" s="343"/>
      <c r="BV145" s="343"/>
      <c r="BW145" s="343"/>
      <c r="BX145" s="343"/>
    </row>
    <row r="146" spans="1:76" s="25" customFormat="1">
      <c r="A146" s="343"/>
      <c r="B146" s="343"/>
      <c r="C146" s="115"/>
      <c r="D146" s="123"/>
      <c r="E146" s="232"/>
      <c r="F146" s="232"/>
      <c r="G146" s="115"/>
      <c r="H146" s="115"/>
      <c r="I146" s="115"/>
      <c r="J146" s="115"/>
      <c r="K146" s="232"/>
      <c r="L146" s="232"/>
      <c r="M146" s="660"/>
      <c r="N146" s="355"/>
      <c r="O146" s="355"/>
      <c r="P146" s="355"/>
      <c r="Q146" s="355"/>
      <c r="R146" s="600"/>
      <c r="S146" s="600"/>
      <c r="T146" s="600"/>
      <c r="U146" s="600"/>
      <c r="V146" s="600"/>
      <c r="W146" s="600"/>
      <c r="X146" s="600"/>
      <c r="Y146" s="600"/>
      <c r="Z146" s="600"/>
      <c r="AA146" s="482"/>
      <c r="AB146" s="482"/>
      <c r="AC146" s="482"/>
      <c r="AD146" s="600">
        <v>135</v>
      </c>
      <c r="AE146" s="482"/>
      <c r="AF146" s="600"/>
      <c r="AG146" s="600"/>
      <c r="AH146" s="600"/>
      <c r="AI146" s="600"/>
      <c r="AJ146" s="600"/>
      <c r="AK146" s="600"/>
      <c r="AL146" s="600"/>
      <c r="AM146" s="600"/>
      <c r="AN146" s="600"/>
      <c r="AO146" s="600"/>
      <c r="AP146" s="600"/>
      <c r="AQ146" s="600"/>
      <c r="AR146" s="600"/>
      <c r="AS146" s="600"/>
      <c r="AT146" s="600"/>
      <c r="AU146" s="600"/>
      <c r="AV146" s="600"/>
      <c r="AW146" s="482"/>
      <c r="AX146" s="482"/>
      <c r="AY146" s="482"/>
      <c r="AZ146" s="482"/>
      <c r="BA146" s="343"/>
      <c r="BB146" s="343"/>
      <c r="BC146" s="343"/>
      <c r="BD146" s="343"/>
      <c r="BE146" s="343"/>
      <c r="BF146" s="343"/>
      <c r="BG146" s="343"/>
      <c r="BH146" s="343"/>
      <c r="BI146" s="343"/>
      <c r="BJ146" s="343"/>
      <c r="BK146" s="343"/>
      <c r="BL146" s="343"/>
      <c r="BM146" s="343"/>
      <c r="BN146" s="343"/>
      <c r="BO146" s="343"/>
      <c r="BP146" s="343"/>
      <c r="BQ146" s="343"/>
      <c r="BR146" s="343"/>
      <c r="BS146" s="343"/>
      <c r="BT146" s="343"/>
      <c r="BU146" s="343"/>
      <c r="BV146" s="343"/>
      <c r="BW146" s="343"/>
      <c r="BX146" s="343"/>
    </row>
    <row r="147" spans="1:76" s="25" customFormat="1">
      <c r="A147" s="343"/>
      <c r="B147" s="343"/>
      <c r="C147" s="115"/>
      <c r="D147" s="123"/>
      <c r="E147" s="232"/>
      <c r="F147" s="232"/>
      <c r="G147" s="115"/>
      <c r="H147" s="115"/>
      <c r="I147" s="115"/>
      <c r="J147" s="115"/>
      <c r="K147" s="232"/>
      <c r="L147" s="232"/>
      <c r="M147" s="660"/>
      <c r="N147" s="355"/>
      <c r="O147" s="355"/>
      <c r="P147" s="355"/>
      <c r="Q147" s="355"/>
      <c r="R147" s="600"/>
      <c r="S147" s="600"/>
      <c r="T147" s="600"/>
      <c r="U147" s="600"/>
      <c r="V147" s="600"/>
      <c r="W147" s="600"/>
      <c r="X147" s="600"/>
      <c r="Y147" s="600"/>
      <c r="Z147" s="600"/>
      <c r="AA147" s="482"/>
      <c r="AB147" s="482"/>
      <c r="AC147" s="482"/>
      <c r="AD147" s="600">
        <v>136</v>
      </c>
      <c r="AE147" s="482"/>
      <c r="AF147" s="600"/>
      <c r="AG147" s="600"/>
      <c r="AH147" s="600"/>
      <c r="AI147" s="600"/>
      <c r="AJ147" s="600"/>
      <c r="AK147" s="600"/>
      <c r="AL147" s="600"/>
      <c r="AM147" s="600"/>
      <c r="AN147" s="600"/>
      <c r="AO147" s="600"/>
      <c r="AP147" s="600"/>
      <c r="AQ147" s="600"/>
      <c r="AR147" s="600"/>
      <c r="AS147" s="600"/>
      <c r="AT147" s="600"/>
      <c r="AU147" s="600"/>
      <c r="AV147" s="600"/>
      <c r="AW147" s="482"/>
      <c r="AX147" s="482"/>
      <c r="AY147" s="482"/>
      <c r="AZ147" s="482"/>
      <c r="BA147" s="343"/>
      <c r="BB147" s="343"/>
      <c r="BC147" s="343"/>
      <c r="BD147" s="343"/>
      <c r="BE147" s="343"/>
      <c r="BF147" s="343"/>
      <c r="BG147" s="343"/>
      <c r="BH147" s="343"/>
      <c r="BI147" s="343"/>
      <c r="BJ147" s="343"/>
      <c r="BK147" s="343"/>
      <c r="BL147" s="343"/>
      <c r="BM147" s="343"/>
      <c r="BN147" s="343"/>
      <c r="BO147" s="343"/>
      <c r="BP147" s="343"/>
      <c r="BQ147" s="343"/>
      <c r="BR147" s="343"/>
      <c r="BS147" s="343"/>
      <c r="BT147" s="343"/>
      <c r="BU147" s="343"/>
      <c r="BV147" s="343"/>
      <c r="BW147" s="343"/>
      <c r="BX147" s="343"/>
    </row>
    <row r="148" spans="1:76" s="25" customFormat="1">
      <c r="A148" s="343"/>
      <c r="B148" s="343"/>
      <c r="C148" s="115"/>
      <c r="D148" s="123"/>
      <c r="E148" s="232"/>
      <c r="F148" s="232"/>
      <c r="G148" s="115"/>
      <c r="H148" s="115"/>
      <c r="I148" s="115"/>
      <c r="J148" s="115"/>
      <c r="K148" s="232"/>
      <c r="L148" s="232"/>
      <c r="M148" s="660"/>
      <c r="N148" s="355"/>
      <c r="O148" s="355"/>
      <c r="P148" s="355"/>
      <c r="Q148" s="355"/>
      <c r="R148" s="600"/>
      <c r="S148" s="600"/>
      <c r="T148" s="600"/>
      <c r="U148" s="600"/>
      <c r="V148" s="600"/>
      <c r="W148" s="600"/>
      <c r="X148" s="600"/>
      <c r="Y148" s="600"/>
      <c r="Z148" s="600"/>
      <c r="AA148" s="482"/>
      <c r="AB148" s="482"/>
      <c r="AC148" s="482"/>
      <c r="AD148" s="600">
        <v>137</v>
      </c>
      <c r="AE148" s="482"/>
      <c r="AF148" s="600"/>
      <c r="AG148" s="600"/>
      <c r="AH148" s="600"/>
      <c r="AI148" s="600"/>
      <c r="AJ148" s="600"/>
      <c r="AK148" s="600"/>
      <c r="AL148" s="600"/>
      <c r="AM148" s="600"/>
      <c r="AN148" s="600"/>
      <c r="AO148" s="600"/>
      <c r="AP148" s="600"/>
      <c r="AQ148" s="600"/>
      <c r="AR148" s="600"/>
      <c r="AS148" s="600"/>
      <c r="AT148" s="600"/>
      <c r="AU148" s="600"/>
      <c r="AV148" s="600"/>
      <c r="AW148" s="482"/>
      <c r="AX148" s="482"/>
      <c r="AY148" s="482"/>
      <c r="AZ148" s="482"/>
      <c r="BA148" s="343"/>
      <c r="BB148" s="343"/>
      <c r="BC148" s="343"/>
      <c r="BD148" s="343"/>
      <c r="BE148" s="343"/>
      <c r="BF148" s="343"/>
      <c r="BG148" s="343"/>
      <c r="BH148" s="343"/>
      <c r="BI148" s="343"/>
      <c r="BJ148" s="343"/>
      <c r="BK148" s="343"/>
      <c r="BL148" s="343"/>
      <c r="BM148" s="343"/>
      <c r="BN148" s="343"/>
      <c r="BO148" s="343"/>
      <c r="BP148" s="343"/>
      <c r="BQ148" s="343"/>
      <c r="BR148" s="343"/>
      <c r="BS148" s="343"/>
      <c r="BT148" s="343"/>
      <c r="BU148" s="343"/>
      <c r="BV148" s="343"/>
      <c r="BW148" s="343"/>
      <c r="BX148" s="343"/>
    </row>
    <row r="149" spans="1:76" s="25" customFormat="1">
      <c r="A149" s="343"/>
      <c r="B149" s="343"/>
      <c r="C149" s="115"/>
      <c r="D149" s="123"/>
      <c r="E149" s="232"/>
      <c r="F149" s="232"/>
      <c r="G149" s="115"/>
      <c r="H149" s="115"/>
      <c r="I149" s="115"/>
      <c r="J149" s="115"/>
      <c r="K149" s="232"/>
      <c r="L149" s="232"/>
      <c r="M149" s="660"/>
      <c r="N149" s="355"/>
      <c r="O149" s="355"/>
      <c r="P149" s="355"/>
      <c r="Q149" s="355"/>
      <c r="R149" s="600"/>
      <c r="S149" s="600"/>
      <c r="T149" s="600"/>
      <c r="U149" s="600"/>
      <c r="V149" s="600"/>
      <c r="W149" s="600"/>
      <c r="X149" s="600"/>
      <c r="Y149" s="600"/>
      <c r="Z149" s="600"/>
      <c r="AA149" s="482"/>
      <c r="AB149" s="482"/>
      <c r="AC149" s="482"/>
      <c r="AD149" s="600">
        <v>138</v>
      </c>
      <c r="AE149" s="482"/>
      <c r="AF149" s="600"/>
      <c r="AG149" s="600"/>
      <c r="AH149" s="600"/>
      <c r="AI149" s="600"/>
      <c r="AJ149" s="600"/>
      <c r="AK149" s="600"/>
      <c r="AL149" s="600"/>
      <c r="AM149" s="600"/>
      <c r="AN149" s="600"/>
      <c r="AO149" s="600"/>
      <c r="AP149" s="600"/>
      <c r="AQ149" s="600"/>
      <c r="AR149" s="600"/>
      <c r="AS149" s="600"/>
      <c r="AT149" s="600"/>
      <c r="AU149" s="600"/>
      <c r="AV149" s="600"/>
      <c r="AW149" s="482"/>
      <c r="AX149" s="482"/>
      <c r="AY149" s="482"/>
      <c r="AZ149" s="482"/>
      <c r="BA149" s="343"/>
      <c r="BB149" s="343"/>
      <c r="BC149" s="343"/>
      <c r="BD149" s="343"/>
      <c r="BE149" s="343"/>
      <c r="BF149" s="343"/>
      <c r="BG149" s="343"/>
      <c r="BH149" s="343"/>
      <c r="BI149" s="343"/>
      <c r="BJ149" s="343"/>
      <c r="BK149" s="343"/>
      <c r="BL149" s="343"/>
      <c r="BM149" s="343"/>
      <c r="BN149" s="343"/>
      <c r="BO149" s="343"/>
      <c r="BP149" s="343"/>
      <c r="BQ149" s="343"/>
      <c r="BR149" s="343"/>
      <c r="BS149" s="343"/>
      <c r="BT149" s="343"/>
      <c r="BU149" s="343"/>
      <c r="BV149" s="343"/>
      <c r="BW149" s="343"/>
      <c r="BX149" s="343"/>
    </row>
    <row r="150" spans="1:76" s="25" customFormat="1">
      <c r="A150" s="343"/>
      <c r="B150" s="343"/>
      <c r="C150" s="115"/>
      <c r="D150" s="123"/>
      <c r="E150" s="232"/>
      <c r="F150" s="232"/>
      <c r="G150" s="115"/>
      <c r="H150" s="115"/>
      <c r="I150" s="115"/>
      <c r="J150" s="115"/>
      <c r="K150" s="232"/>
      <c r="L150" s="232"/>
      <c r="M150" s="660"/>
      <c r="N150" s="355"/>
      <c r="O150" s="355"/>
      <c r="P150" s="355"/>
      <c r="Q150" s="355"/>
      <c r="R150" s="600"/>
      <c r="S150" s="600"/>
      <c r="T150" s="600"/>
      <c r="U150" s="600"/>
      <c r="V150" s="600"/>
      <c r="W150" s="600"/>
      <c r="X150" s="600"/>
      <c r="Y150" s="600"/>
      <c r="Z150" s="600"/>
      <c r="AA150" s="482"/>
      <c r="AB150" s="482"/>
      <c r="AC150" s="482"/>
      <c r="AD150" s="600">
        <v>139</v>
      </c>
      <c r="AE150" s="482"/>
      <c r="AF150" s="600"/>
      <c r="AG150" s="600"/>
      <c r="AH150" s="600"/>
      <c r="AI150" s="600"/>
      <c r="AJ150" s="600"/>
      <c r="AK150" s="600"/>
      <c r="AL150" s="600"/>
      <c r="AM150" s="600"/>
      <c r="AN150" s="600"/>
      <c r="AO150" s="600"/>
      <c r="AP150" s="600"/>
      <c r="AQ150" s="600"/>
      <c r="AR150" s="600"/>
      <c r="AS150" s="600"/>
      <c r="AT150" s="600"/>
      <c r="AU150" s="600"/>
      <c r="AV150" s="600"/>
      <c r="AW150" s="482"/>
      <c r="AX150" s="482"/>
      <c r="AY150" s="482"/>
      <c r="AZ150" s="482"/>
      <c r="BA150" s="343"/>
      <c r="BB150" s="343"/>
      <c r="BC150" s="343"/>
      <c r="BD150" s="343"/>
      <c r="BE150" s="343"/>
      <c r="BF150" s="343"/>
      <c r="BG150" s="343"/>
      <c r="BH150" s="343"/>
      <c r="BI150" s="343"/>
      <c r="BJ150" s="343"/>
      <c r="BK150" s="343"/>
      <c r="BL150" s="343"/>
      <c r="BM150" s="343"/>
      <c r="BN150" s="343"/>
      <c r="BO150" s="343"/>
      <c r="BP150" s="343"/>
      <c r="BQ150" s="343"/>
      <c r="BR150" s="343"/>
      <c r="BS150" s="343"/>
      <c r="BT150" s="343"/>
      <c r="BU150" s="343"/>
      <c r="BV150" s="343"/>
      <c r="BW150" s="343"/>
      <c r="BX150" s="343"/>
    </row>
    <row r="151" spans="1:76" s="25" customFormat="1">
      <c r="A151" s="343"/>
      <c r="B151" s="343"/>
      <c r="C151" s="115"/>
      <c r="D151" s="123"/>
      <c r="E151" s="232"/>
      <c r="F151" s="232"/>
      <c r="G151" s="115"/>
      <c r="H151" s="115"/>
      <c r="I151" s="115"/>
      <c r="J151" s="115"/>
      <c r="K151" s="232"/>
      <c r="L151" s="232"/>
      <c r="M151" s="660"/>
      <c r="N151" s="355"/>
      <c r="O151" s="355"/>
      <c r="P151" s="355"/>
      <c r="Q151" s="355"/>
      <c r="R151" s="600"/>
      <c r="S151" s="600"/>
      <c r="T151" s="600"/>
      <c r="U151" s="600"/>
      <c r="V151" s="600"/>
      <c r="W151" s="600"/>
      <c r="X151" s="600"/>
      <c r="Y151" s="600"/>
      <c r="Z151" s="600"/>
      <c r="AA151" s="482"/>
      <c r="AB151" s="482"/>
      <c r="AC151" s="482"/>
      <c r="AD151" s="600">
        <v>140</v>
      </c>
      <c r="AE151" s="482"/>
      <c r="AF151" s="600"/>
      <c r="AG151" s="600"/>
      <c r="AH151" s="600"/>
      <c r="AI151" s="600"/>
      <c r="AJ151" s="600"/>
      <c r="AK151" s="600"/>
      <c r="AL151" s="600"/>
      <c r="AM151" s="600"/>
      <c r="AN151" s="600"/>
      <c r="AO151" s="600"/>
      <c r="AP151" s="600"/>
      <c r="AQ151" s="600"/>
      <c r="AR151" s="600"/>
      <c r="AS151" s="600"/>
      <c r="AT151" s="600"/>
      <c r="AU151" s="600"/>
      <c r="AV151" s="600"/>
      <c r="AW151" s="482"/>
      <c r="AX151" s="482"/>
      <c r="AY151" s="482"/>
      <c r="AZ151" s="482"/>
      <c r="BA151" s="343"/>
      <c r="BB151" s="343"/>
      <c r="BC151" s="343"/>
      <c r="BD151" s="343"/>
      <c r="BE151" s="343"/>
      <c r="BF151" s="343"/>
      <c r="BG151" s="343"/>
      <c r="BH151" s="343"/>
      <c r="BI151" s="343"/>
      <c r="BJ151" s="343"/>
      <c r="BK151" s="343"/>
      <c r="BL151" s="343"/>
      <c r="BM151" s="343"/>
      <c r="BN151" s="343"/>
      <c r="BO151" s="343"/>
      <c r="BP151" s="343"/>
      <c r="BQ151" s="343"/>
      <c r="BR151" s="343"/>
      <c r="BS151" s="343"/>
      <c r="BT151" s="343"/>
      <c r="BU151" s="343"/>
      <c r="BV151" s="343"/>
      <c r="BW151" s="343"/>
      <c r="BX151" s="343"/>
    </row>
    <row r="152" spans="1:76" s="25" customFormat="1">
      <c r="A152" s="343"/>
      <c r="B152" s="343"/>
      <c r="C152" s="115"/>
      <c r="D152" s="123"/>
      <c r="E152" s="232"/>
      <c r="F152" s="232"/>
      <c r="G152" s="115"/>
      <c r="H152" s="115"/>
      <c r="I152" s="115"/>
      <c r="J152" s="115"/>
      <c r="K152" s="232"/>
      <c r="L152" s="232"/>
      <c r="M152" s="660"/>
      <c r="N152" s="355"/>
      <c r="O152" s="355"/>
      <c r="P152" s="355"/>
      <c r="Q152" s="355"/>
      <c r="R152" s="600"/>
      <c r="S152" s="600"/>
      <c r="T152" s="600"/>
      <c r="U152" s="600"/>
      <c r="V152" s="600"/>
      <c r="W152" s="600"/>
      <c r="X152" s="600"/>
      <c r="Y152" s="600"/>
      <c r="Z152" s="600"/>
      <c r="AA152" s="482"/>
      <c r="AB152" s="482"/>
      <c r="AC152" s="482"/>
      <c r="AD152" s="600">
        <v>141</v>
      </c>
      <c r="AE152" s="482"/>
      <c r="AF152" s="600"/>
      <c r="AG152" s="600"/>
      <c r="AH152" s="600"/>
      <c r="AI152" s="600"/>
      <c r="AJ152" s="600"/>
      <c r="AK152" s="600"/>
      <c r="AL152" s="600"/>
      <c r="AM152" s="600"/>
      <c r="AN152" s="600"/>
      <c r="AO152" s="600"/>
      <c r="AP152" s="600"/>
      <c r="AQ152" s="600"/>
      <c r="AR152" s="600"/>
      <c r="AS152" s="600"/>
      <c r="AT152" s="600"/>
      <c r="AU152" s="600"/>
      <c r="AV152" s="600"/>
      <c r="AW152" s="482"/>
      <c r="AX152" s="482"/>
      <c r="AY152" s="482"/>
      <c r="AZ152" s="482"/>
      <c r="BA152" s="343"/>
      <c r="BB152" s="343"/>
      <c r="BC152" s="343"/>
      <c r="BD152" s="343"/>
      <c r="BE152" s="343"/>
      <c r="BF152" s="343"/>
      <c r="BG152" s="343"/>
      <c r="BH152" s="343"/>
      <c r="BI152" s="343"/>
      <c r="BJ152" s="343"/>
      <c r="BK152" s="343"/>
      <c r="BL152" s="343"/>
      <c r="BM152" s="343"/>
      <c r="BN152" s="343"/>
      <c r="BO152" s="343"/>
      <c r="BP152" s="343"/>
      <c r="BQ152" s="343"/>
      <c r="BR152" s="343"/>
      <c r="BS152" s="343"/>
      <c r="BT152" s="343"/>
      <c r="BU152" s="343"/>
      <c r="BV152" s="343"/>
      <c r="BW152" s="343"/>
      <c r="BX152" s="343"/>
    </row>
    <row r="153" spans="1:76" s="25" customFormat="1">
      <c r="A153" s="343"/>
      <c r="B153" s="343"/>
      <c r="C153" s="115"/>
      <c r="D153" s="123"/>
      <c r="E153" s="232"/>
      <c r="F153" s="232"/>
      <c r="G153" s="115"/>
      <c r="H153" s="115"/>
      <c r="I153" s="115"/>
      <c r="J153" s="115"/>
      <c r="K153" s="232"/>
      <c r="L153" s="232"/>
      <c r="M153" s="660"/>
      <c r="N153" s="355"/>
      <c r="O153" s="355"/>
      <c r="P153" s="355"/>
      <c r="Q153" s="355"/>
      <c r="R153" s="600"/>
      <c r="S153" s="600"/>
      <c r="T153" s="600"/>
      <c r="U153" s="600"/>
      <c r="V153" s="600"/>
      <c r="W153" s="600"/>
      <c r="X153" s="600"/>
      <c r="Y153" s="600"/>
      <c r="Z153" s="600"/>
      <c r="AA153" s="482"/>
      <c r="AB153" s="482"/>
      <c r="AC153" s="482"/>
      <c r="AD153" s="600">
        <v>142</v>
      </c>
      <c r="AE153" s="482"/>
      <c r="AF153" s="600"/>
      <c r="AG153" s="600"/>
      <c r="AH153" s="600"/>
      <c r="AI153" s="600"/>
      <c r="AJ153" s="600"/>
      <c r="AK153" s="600"/>
      <c r="AL153" s="600"/>
      <c r="AM153" s="600"/>
      <c r="AN153" s="600"/>
      <c r="AO153" s="600"/>
      <c r="AP153" s="600"/>
      <c r="AQ153" s="600"/>
      <c r="AR153" s="600"/>
      <c r="AS153" s="600"/>
      <c r="AT153" s="600"/>
      <c r="AU153" s="600"/>
      <c r="AV153" s="600"/>
      <c r="AW153" s="482"/>
      <c r="AX153" s="482"/>
      <c r="AY153" s="482"/>
      <c r="AZ153" s="482"/>
      <c r="BA153" s="343"/>
      <c r="BB153" s="343"/>
      <c r="BC153" s="343"/>
      <c r="BD153" s="343"/>
      <c r="BE153" s="343"/>
      <c r="BF153" s="343"/>
      <c r="BG153" s="343"/>
      <c r="BH153" s="343"/>
      <c r="BI153" s="343"/>
      <c r="BJ153" s="343"/>
      <c r="BK153" s="343"/>
      <c r="BL153" s="343"/>
      <c r="BM153" s="343"/>
      <c r="BN153" s="343"/>
      <c r="BO153" s="343"/>
      <c r="BP153" s="343"/>
      <c r="BQ153" s="343"/>
      <c r="BR153" s="343"/>
      <c r="BS153" s="343"/>
      <c r="BT153" s="343"/>
      <c r="BU153" s="343"/>
      <c r="BV153" s="343"/>
      <c r="BW153" s="343"/>
      <c r="BX153" s="343"/>
    </row>
    <row r="154" spans="1:76" s="25" customFormat="1">
      <c r="A154" s="343"/>
      <c r="B154" s="343"/>
      <c r="C154" s="115"/>
      <c r="D154" s="123"/>
      <c r="E154" s="232"/>
      <c r="F154" s="232"/>
      <c r="G154" s="115"/>
      <c r="H154" s="115"/>
      <c r="I154" s="115"/>
      <c r="J154" s="115"/>
      <c r="K154" s="232"/>
      <c r="L154" s="232"/>
      <c r="M154" s="660"/>
      <c r="N154" s="355"/>
      <c r="O154" s="355"/>
      <c r="P154" s="355"/>
      <c r="Q154" s="355"/>
      <c r="R154" s="600"/>
      <c r="S154" s="600"/>
      <c r="T154" s="600"/>
      <c r="U154" s="600"/>
      <c r="V154" s="600"/>
      <c r="W154" s="600"/>
      <c r="X154" s="600"/>
      <c r="Y154" s="600"/>
      <c r="Z154" s="600"/>
      <c r="AA154" s="482"/>
      <c r="AB154" s="482"/>
      <c r="AC154" s="482"/>
      <c r="AD154" s="600">
        <v>143</v>
      </c>
      <c r="AE154" s="482"/>
      <c r="AF154" s="600"/>
      <c r="AG154" s="600"/>
      <c r="AH154" s="600"/>
      <c r="AI154" s="600"/>
      <c r="AJ154" s="600"/>
      <c r="AK154" s="600"/>
      <c r="AL154" s="600"/>
      <c r="AM154" s="600"/>
      <c r="AN154" s="600"/>
      <c r="AO154" s="600"/>
      <c r="AP154" s="600"/>
      <c r="AQ154" s="600"/>
      <c r="AR154" s="600"/>
      <c r="AS154" s="600"/>
      <c r="AT154" s="600"/>
      <c r="AU154" s="600"/>
      <c r="AV154" s="600"/>
      <c r="AW154" s="482"/>
      <c r="AX154" s="482"/>
      <c r="AY154" s="482"/>
      <c r="AZ154" s="482"/>
      <c r="BA154" s="343"/>
      <c r="BB154" s="343"/>
      <c r="BC154" s="343"/>
      <c r="BD154" s="343"/>
      <c r="BE154" s="343"/>
      <c r="BF154" s="343"/>
      <c r="BG154" s="343"/>
      <c r="BH154" s="343"/>
      <c r="BI154" s="343"/>
      <c r="BJ154" s="343"/>
      <c r="BK154" s="343"/>
      <c r="BL154" s="343"/>
      <c r="BM154" s="343"/>
      <c r="BN154" s="343"/>
      <c r="BO154" s="343"/>
      <c r="BP154" s="343"/>
      <c r="BQ154" s="343"/>
      <c r="BR154" s="343"/>
      <c r="BS154" s="343"/>
      <c r="BT154" s="343"/>
      <c r="BU154" s="343"/>
      <c r="BV154" s="343"/>
      <c r="BW154" s="343"/>
      <c r="BX154" s="343"/>
    </row>
    <row r="155" spans="1:76" s="25" customFormat="1">
      <c r="A155" s="343"/>
      <c r="B155" s="343"/>
      <c r="C155" s="115"/>
      <c r="D155" s="123"/>
      <c r="E155" s="232"/>
      <c r="F155" s="232"/>
      <c r="G155" s="115"/>
      <c r="H155" s="115"/>
      <c r="I155" s="115"/>
      <c r="J155" s="115"/>
      <c r="K155" s="232"/>
      <c r="L155" s="232"/>
      <c r="M155" s="660"/>
      <c r="N155" s="355"/>
      <c r="O155" s="355"/>
      <c r="P155" s="355"/>
      <c r="Q155" s="355"/>
      <c r="R155" s="600"/>
      <c r="S155" s="600"/>
      <c r="T155" s="600"/>
      <c r="U155" s="600"/>
      <c r="V155" s="600"/>
      <c r="W155" s="600"/>
      <c r="X155" s="600"/>
      <c r="Y155" s="600"/>
      <c r="Z155" s="600"/>
      <c r="AA155" s="482"/>
      <c r="AB155" s="482"/>
      <c r="AC155" s="482"/>
      <c r="AD155" s="600">
        <v>144</v>
      </c>
      <c r="AE155" s="482"/>
      <c r="AF155" s="600"/>
      <c r="AG155" s="600"/>
      <c r="AH155" s="600"/>
      <c r="AI155" s="600"/>
      <c r="AJ155" s="600"/>
      <c r="AK155" s="600"/>
      <c r="AL155" s="600"/>
      <c r="AM155" s="600"/>
      <c r="AN155" s="600"/>
      <c r="AO155" s="600"/>
      <c r="AP155" s="600"/>
      <c r="AQ155" s="600"/>
      <c r="AR155" s="600"/>
      <c r="AS155" s="600"/>
      <c r="AT155" s="600"/>
      <c r="AU155" s="600"/>
      <c r="AV155" s="600"/>
      <c r="AW155" s="482"/>
      <c r="AX155" s="482"/>
      <c r="AY155" s="482"/>
      <c r="AZ155" s="482"/>
      <c r="BA155" s="343"/>
      <c r="BB155" s="343"/>
      <c r="BC155" s="343"/>
      <c r="BD155" s="343"/>
      <c r="BE155" s="343"/>
      <c r="BF155" s="343"/>
      <c r="BG155" s="343"/>
      <c r="BH155" s="343"/>
      <c r="BI155" s="343"/>
      <c r="BJ155" s="343"/>
      <c r="BK155" s="343"/>
      <c r="BL155" s="343"/>
      <c r="BM155" s="343"/>
      <c r="BN155" s="343"/>
      <c r="BO155" s="343"/>
      <c r="BP155" s="343"/>
      <c r="BQ155" s="343"/>
      <c r="BR155" s="343"/>
      <c r="BS155" s="343"/>
      <c r="BT155" s="343"/>
      <c r="BU155" s="343"/>
      <c r="BV155" s="343"/>
      <c r="BW155" s="343"/>
      <c r="BX155" s="343"/>
    </row>
    <row r="156" spans="1:76" s="25" customFormat="1">
      <c r="A156" s="343"/>
      <c r="B156" s="343"/>
      <c r="C156" s="115"/>
      <c r="D156" s="123"/>
      <c r="E156" s="232"/>
      <c r="F156" s="232"/>
      <c r="G156" s="115"/>
      <c r="H156" s="115"/>
      <c r="I156" s="115"/>
      <c r="J156" s="115"/>
      <c r="K156" s="232"/>
      <c r="L156" s="232"/>
      <c r="M156" s="660"/>
      <c r="N156" s="355"/>
      <c r="O156" s="355"/>
      <c r="P156" s="355"/>
      <c r="Q156" s="355"/>
      <c r="R156" s="600"/>
      <c r="S156" s="600"/>
      <c r="T156" s="600"/>
      <c r="U156" s="600"/>
      <c r="V156" s="600"/>
      <c r="W156" s="600"/>
      <c r="X156" s="600"/>
      <c r="Y156" s="600"/>
      <c r="Z156" s="600"/>
      <c r="AA156" s="482"/>
      <c r="AB156" s="482"/>
      <c r="AC156" s="482"/>
      <c r="AD156" s="600">
        <v>145</v>
      </c>
      <c r="AE156" s="482"/>
      <c r="AF156" s="600"/>
      <c r="AG156" s="600"/>
      <c r="AH156" s="600"/>
      <c r="AI156" s="600"/>
      <c r="AJ156" s="600"/>
      <c r="AK156" s="600"/>
      <c r="AL156" s="600"/>
      <c r="AM156" s="600"/>
      <c r="AN156" s="600"/>
      <c r="AO156" s="600"/>
      <c r="AP156" s="600"/>
      <c r="AQ156" s="600"/>
      <c r="AR156" s="600"/>
      <c r="AS156" s="600"/>
      <c r="AT156" s="600"/>
      <c r="AU156" s="600"/>
      <c r="AV156" s="600"/>
      <c r="AW156" s="482"/>
      <c r="AX156" s="482"/>
      <c r="AY156" s="482"/>
      <c r="AZ156" s="482"/>
      <c r="BA156" s="343"/>
      <c r="BB156" s="343"/>
      <c r="BC156" s="343"/>
      <c r="BD156" s="343"/>
      <c r="BE156" s="343"/>
      <c r="BF156" s="343"/>
      <c r="BG156" s="343"/>
      <c r="BH156" s="343"/>
      <c r="BI156" s="343"/>
      <c r="BJ156" s="343"/>
      <c r="BK156" s="343"/>
      <c r="BL156" s="343"/>
      <c r="BM156" s="343"/>
      <c r="BN156" s="343"/>
      <c r="BO156" s="343"/>
      <c r="BP156" s="343"/>
      <c r="BQ156" s="343"/>
      <c r="BR156" s="343"/>
      <c r="BS156" s="343"/>
      <c r="BT156" s="343"/>
      <c r="BU156" s="343"/>
      <c r="BV156" s="343"/>
      <c r="BW156" s="343"/>
      <c r="BX156" s="343"/>
    </row>
    <row r="157" spans="1:76" s="25" customFormat="1">
      <c r="A157" s="343"/>
      <c r="B157" s="343"/>
      <c r="C157" s="115"/>
      <c r="D157" s="123"/>
      <c r="E157" s="232"/>
      <c r="F157" s="232"/>
      <c r="G157" s="115"/>
      <c r="H157" s="115"/>
      <c r="I157" s="115"/>
      <c r="J157" s="115"/>
      <c r="K157" s="232"/>
      <c r="L157" s="232"/>
      <c r="M157" s="660"/>
      <c r="N157" s="355"/>
      <c r="O157" s="355"/>
      <c r="P157" s="355"/>
      <c r="Q157" s="355"/>
      <c r="R157" s="600"/>
      <c r="S157" s="600"/>
      <c r="T157" s="600"/>
      <c r="U157" s="600"/>
      <c r="V157" s="600"/>
      <c r="W157" s="600"/>
      <c r="X157" s="600"/>
      <c r="Y157" s="600"/>
      <c r="Z157" s="600"/>
      <c r="AA157" s="482"/>
      <c r="AB157" s="482"/>
      <c r="AC157" s="482"/>
      <c r="AD157" s="600">
        <v>146</v>
      </c>
      <c r="AE157" s="482"/>
      <c r="AF157" s="600"/>
      <c r="AG157" s="600"/>
      <c r="AH157" s="600"/>
      <c r="AI157" s="600"/>
      <c r="AJ157" s="600"/>
      <c r="AK157" s="600"/>
      <c r="AL157" s="600"/>
      <c r="AM157" s="600"/>
      <c r="AN157" s="600"/>
      <c r="AO157" s="600"/>
      <c r="AP157" s="600"/>
      <c r="AQ157" s="600"/>
      <c r="AR157" s="600"/>
      <c r="AS157" s="600"/>
      <c r="AT157" s="600"/>
      <c r="AU157" s="600"/>
      <c r="AV157" s="600"/>
      <c r="AW157" s="482"/>
      <c r="AX157" s="482"/>
      <c r="AY157" s="482"/>
      <c r="AZ157" s="482"/>
      <c r="BA157" s="343"/>
      <c r="BB157" s="343"/>
      <c r="BC157" s="343"/>
      <c r="BD157" s="343"/>
      <c r="BE157" s="343"/>
      <c r="BF157" s="343"/>
      <c r="BG157" s="343"/>
      <c r="BH157" s="343"/>
      <c r="BI157" s="343"/>
      <c r="BJ157" s="343"/>
      <c r="BK157" s="343"/>
      <c r="BL157" s="343"/>
      <c r="BM157" s="343"/>
      <c r="BN157" s="343"/>
      <c r="BO157" s="343"/>
      <c r="BP157" s="343"/>
      <c r="BQ157" s="343"/>
      <c r="BR157" s="343"/>
      <c r="BS157" s="343"/>
      <c r="BT157" s="343"/>
      <c r="BU157" s="343"/>
      <c r="BV157" s="343"/>
      <c r="BW157" s="343"/>
      <c r="BX157" s="343"/>
    </row>
    <row r="158" spans="1:76" s="25" customFormat="1">
      <c r="A158" s="343"/>
      <c r="B158" s="343"/>
      <c r="C158" s="115"/>
      <c r="D158" s="123"/>
      <c r="E158" s="232"/>
      <c r="F158" s="232"/>
      <c r="G158" s="115"/>
      <c r="H158" s="115"/>
      <c r="I158" s="115"/>
      <c r="J158" s="115"/>
      <c r="K158" s="232"/>
      <c r="L158" s="232"/>
      <c r="M158" s="660"/>
      <c r="N158" s="355"/>
      <c r="O158" s="355"/>
      <c r="P158" s="355"/>
      <c r="Q158" s="355"/>
      <c r="R158" s="600"/>
      <c r="S158" s="600"/>
      <c r="T158" s="600"/>
      <c r="U158" s="600"/>
      <c r="V158" s="600"/>
      <c r="W158" s="600"/>
      <c r="X158" s="600"/>
      <c r="Y158" s="600"/>
      <c r="Z158" s="600"/>
      <c r="AA158" s="482"/>
      <c r="AB158" s="482"/>
      <c r="AC158" s="482"/>
      <c r="AD158" s="600">
        <v>147</v>
      </c>
      <c r="AE158" s="482"/>
      <c r="AF158" s="600"/>
      <c r="AG158" s="600"/>
      <c r="AH158" s="600"/>
      <c r="AI158" s="600"/>
      <c r="AJ158" s="600"/>
      <c r="AK158" s="600"/>
      <c r="AL158" s="600"/>
      <c r="AM158" s="600"/>
      <c r="AN158" s="600"/>
      <c r="AO158" s="600"/>
      <c r="AP158" s="600"/>
      <c r="AQ158" s="600"/>
      <c r="AR158" s="600"/>
      <c r="AS158" s="600"/>
      <c r="AT158" s="600"/>
      <c r="AU158" s="600"/>
      <c r="AV158" s="600"/>
      <c r="AW158" s="482"/>
      <c r="AX158" s="482"/>
      <c r="AY158" s="482"/>
      <c r="AZ158" s="482"/>
      <c r="BA158" s="343"/>
      <c r="BB158" s="343"/>
      <c r="BC158" s="343"/>
      <c r="BD158" s="343"/>
      <c r="BE158" s="343"/>
      <c r="BF158" s="343"/>
      <c r="BG158" s="343"/>
      <c r="BH158" s="343"/>
      <c r="BI158" s="343"/>
      <c r="BJ158" s="343"/>
      <c r="BK158" s="343"/>
      <c r="BL158" s="343"/>
      <c r="BM158" s="343"/>
      <c r="BN158" s="343"/>
      <c r="BO158" s="343"/>
      <c r="BP158" s="343"/>
      <c r="BQ158" s="343"/>
      <c r="BR158" s="343"/>
      <c r="BS158" s="343"/>
      <c r="BT158" s="343"/>
      <c r="BU158" s="343"/>
      <c r="BV158" s="343"/>
      <c r="BW158" s="343"/>
      <c r="BX158" s="343"/>
    </row>
    <row r="159" spans="1:76" s="25" customFormat="1">
      <c r="A159" s="343"/>
      <c r="B159" s="343"/>
      <c r="C159" s="115"/>
      <c r="D159" s="123"/>
      <c r="E159" s="232"/>
      <c r="F159" s="232"/>
      <c r="G159" s="115"/>
      <c r="H159" s="115"/>
      <c r="I159" s="115"/>
      <c r="J159" s="115"/>
      <c r="K159" s="232"/>
      <c r="L159" s="232"/>
      <c r="M159" s="660"/>
      <c r="N159" s="355"/>
      <c r="O159" s="355"/>
      <c r="P159" s="355"/>
      <c r="Q159" s="355"/>
      <c r="R159" s="600"/>
      <c r="S159" s="600"/>
      <c r="T159" s="600"/>
      <c r="U159" s="600"/>
      <c r="V159" s="600"/>
      <c r="W159" s="600"/>
      <c r="X159" s="600"/>
      <c r="Y159" s="600"/>
      <c r="Z159" s="600"/>
      <c r="AA159" s="482"/>
      <c r="AB159" s="482"/>
      <c r="AC159" s="482"/>
      <c r="AD159" s="600">
        <v>148</v>
      </c>
      <c r="AE159" s="482"/>
      <c r="AF159" s="600"/>
      <c r="AG159" s="600"/>
      <c r="AH159" s="600"/>
      <c r="AI159" s="600"/>
      <c r="AJ159" s="600"/>
      <c r="AK159" s="600"/>
      <c r="AL159" s="600"/>
      <c r="AM159" s="600"/>
      <c r="AN159" s="600"/>
      <c r="AO159" s="600"/>
      <c r="AP159" s="600"/>
      <c r="AQ159" s="600"/>
      <c r="AR159" s="600"/>
      <c r="AS159" s="600"/>
      <c r="AT159" s="600"/>
      <c r="AU159" s="600"/>
      <c r="AV159" s="600"/>
      <c r="AW159" s="482"/>
      <c r="AX159" s="482"/>
      <c r="AY159" s="482"/>
      <c r="AZ159" s="482"/>
      <c r="BA159" s="343"/>
      <c r="BB159" s="343"/>
      <c r="BC159" s="343"/>
      <c r="BD159" s="343"/>
      <c r="BE159" s="343"/>
      <c r="BF159" s="343"/>
      <c r="BG159" s="343"/>
      <c r="BH159" s="343"/>
      <c r="BI159" s="343"/>
      <c r="BJ159" s="343"/>
      <c r="BK159" s="343"/>
      <c r="BL159" s="343"/>
      <c r="BM159" s="343"/>
      <c r="BN159" s="343"/>
      <c r="BO159" s="343"/>
      <c r="BP159" s="343"/>
      <c r="BQ159" s="343"/>
      <c r="BR159" s="343"/>
      <c r="BS159" s="343"/>
      <c r="BT159" s="343"/>
      <c r="BU159" s="343"/>
      <c r="BV159" s="343"/>
      <c r="BW159" s="343"/>
      <c r="BX159" s="343"/>
    </row>
    <row r="160" spans="1:76" s="25" customFormat="1">
      <c r="A160" s="343"/>
      <c r="B160" s="343"/>
      <c r="C160" s="115"/>
      <c r="D160" s="123"/>
      <c r="E160" s="232"/>
      <c r="F160" s="232"/>
      <c r="G160" s="115"/>
      <c r="H160" s="115"/>
      <c r="I160" s="115"/>
      <c r="J160" s="115"/>
      <c r="K160" s="232"/>
      <c r="L160" s="232"/>
      <c r="M160" s="660"/>
      <c r="N160" s="355"/>
      <c r="O160" s="355"/>
      <c r="P160" s="355"/>
      <c r="Q160" s="355"/>
      <c r="R160" s="600"/>
      <c r="S160" s="600"/>
      <c r="T160" s="600"/>
      <c r="U160" s="600"/>
      <c r="V160" s="600"/>
      <c r="W160" s="600"/>
      <c r="X160" s="600"/>
      <c r="Y160" s="600"/>
      <c r="Z160" s="600"/>
      <c r="AA160" s="482"/>
      <c r="AB160" s="482"/>
      <c r="AC160" s="482"/>
      <c r="AD160" s="600">
        <v>149</v>
      </c>
      <c r="AE160" s="482"/>
      <c r="AF160" s="600"/>
      <c r="AG160" s="600"/>
      <c r="AH160" s="600"/>
      <c r="AI160" s="600"/>
      <c r="AJ160" s="600"/>
      <c r="AK160" s="600"/>
      <c r="AL160" s="600"/>
      <c r="AM160" s="600"/>
      <c r="AN160" s="600"/>
      <c r="AO160" s="600"/>
      <c r="AP160" s="600"/>
      <c r="AQ160" s="600"/>
      <c r="AR160" s="600"/>
      <c r="AS160" s="600"/>
      <c r="AT160" s="600"/>
      <c r="AU160" s="600"/>
      <c r="AV160" s="600"/>
      <c r="AW160" s="482"/>
      <c r="AX160" s="482"/>
      <c r="AY160" s="482"/>
      <c r="AZ160" s="482"/>
      <c r="BA160" s="343"/>
      <c r="BB160" s="343"/>
      <c r="BC160" s="343"/>
      <c r="BD160" s="343"/>
      <c r="BE160" s="343"/>
      <c r="BF160" s="343"/>
      <c r="BG160" s="343"/>
      <c r="BH160" s="343"/>
      <c r="BI160" s="343"/>
      <c r="BJ160" s="343"/>
      <c r="BK160" s="343"/>
      <c r="BL160" s="343"/>
      <c r="BM160" s="343"/>
      <c r="BN160" s="343"/>
      <c r="BO160" s="343"/>
      <c r="BP160" s="343"/>
      <c r="BQ160" s="343"/>
      <c r="BR160" s="343"/>
      <c r="BS160" s="343"/>
      <c r="BT160" s="343"/>
      <c r="BU160" s="343"/>
      <c r="BV160" s="343"/>
      <c r="BW160" s="343"/>
      <c r="BX160" s="343"/>
    </row>
    <row r="161" spans="1:76" s="25" customFormat="1">
      <c r="A161" s="343"/>
      <c r="B161" s="343"/>
      <c r="C161" s="115"/>
      <c r="D161" s="123"/>
      <c r="E161" s="232"/>
      <c r="F161" s="232"/>
      <c r="G161" s="115"/>
      <c r="H161" s="115"/>
      <c r="I161" s="115"/>
      <c r="J161" s="115"/>
      <c r="K161" s="232"/>
      <c r="L161" s="232"/>
      <c r="M161" s="660"/>
      <c r="N161" s="355"/>
      <c r="O161" s="355"/>
      <c r="P161" s="355"/>
      <c r="Q161" s="355"/>
      <c r="R161" s="600"/>
      <c r="S161" s="600"/>
      <c r="T161" s="600"/>
      <c r="U161" s="600"/>
      <c r="V161" s="600"/>
      <c r="W161" s="600"/>
      <c r="X161" s="600"/>
      <c r="Y161" s="600"/>
      <c r="Z161" s="600"/>
      <c r="AA161" s="482"/>
      <c r="AB161" s="482"/>
      <c r="AC161" s="482"/>
      <c r="AD161" s="600">
        <v>150</v>
      </c>
      <c r="AE161" s="482"/>
      <c r="AF161" s="600"/>
      <c r="AG161" s="600"/>
      <c r="AH161" s="600"/>
      <c r="AI161" s="600"/>
      <c r="AJ161" s="600"/>
      <c r="AK161" s="600"/>
      <c r="AL161" s="600"/>
      <c r="AM161" s="600"/>
      <c r="AN161" s="600"/>
      <c r="AO161" s="600"/>
      <c r="AP161" s="600"/>
      <c r="AQ161" s="600"/>
      <c r="AR161" s="600"/>
      <c r="AS161" s="600"/>
      <c r="AT161" s="600"/>
      <c r="AU161" s="600"/>
      <c r="AV161" s="600"/>
      <c r="AW161" s="482"/>
      <c r="AX161" s="482"/>
      <c r="AY161" s="482"/>
      <c r="AZ161" s="482"/>
      <c r="BA161" s="343"/>
      <c r="BB161" s="343"/>
      <c r="BC161" s="343"/>
      <c r="BD161" s="343"/>
      <c r="BE161" s="343"/>
      <c r="BF161" s="343"/>
      <c r="BG161" s="343"/>
      <c r="BH161" s="343"/>
      <c r="BI161" s="343"/>
      <c r="BJ161" s="343"/>
      <c r="BK161" s="343"/>
      <c r="BL161" s="343"/>
      <c r="BM161" s="343"/>
      <c r="BN161" s="343"/>
      <c r="BO161" s="343"/>
      <c r="BP161" s="343"/>
      <c r="BQ161" s="343"/>
      <c r="BR161" s="343"/>
      <c r="BS161" s="343"/>
      <c r="BT161" s="343"/>
      <c r="BU161" s="343"/>
      <c r="BV161" s="343"/>
      <c r="BW161" s="343"/>
      <c r="BX161" s="343"/>
    </row>
    <row r="162" spans="1:76" s="25" customFormat="1">
      <c r="A162" s="343"/>
      <c r="B162" s="343"/>
      <c r="C162" s="115"/>
      <c r="D162" s="123"/>
      <c r="E162" s="232"/>
      <c r="F162" s="232"/>
      <c r="G162" s="115"/>
      <c r="H162" s="115"/>
      <c r="I162" s="115"/>
      <c r="J162" s="115"/>
      <c r="K162" s="232"/>
      <c r="L162" s="232"/>
      <c r="M162" s="660"/>
      <c r="N162" s="355"/>
      <c r="O162" s="355"/>
      <c r="P162" s="355"/>
      <c r="Q162" s="355"/>
      <c r="R162" s="600"/>
      <c r="S162" s="600"/>
      <c r="T162" s="600"/>
      <c r="U162" s="600"/>
      <c r="V162" s="600"/>
      <c r="W162" s="600"/>
      <c r="X162" s="600"/>
      <c r="Y162" s="600"/>
      <c r="Z162" s="600"/>
      <c r="AA162" s="482"/>
      <c r="AB162" s="482"/>
      <c r="AC162" s="482"/>
      <c r="AD162" s="600">
        <v>151</v>
      </c>
      <c r="AE162" s="482"/>
      <c r="AF162" s="600"/>
      <c r="AG162" s="600"/>
      <c r="AH162" s="600"/>
      <c r="AI162" s="600"/>
      <c r="AJ162" s="600"/>
      <c r="AK162" s="600"/>
      <c r="AL162" s="600"/>
      <c r="AM162" s="600"/>
      <c r="AN162" s="600"/>
      <c r="AO162" s="600"/>
      <c r="AP162" s="600"/>
      <c r="AQ162" s="600"/>
      <c r="AR162" s="600"/>
      <c r="AS162" s="600"/>
      <c r="AT162" s="600"/>
      <c r="AU162" s="600"/>
      <c r="AV162" s="600"/>
      <c r="AW162" s="482"/>
      <c r="AX162" s="482"/>
      <c r="AY162" s="482"/>
      <c r="AZ162" s="482"/>
      <c r="BA162" s="343"/>
      <c r="BB162" s="343"/>
      <c r="BC162" s="343"/>
      <c r="BD162" s="343"/>
      <c r="BE162" s="343"/>
      <c r="BF162" s="343"/>
      <c r="BG162" s="343"/>
      <c r="BH162" s="343"/>
      <c r="BI162" s="343"/>
      <c r="BJ162" s="343"/>
      <c r="BK162" s="343"/>
      <c r="BL162" s="343"/>
      <c r="BM162" s="343"/>
      <c r="BN162" s="343"/>
      <c r="BO162" s="343"/>
      <c r="BP162" s="343"/>
      <c r="BQ162" s="343"/>
      <c r="BR162" s="343"/>
      <c r="BS162" s="343"/>
      <c r="BT162" s="343"/>
      <c r="BU162" s="343"/>
      <c r="BV162" s="343"/>
      <c r="BW162" s="343"/>
      <c r="BX162" s="343"/>
    </row>
    <row r="163" spans="1:76" s="25" customFormat="1">
      <c r="A163" s="343"/>
      <c r="B163" s="343"/>
      <c r="C163" s="115"/>
      <c r="D163" s="123"/>
      <c r="E163" s="232"/>
      <c r="F163" s="232"/>
      <c r="G163" s="115"/>
      <c r="H163" s="115"/>
      <c r="I163" s="115"/>
      <c r="J163" s="115"/>
      <c r="K163" s="232"/>
      <c r="L163" s="232"/>
      <c r="M163" s="660"/>
      <c r="N163" s="355"/>
      <c r="O163" s="355"/>
      <c r="P163" s="355"/>
      <c r="Q163" s="355"/>
      <c r="R163" s="600"/>
      <c r="S163" s="600"/>
      <c r="T163" s="600"/>
      <c r="U163" s="600"/>
      <c r="V163" s="600"/>
      <c r="W163" s="600"/>
      <c r="X163" s="600"/>
      <c r="Y163" s="600"/>
      <c r="Z163" s="600"/>
      <c r="AA163" s="482"/>
      <c r="AB163" s="482"/>
      <c r="AC163" s="482"/>
      <c r="AD163" s="600">
        <v>152</v>
      </c>
      <c r="AE163" s="482"/>
      <c r="AF163" s="600"/>
      <c r="AG163" s="600"/>
      <c r="AH163" s="600"/>
      <c r="AI163" s="600"/>
      <c r="AJ163" s="600"/>
      <c r="AK163" s="600"/>
      <c r="AL163" s="600"/>
      <c r="AM163" s="600"/>
      <c r="AN163" s="600"/>
      <c r="AO163" s="600"/>
      <c r="AP163" s="600"/>
      <c r="AQ163" s="600"/>
      <c r="AR163" s="600"/>
      <c r="AS163" s="600"/>
      <c r="AT163" s="600"/>
      <c r="AU163" s="600"/>
      <c r="AV163" s="600"/>
      <c r="AW163" s="482"/>
      <c r="AX163" s="482"/>
      <c r="AY163" s="482"/>
      <c r="AZ163" s="482"/>
      <c r="BA163" s="343"/>
      <c r="BB163" s="343"/>
      <c r="BC163" s="343"/>
      <c r="BD163" s="343"/>
      <c r="BE163" s="343"/>
      <c r="BF163" s="343"/>
      <c r="BG163" s="343"/>
      <c r="BH163" s="343"/>
      <c r="BI163" s="343"/>
      <c r="BJ163" s="343"/>
      <c r="BK163" s="343"/>
      <c r="BL163" s="343"/>
      <c r="BM163" s="343"/>
      <c r="BN163" s="343"/>
      <c r="BO163" s="343"/>
      <c r="BP163" s="343"/>
      <c r="BQ163" s="343"/>
      <c r="BR163" s="343"/>
      <c r="BS163" s="343"/>
      <c r="BT163" s="343"/>
      <c r="BU163" s="343"/>
      <c r="BV163" s="343"/>
      <c r="BW163" s="343"/>
      <c r="BX163" s="343"/>
    </row>
    <row r="164" spans="1:76" s="25" customFormat="1">
      <c r="A164" s="343"/>
      <c r="B164" s="343"/>
      <c r="C164" s="115"/>
      <c r="D164" s="123"/>
      <c r="E164" s="232"/>
      <c r="F164" s="232"/>
      <c r="G164" s="115"/>
      <c r="H164" s="115"/>
      <c r="I164" s="115"/>
      <c r="J164" s="115"/>
      <c r="K164" s="232"/>
      <c r="L164" s="232"/>
      <c r="M164" s="660"/>
      <c r="N164" s="355"/>
      <c r="O164" s="355"/>
      <c r="P164" s="355"/>
      <c r="Q164" s="355"/>
      <c r="R164" s="600"/>
      <c r="S164" s="600"/>
      <c r="T164" s="600"/>
      <c r="U164" s="600"/>
      <c r="V164" s="600"/>
      <c r="W164" s="600"/>
      <c r="X164" s="600"/>
      <c r="Y164" s="600"/>
      <c r="Z164" s="600"/>
      <c r="AA164" s="482"/>
      <c r="AB164" s="482"/>
      <c r="AC164" s="482"/>
      <c r="AD164" s="600">
        <v>153</v>
      </c>
      <c r="AE164" s="482"/>
      <c r="AF164" s="600"/>
      <c r="AG164" s="600"/>
      <c r="AH164" s="600"/>
      <c r="AI164" s="600"/>
      <c r="AJ164" s="600"/>
      <c r="AK164" s="600"/>
      <c r="AL164" s="600"/>
      <c r="AM164" s="600"/>
      <c r="AN164" s="600"/>
      <c r="AO164" s="600"/>
      <c r="AP164" s="600"/>
      <c r="AQ164" s="600"/>
      <c r="AR164" s="600"/>
      <c r="AS164" s="600"/>
      <c r="AT164" s="600"/>
      <c r="AU164" s="600"/>
      <c r="AV164" s="600"/>
      <c r="AW164" s="482"/>
      <c r="AX164" s="482"/>
      <c r="AY164" s="482"/>
      <c r="AZ164" s="482"/>
      <c r="BA164" s="343"/>
      <c r="BB164" s="343"/>
      <c r="BC164" s="343"/>
      <c r="BD164" s="343"/>
      <c r="BE164" s="343"/>
      <c r="BF164" s="343"/>
      <c r="BG164" s="343"/>
      <c r="BH164" s="343"/>
      <c r="BI164" s="343"/>
      <c r="BJ164" s="343"/>
      <c r="BK164" s="343"/>
      <c r="BL164" s="343"/>
      <c r="BM164" s="343"/>
      <c r="BN164" s="343"/>
      <c r="BO164" s="343"/>
      <c r="BP164" s="343"/>
      <c r="BQ164" s="343"/>
      <c r="BR164" s="343"/>
      <c r="BS164" s="343"/>
      <c r="BT164" s="343"/>
      <c r="BU164" s="343"/>
      <c r="BV164" s="343"/>
      <c r="BW164" s="343"/>
      <c r="BX164" s="343"/>
    </row>
    <row r="165" spans="1:76" s="25" customFormat="1">
      <c r="A165" s="343"/>
      <c r="B165" s="343"/>
      <c r="C165" s="115"/>
      <c r="D165" s="123"/>
      <c r="E165" s="232"/>
      <c r="F165" s="232"/>
      <c r="G165" s="115"/>
      <c r="H165" s="115"/>
      <c r="I165" s="115"/>
      <c r="J165" s="115"/>
      <c r="K165" s="232"/>
      <c r="L165" s="232"/>
      <c r="M165" s="660"/>
      <c r="N165" s="355"/>
      <c r="O165" s="355"/>
      <c r="P165" s="355"/>
      <c r="Q165" s="355"/>
      <c r="R165" s="600"/>
      <c r="S165" s="600"/>
      <c r="T165" s="600"/>
      <c r="U165" s="600"/>
      <c r="V165" s="600"/>
      <c r="W165" s="600"/>
      <c r="X165" s="600"/>
      <c r="Y165" s="600"/>
      <c r="Z165" s="600"/>
      <c r="AA165" s="482"/>
      <c r="AB165" s="482"/>
      <c r="AC165" s="482"/>
      <c r="AD165" s="600">
        <v>154</v>
      </c>
      <c r="AE165" s="482"/>
      <c r="AF165" s="600"/>
      <c r="AG165" s="600"/>
      <c r="AH165" s="600"/>
      <c r="AI165" s="600"/>
      <c r="AJ165" s="600"/>
      <c r="AK165" s="600"/>
      <c r="AL165" s="600"/>
      <c r="AM165" s="600"/>
      <c r="AN165" s="600"/>
      <c r="AO165" s="600"/>
      <c r="AP165" s="600"/>
      <c r="AQ165" s="600"/>
      <c r="AR165" s="600"/>
      <c r="AS165" s="600"/>
      <c r="AT165" s="600"/>
      <c r="AU165" s="600"/>
      <c r="AV165" s="600"/>
      <c r="AW165" s="482"/>
      <c r="AX165" s="482"/>
      <c r="AY165" s="482"/>
      <c r="AZ165" s="482"/>
      <c r="BA165" s="343"/>
      <c r="BB165" s="343"/>
      <c r="BC165" s="343"/>
      <c r="BD165" s="343"/>
      <c r="BE165" s="343"/>
      <c r="BF165" s="343"/>
      <c r="BG165" s="343"/>
      <c r="BH165" s="343"/>
      <c r="BI165" s="343"/>
      <c r="BJ165" s="343"/>
      <c r="BK165" s="343"/>
      <c r="BL165" s="343"/>
      <c r="BM165" s="343"/>
      <c r="BN165" s="343"/>
      <c r="BO165" s="343"/>
      <c r="BP165" s="343"/>
      <c r="BQ165" s="343"/>
      <c r="BR165" s="343"/>
      <c r="BS165" s="343"/>
      <c r="BT165" s="343"/>
      <c r="BU165" s="343"/>
      <c r="BV165" s="343"/>
      <c r="BW165" s="343"/>
      <c r="BX165" s="343"/>
    </row>
    <row r="166" spans="1:76" s="25" customFormat="1">
      <c r="A166" s="343"/>
      <c r="B166" s="343"/>
      <c r="C166" s="115"/>
      <c r="D166" s="123"/>
      <c r="E166" s="232"/>
      <c r="F166" s="232"/>
      <c r="G166" s="115"/>
      <c r="H166" s="115"/>
      <c r="I166" s="115"/>
      <c r="J166" s="115"/>
      <c r="K166" s="232"/>
      <c r="L166" s="232"/>
      <c r="M166" s="660"/>
      <c r="N166" s="355"/>
      <c r="O166" s="355"/>
      <c r="P166" s="355"/>
      <c r="Q166" s="355"/>
      <c r="R166" s="600"/>
      <c r="S166" s="600"/>
      <c r="T166" s="600"/>
      <c r="U166" s="600"/>
      <c r="V166" s="600"/>
      <c r="W166" s="600"/>
      <c r="X166" s="600"/>
      <c r="Y166" s="600"/>
      <c r="Z166" s="600"/>
      <c r="AA166" s="482"/>
      <c r="AB166" s="482"/>
      <c r="AC166" s="482"/>
      <c r="AD166" s="600">
        <v>155</v>
      </c>
      <c r="AE166" s="482"/>
      <c r="AF166" s="600"/>
      <c r="AG166" s="600"/>
      <c r="AH166" s="600"/>
      <c r="AI166" s="600"/>
      <c r="AJ166" s="600"/>
      <c r="AK166" s="600"/>
      <c r="AL166" s="600"/>
      <c r="AM166" s="600"/>
      <c r="AN166" s="600"/>
      <c r="AO166" s="600"/>
      <c r="AP166" s="600"/>
      <c r="AQ166" s="600"/>
      <c r="AR166" s="600"/>
      <c r="AS166" s="600"/>
      <c r="AT166" s="600"/>
      <c r="AU166" s="600"/>
      <c r="AV166" s="600"/>
      <c r="AW166" s="482"/>
      <c r="AX166" s="482"/>
      <c r="AY166" s="482"/>
      <c r="AZ166" s="482"/>
      <c r="BA166" s="343"/>
      <c r="BB166" s="343"/>
      <c r="BC166" s="343"/>
      <c r="BD166" s="343"/>
      <c r="BE166" s="343"/>
      <c r="BF166" s="343"/>
      <c r="BG166" s="343"/>
      <c r="BH166" s="343"/>
      <c r="BI166" s="343"/>
      <c r="BJ166" s="343"/>
      <c r="BK166" s="343"/>
      <c r="BL166" s="343"/>
      <c r="BM166" s="343"/>
      <c r="BN166" s="343"/>
      <c r="BO166" s="343"/>
      <c r="BP166" s="343"/>
      <c r="BQ166" s="343"/>
      <c r="BR166" s="343"/>
      <c r="BS166" s="343"/>
      <c r="BT166" s="343"/>
      <c r="BU166" s="343"/>
      <c r="BV166" s="343"/>
      <c r="BW166" s="343"/>
      <c r="BX166" s="343"/>
    </row>
    <row r="167" spans="1:76" s="25" customFormat="1">
      <c r="A167" s="343"/>
      <c r="B167" s="343"/>
      <c r="C167" s="115"/>
      <c r="D167" s="123"/>
      <c r="E167" s="232"/>
      <c r="F167" s="232"/>
      <c r="G167" s="115"/>
      <c r="H167" s="115"/>
      <c r="I167" s="115"/>
      <c r="J167" s="115"/>
      <c r="K167" s="232"/>
      <c r="L167" s="232"/>
      <c r="M167" s="660"/>
      <c r="N167" s="355"/>
      <c r="O167" s="355"/>
      <c r="P167" s="355"/>
      <c r="Q167" s="355"/>
      <c r="R167" s="600"/>
      <c r="S167" s="600"/>
      <c r="T167" s="600"/>
      <c r="U167" s="600"/>
      <c r="V167" s="600"/>
      <c r="W167" s="600"/>
      <c r="X167" s="600"/>
      <c r="Y167" s="600"/>
      <c r="Z167" s="600"/>
      <c r="AA167" s="482"/>
      <c r="AB167" s="482"/>
      <c r="AC167" s="482"/>
      <c r="AD167" s="600">
        <v>156</v>
      </c>
      <c r="AE167" s="482"/>
      <c r="AF167" s="600"/>
      <c r="AG167" s="600"/>
      <c r="AH167" s="600"/>
      <c r="AI167" s="600"/>
      <c r="AJ167" s="600"/>
      <c r="AK167" s="600"/>
      <c r="AL167" s="600"/>
      <c r="AM167" s="600"/>
      <c r="AN167" s="600"/>
      <c r="AO167" s="600"/>
      <c r="AP167" s="600"/>
      <c r="AQ167" s="600"/>
      <c r="AR167" s="600"/>
      <c r="AS167" s="600"/>
      <c r="AT167" s="600"/>
      <c r="AU167" s="600"/>
      <c r="AV167" s="600"/>
      <c r="AW167" s="482"/>
      <c r="AX167" s="482"/>
      <c r="AY167" s="482"/>
      <c r="AZ167" s="482"/>
      <c r="BA167" s="343"/>
      <c r="BB167" s="343"/>
      <c r="BC167" s="343"/>
      <c r="BD167" s="343"/>
      <c r="BE167" s="343"/>
      <c r="BF167" s="343"/>
      <c r="BG167" s="343"/>
      <c r="BH167" s="343"/>
      <c r="BI167" s="343"/>
      <c r="BJ167" s="343"/>
      <c r="BK167" s="343"/>
      <c r="BL167" s="343"/>
      <c r="BM167" s="343"/>
      <c r="BN167" s="343"/>
      <c r="BO167" s="343"/>
      <c r="BP167" s="343"/>
      <c r="BQ167" s="343"/>
      <c r="BR167" s="343"/>
      <c r="BS167" s="343"/>
      <c r="BT167" s="343"/>
      <c r="BU167" s="343"/>
      <c r="BV167" s="343"/>
      <c r="BW167" s="343"/>
      <c r="BX167" s="343"/>
    </row>
    <row r="168" spans="1:76" s="25" customFormat="1">
      <c r="A168" s="343"/>
      <c r="B168" s="343"/>
      <c r="C168" s="115"/>
      <c r="D168" s="123"/>
      <c r="E168" s="232"/>
      <c r="F168" s="232"/>
      <c r="G168" s="115"/>
      <c r="H168" s="115"/>
      <c r="I168" s="115"/>
      <c r="J168" s="115"/>
      <c r="K168" s="232"/>
      <c r="L168" s="232"/>
      <c r="M168" s="660"/>
      <c r="N168" s="355"/>
      <c r="O168" s="355"/>
      <c r="P168" s="355"/>
      <c r="Q168" s="355"/>
      <c r="R168" s="600"/>
      <c r="S168" s="600"/>
      <c r="T168" s="600"/>
      <c r="U168" s="600"/>
      <c r="V168" s="600"/>
      <c r="W168" s="600"/>
      <c r="X168" s="600"/>
      <c r="Y168" s="600"/>
      <c r="Z168" s="600"/>
      <c r="AA168" s="482"/>
      <c r="AB168" s="482"/>
      <c r="AC168" s="482"/>
      <c r="AD168" s="600">
        <v>157</v>
      </c>
      <c r="AE168" s="482"/>
      <c r="AF168" s="600"/>
      <c r="AG168" s="600"/>
      <c r="AH168" s="600"/>
      <c r="AI168" s="600"/>
      <c r="AJ168" s="600"/>
      <c r="AK168" s="600"/>
      <c r="AL168" s="600"/>
      <c r="AM168" s="600"/>
      <c r="AN168" s="600"/>
      <c r="AO168" s="600"/>
      <c r="AP168" s="600"/>
      <c r="AQ168" s="600"/>
      <c r="AR168" s="600"/>
      <c r="AS168" s="600"/>
      <c r="AT168" s="600"/>
      <c r="AU168" s="600"/>
      <c r="AV168" s="600"/>
      <c r="AW168" s="482"/>
      <c r="AX168" s="482"/>
      <c r="AY168" s="482"/>
      <c r="AZ168" s="482"/>
      <c r="BA168" s="343"/>
      <c r="BB168" s="343"/>
      <c r="BC168" s="343"/>
      <c r="BD168" s="343"/>
      <c r="BE168" s="343"/>
      <c r="BF168" s="343"/>
      <c r="BG168" s="343"/>
      <c r="BH168" s="343"/>
      <c r="BI168" s="343"/>
      <c r="BJ168" s="343"/>
      <c r="BK168" s="343"/>
      <c r="BL168" s="343"/>
      <c r="BM168" s="343"/>
      <c r="BN168" s="343"/>
      <c r="BO168" s="343"/>
      <c r="BP168" s="343"/>
      <c r="BQ168" s="343"/>
      <c r="BR168" s="343"/>
      <c r="BS168" s="343"/>
      <c r="BT168" s="343"/>
      <c r="BU168" s="343"/>
      <c r="BV168" s="343"/>
      <c r="BW168" s="343"/>
      <c r="BX168" s="343"/>
    </row>
    <row r="169" spans="1:76" s="25" customFormat="1">
      <c r="A169" s="343"/>
      <c r="B169" s="343"/>
      <c r="C169" s="115"/>
      <c r="D169" s="123"/>
      <c r="E169" s="232"/>
      <c r="F169" s="232"/>
      <c r="G169" s="115"/>
      <c r="H169" s="115"/>
      <c r="I169" s="115"/>
      <c r="J169" s="115"/>
      <c r="K169" s="232"/>
      <c r="L169" s="232"/>
      <c r="M169" s="660"/>
      <c r="N169" s="355"/>
      <c r="O169" s="355"/>
      <c r="P169" s="355"/>
      <c r="Q169" s="355"/>
      <c r="R169" s="600"/>
      <c r="S169" s="600"/>
      <c r="T169" s="600"/>
      <c r="U169" s="600"/>
      <c r="V169" s="600"/>
      <c r="W169" s="600"/>
      <c r="X169" s="600"/>
      <c r="Y169" s="600"/>
      <c r="Z169" s="600"/>
      <c r="AA169" s="482"/>
      <c r="AB169" s="482"/>
      <c r="AC169" s="482"/>
      <c r="AD169" s="600">
        <v>158</v>
      </c>
      <c r="AE169" s="482"/>
      <c r="AF169" s="600"/>
      <c r="AG169" s="600"/>
      <c r="AH169" s="600"/>
      <c r="AI169" s="600"/>
      <c r="AJ169" s="600"/>
      <c r="AK169" s="600"/>
      <c r="AL169" s="600"/>
      <c r="AM169" s="600"/>
      <c r="AN169" s="600"/>
      <c r="AO169" s="600"/>
      <c r="AP169" s="600"/>
      <c r="AQ169" s="600"/>
      <c r="AR169" s="600"/>
      <c r="AS169" s="600"/>
      <c r="AT169" s="600"/>
      <c r="AU169" s="600"/>
      <c r="AV169" s="600"/>
      <c r="AW169" s="482"/>
      <c r="AX169" s="482"/>
      <c r="AY169" s="482"/>
      <c r="AZ169" s="482"/>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row>
    <row r="170" spans="1:76" s="25" customFormat="1">
      <c r="A170" s="343"/>
      <c r="B170" s="343"/>
      <c r="C170" s="115"/>
      <c r="D170" s="123"/>
      <c r="E170" s="232"/>
      <c r="F170" s="232"/>
      <c r="G170" s="115"/>
      <c r="H170" s="115"/>
      <c r="I170" s="115"/>
      <c r="J170" s="115"/>
      <c r="K170" s="232"/>
      <c r="L170" s="232"/>
      <c r="M170" s="660"/>
      <c r="N170" s="355"/>
      <c r="O170" s="355"/>
      <c r="P170" s="355"/>
      <c r="Q170" s="355"/>
      <c r="R170" s="600"/>
      <c r="S170" s="600"/>
      <c r="T170" s="600"/>
      <c r="U170" s="600"/>
      <c r="V170" s="600"/>
      <c r="W170" s="600"/>
      <c r="X170" s="600"/>
      <c r="Y170" s="600"/>
      <c r="Z170" s="600"/>
      <c r="AA170" s="482"/>
      <c r="AB170" s="482"/>
      <c r="AC170" s="482"/>
      <c r="AD170" s="600">
        <v>159</v>
      </c>
      <c r="AE170" s="482"/>
      <c r="AF170" s="600"/>
      <c r="AG170" s="600"/>
      <c r="AH170" s="600"/>
      <c r="AI170" s="600"/>
      <c r="AJ170" s="600"/>
      <c r="AK170" s="600"/>
      <c r="AL170" s="600"/>
      <c r="AM170" s="600"/>
      <c r="AN170" s="600"/>
      <c r="AO170" s="600"/>
      <c r="AP170" s="600"/>
      <c r="AQ170" s="600"/>
      <c r="AR170" s="600"/>
      <c r="AS170" s="600"/>
      <c r="AT170" s="600"/>
      <c r="AU170" s="600"/>
      <c r="AV170" s="600"/>
      <c r="AW170" s="482"/>
      <c r="AX170" s="482"/>
      <c r="AY170" s="482"/>
      <c r="AZ170" s="482"/>
      <c r="BA170" s="343"/>
      <c r="BB170" s="343"/>
      <c r="BC170" s="343"/>
      <c r="BD170" s="343"/>
      <c r="BE170" s="343"/>
      <c r="BF170" s="343"/>
      <c r="BG170" s="343"/>
      <c r="BH170" s="343"/>
      <c r="BI170" s="343"/>
      <c r="BJ170" s="343"/>
      <c r="BK170" s="343"/>
      <c r="BL170" s="343"/>
      <c r="BM170" s="343"/>
      <c r="BN170" s="343"/>
      <c r="BO170" s="343"/>
      <c r="BP170" s="343"/>
      <c r="BQ170" s="343"/>
      <c r="BR170" s="343"/>
      <c r="BS170" s="343"/>
      <c r="BT170" s="343"/>
      <c r="BU170" s="343"/>
      <c r="BV170" s="343"/>
      <c r="BW170" s="343"/>
      <c r="BX170" s="343"/>
    </row>
    <row r="171" spans="1:76" s="25" customFormat="1">
      <c r="A171" s="343"/>
      <c r="B171" s="343"/>
      <c r="C171" s="115"/>
      <c r="D171" s="123"/>
      <c r="E171" s="232"/>
      <c r="F171" s="232"/>
      <c r="G171" s="115"/>
      <c r="H171" s="115"/>
      <c r="I171" s="115"/>
      <c r="J171" s="115"/>
      <c r="K171" s="232"/>
      <c r="L171" s="232"/>
      <c r="M171" s="660"/>
      <c r="N171" s="355"/>
      <c r="O171" s="355"/>
      <c r="P171" s="355"/>
      <c r="Q171" s="355"/>
      <c r="R171" s="600"/>
      <c r="S171" s="600"/>
      <c r="T171" s="600"/>
      <c r="U171" s="600"/>
      <c r="V171" s="600"/>
      <c r="W171" s="600"/>
      <c r="X171" s="600"/>
      <c r="Y171" s="600"/>
      <c r="Z171" s="600"/>
      <c r="AA171" s="482"/>
      <c r="AB171" s="482"/>
      <c r="AC171" s="482"/>
      <c r="AD171" s="600">
        <v>160</v>
      </c>
      <c r="AE171" s="482"/>
      <c r="AF171" s="600"/>
      <c r="AG171" s="600"/>
      <c r="AH171" s="600"/>
      <c r="AI171" s="600"/>
      <c r="AJ171" s="600"/>
      <c r="AK171" s="600"/>
      <c r="AL171" s="600"/>
      <c r="AM171" s="600"/>
      <c r="AN171" s="600"/>
      <c r="AO171" s="600"/>
      <c r="AP171" s="600"/>
      <c r="AQ171" s="600"/>
      <c r="AR171" s="600"/>
      <c r="AS171" s="600"/>
      <c r="AT171" s="600"/>
      <c r="AU171" s="600"/>
      <c r="AV171" s="600"/>
      <c r="AW171" s="482"/>
      <c r="AX171" s="482"/>
      <c r="AY171" s="482"/>
      <c r="AZ171" s="482"/>
      <c r="BA171" s="343"/>
      <c r="BB171" s="343"/>
      <c r="BC171" s="343"/>
      <c r="BD171" s="343"/>
      <c r="BE171" s="343"/>
      <c r="BF171" s="343"/>
      <c r="BG171" s="343"/>
      <c r="BH171" s="343"/>
      <c r="BI171" s="343"/>
      <c r="BJ171" s="343"/>
      <c r="BK171" s="343"/>
      <c r="BL171" s="343"/>
      <c r="BM171" s="343"/>
      <c r="BN171" s="343"/>
      <c r="BO171" s="343"/>
      <c r="BP171" s="343"/>
      <c r="BQ171" s="343"/>
      <c r="BR171" s="343"/>
      <c r="BS171" s="343"/>
      <c r="BT171" s="343"/>
      <c r="BU171" s="343"/>
      <c r="BV171" s="343"/>
      <c r="BW171" s="343"/>
      <c r="BX171" s="343"/>
    </row>
    <row r="172" spans="1:76" s="25" customFormat="1">
      <c r="A172" s="343"/>
      <c r="B172" s="343"/>
      <c r="C172" s="115"/>
      <c r="D172" s="123"/>
      <c r="E172" s="232"/>
      <c r="F172" s="232"/>
      <c r="G172" s="115"/>
      <c r="H172" s="115"/>
      <c r="I172" s="115"/>
      <c r="J172" s="115"/>
      <c r="K172" s="232"/>
      <c r="L172" s="232"/>
      <c r="M172" s="660"/>
      <c r="N172" s="355"/>
      <c r="O172" s="355"/>
      <c r="P172" s="355"/>
      <c r="Q172" s="355"/>
      <c r="R172" s="600"/>
      <c r="S172" s="600"/>
      <c r="T172" s="600"/>
      <c r="U172" s="600"/>
      <c r="V172" s="600"/>
      <c r="W172" s="600"/>
      <c r="X172" s="600"/>
      <c r="Y172" s="600"/>
      <c r="Z172" s="600"/>
      <c r="AA172" s="482"/>
      <c r="AB172" s="482"/>
      <c r="AC172" s="482"/>
      <c r="AD172" s="600">
        <v>161</v>
      </c>
      <c r="AE172" s="482"/>
      <c r="AF172" s="600"/>
      <c r="AG172" s="600"/>
      <c r="AH172" s="600"/>
      <c r="AI172" s="600"/>
      <c r="AJ172" s="600"/>
      <c r="AK172" s="600"/>
      <c r="AL172" s="600"/>
      <c r="AM172" s="600"/>
      <c r="AN172" s="600"/>
      <c r="AO172" s="600"/>
      <c r="AP172" s="600"/>
      <c r="AQ172" s="600"/>
      <c r="AR172" s="600"/>
      <c r="AS172" s="600"/>
      <c r="AT172" s="600"/>
      <c r="AU172" s="600"/>
      <c r="AV172" s="600"/>
      <c r="AW172" s="482"/>
      <c r="AX172" s="482"/>
      <c r="AY172" s="482"/>
      <c r="AZ172" s="482"/>
      <c r="BA172" s="343"/>
      <c r="BB172" s="343"/>
      <c r="BC172" s="343"/>
      <c r="BD172" s="343"/>
      <c r="BE172" s="343"/>
      <c r="BF172" s="343"/>
      <c r="BG172" s="343"/>
      <c r="BH172" s="343"/>
      <c r="BI172" s="343"/>
      <c r="BJ172" s="343"/>
      <c r="BK172" s="343"/>
      <c r="BL172" s="343"/>
      <c r="BM172" s="343"/>
      <c r="BN172" s="343"/>
      <c r="BO172" s="343"/>
      <c r="BP172" s="343"/>
      <c r="BQ172" s="343"/>
      <c r="BR172" s="343"/>
      <c r="BS172" s="343"/>
      <c r="BT172" s="343"/>
      <c r="BU172" s="343"/>
      <c r="BV172" s="343"/>
      <c r="BW172" s="343"/>
      <c r="BX172" s="343"/>
    </row>
    <row r="173" spans="1:76" s="25" customFormat="1">
      <c r="A173" s="343"/>
      <c r="B173" s="343"/>
      <c r="C173" s="115"/>
      <c r="D173" s="123"/>
      <c r="E173" s="232"/>
      <c r="F173" s="232"/>
      <c r="G173" s="115"/>
      <c r="H173" s="115"/>
      <c r="I173" s="115"/>
      <c r="J173" s="115"/>
      <c r="K173" s="232"/>
      <c r="L173" s="232"/>
      <c r="M173" s="660"/>
      <c r="N173" s="355"/>
      <c r="O173" s="355"/>
      <c r="P173" s="355"/>
      <c r="Q173" s="355"/>
      <c r="R173" s="600"/>
      <c r="S173" s="600"/>
      <c r="T173" s="600"/>
      <c r="U173" s="600"/>
      <c r="V173" s="600"/>
      <c r="W173" s="600"/>
      <c r="X173" s="600"/>
      <c r="Y173" s="600"/>
      <c r="Z173" s="600"/>
      <c r="AA173" s="482"/>
      <c r="AB173" s="482"/>
      <c r="AC173" s="482"/>
      <c r="AD173" s="600">
        <v>162</v>
      </c>
      <c r="AE173" s="482"/>
      <c r="AF173" s="600"/>
      <c r="AG173" s="600"/>
      <c r="AH173" s="600"/>
      <c r="AI173" s="600"/>
      <c r="AJ173" s="600"/>
      <c r="AK173" s="600"/>
      <c r="AL173" s="600"/>
      <c r="AM173" s="600"/>
      <c r="AN173" s="600"/>
      <c r="AO173" s="600"/>
      <c r="AP173" s="600"/>
      <c r="AQ173" s="600"/>
      <c r="AR173" s="600"/>
      <c r="AS173" s="600"/>
      <c r="AT173" s="600"/>
      <c r="AU173" s="600"/>
      <c r="AV173" s="600"/>
      <c r="AW173" s="482"/>
      <c r="AX173" s="482"/>
      <c r="AY173" s="482"/>
      <c r="AZ173" s="482"/>
      <c r="BA173" s="343"/>
      <c r="BB173" s="343"/>
      <c r="BC173" s="343"/>
      <c r="BD173" s="343"/>
      <c r="BE173" s="343"/>
      <c r="BF173" s="343"/>
      <c r="BG173" s="343"/>
      <c r="BH173" s="343"/>
      <c r="BI173" s="343"/>
      <c r="BJ173" s="343"/>
      <c r="BK173" s="343"/>
      <c r="BL173" s="343"/>
      <c r="BM173" s="343"/>
      <c r="BN173" s="343"/>
      <c r="BO173" s="343"/>
      <c r="BP173" s="343"/>
      <c r="BQ173" s="343"/>
      <c r="BR173" s="343"/>
      <c r="BS173" s="343"/>
      <c r="BT173" s="343"/>
      <c r="BU173" s="343"/>
      <c r="BV173" s="343"/>
      <c r="BW173" s="343"/>
      <c r="BX173" s="343"/>
    </row>
    <row r="174" spans="1:76" s="25" customFormat="1">
      <c r="A174" s="343"/>
      <c r="B174" s="343"/>
      <c r="C174" s="115"/>
      <c r="D174" s="123"/>
      <c r="E174" s="232"/>
      <c r="F174" s="232"/>
      <c r="G174" s="115"/>
      <c r="H174" s="115"/>
      <c r="I174" s="115"/>
      <c r="J174" s="115"/>
      <c r="K174" s="232"/>
      <c r="L174" s="232"/>
      <c r="M174" s="660"/>
      <c r="N174" s="355"/>
      <c r="O174" s="355"/>
      <c r="P174" s="355"/>
      <c r="Q174" s="355"/>
      <c r="R174" s="600"/>
      <c r="S174" s="600"/>
      <c r="T174" s="600"/>
      <c r="U174" s="600"/>
      <c r="V174" s="600"/>
      <c r="W174" s="600"/>
      <c r="X174" s="600"/>
      <c r="Y174" s="600"/>
      <c r="Z174" s="600"/>
      <c r="AA174" s="482"/>
      <c r="AB174" s="482"/>
      <c r="AC174" s="482"/>
      <c r="AD174" s="600">
        <v>163</v>
      </c>
      <c r="AE174" s="482"/>
      <c r="AF174" s="600"/>
      <c r="AG174" s="600"/>
      <c r="AH174" s="600"/>
      <c r="AI174" s="600"/>
      <c r="AJ174" s="600"/>
      <c r="AK174" s="600"/>
      <c r="AL174" s="600"/>
      <c r="AM174" s="600"/>
      <c r="AN174" s="600"/>
      <c r="AO174" s="600"/>
      <c r="AP174" s="600"/>
      <c r="AQ174" s="600"/>
      <c r="AR174" s="600"/>
      <c r="AS174" s="600"/>
      <c r="AT174" s="600"/>
      <c r="AU174" s="600"/>
      <c r="AV174" s="600"/>
      <c r="AW174" s="482"/>
      <c r="AX174" s="482"/>
      <c r="AY174" s="482"/>
      <c r="AZ174" s="482"/>
      <c r="BA174" s="343"/>
      <c r="BB174" s="343"/>
      <c r="BC174" s="343"/>
      <c r="BD174" s="343"/>
      <c r="BE174" s="343"/>
      <c r="BF174" s="343"/>
      <c r="BG174" s="343"/>
      <c r="BH174" s="343"/>
      <c r="BI174" s="343"/>
      <c r="BJ174" s="343"/>
      <c r="BK174" s="343"/>
      <c r="BL174" s="343"/>
      <c r="BM174" s="343"/>
      <c r="BN174" s="343"/>
      <c r="BO174" s="343"/>
      <c r="BP174" s="343"/>
      <c r="BQ174" s="343"/>
      <c r="BR174" s="343"/>
      <c r="BS174" s="343"/>
      <c r="BT174" s="343"/>
      <c r="BU174" s="343"/>
      <c r="BV174" s="343"/>
      <c r="BW174" s="343"/>
      <c r="BX174" s="343"/>
    </row>
    <row r="175" spans="1:76" s="25" customFormat="1">
      <c r="A175" s="343"/>
      <c r="B175" s="343"/>
      <c r="C175" s="115"/>
      <c r="D175" s="123"/>
      <c r="E175" s="232"/>
      <c r="F175" s="232"/>
      <c r="G175" s="115"/>
      <c r="H175" s="115"/>
      <c r="I175" s="115"/>
      <c r="J175" s="115"/>
      <c r="K175" s="232"/>
      <c r="L175" s="232"/>
      <c r="M175" s="660"/>
      <c r="N175" s="355"/>
      <c r="O175" s="355"/>
      <c r="P175" s="355"/>
      <c r="Q175" s="355"/>
      <c r="R175" s="600"/>
      <c r="S175" s="600"/>
      <c r="T175" s="600"/>
      <c r="U175" s="600"/>
      <c r="V175" s="600"/>
      <c r="W175" s="600"/>
      <c r="X175" s="600"/>
      <c r="Y175" s="600"/>
      <c r="Z175" s="600"/>
      <c r="AA175" s="482"/>
      <c r="AB175" s="482"/>
      <c r="AC175" s="482"/>
      <c r="AD175" s="600">
        <v>164</v>
      </c>
      <c r="AE175" s="482"/>
      <c r="AF175" s="600"/>
      <c r="AG175" s="600"/>
      <c r="AH175" s="600"/>
      <c r="AI175" s="600"/>
      <c r="AJ175" s="600"/>
      <c r="AK175" s="600"/>
      <c r="AL175" s="600"/>
      <c r="AM175" s="600"/>
      <c r="AN175" s="600"/>
      <c r="AO175" s="600"/>
      <c r="AP175" s="600"/>
      <c r="AQ175" s="600"/>
      <c r="AR175" s="600"/>
      <c r="AS175" s="600"/>
      <c r="AT175" s="600"/>
      <c r="AU175" s="600"/>
      <c r="AV175" s="600"/>
      <c r="AW175" s="482"/>
      <c r="AX175" s="482"/>
      <c r="AY175" s="482"/>
      <c r="AZ175" s="482"/>
      <c r="BA175" s="343"/>
      <c r="BB175" s="343"/>
      <c r="BC175" s="343"/>
      <c r="BD175" s="343"/>
      <c r="BE175" s="343"/>
      <c r="BF175" s="343"/>
      <c r="BG175" s="343"/>
      <c r="BH175" s="343"/>
      <c r="BI175" s="343"/>
      <c r="BJ175" s="343"/>
      <c r="BK175" s="343"/>
      <c r="BL175" s="343"/>
      <c r="BM175" s="343"/>
      <c r="BN175" s="343"/>
      <c r="BO175" s="343"/>
      <c r="BP175" s="343"/>
      <c r="BQ175" s="343"/>
      <c r="BR175" s="343"/>
      <c r="BS175" s="343"/>
      <c r="BT175" s="343"/>
      <c r="BU175" s="343"/>
      <c r="BV175" s="343"/>
      <c r="BW175" s="343"/>
      <c r="BX175" s="343"/>
    </row>
    <row r="176" spans="1:76" s="25" customFormat="1">
      <c r="A176" s="343"/>
      <c r="B176" s="343"/>
      <c r="C176" s="115"/>
      <c r="D176" s="123"/>
      <c r="E176" s="232"/>
      <c r="F176" s="232"/>
      <c r="G176" s="115"/>
      <c r="H176" s="115"/>
      <c r="I176" s="115"/>
      <c r="J176" s="115"/>
      <c r="K176" s="232"/>
      <c r="L176" s="232"/>
      <c r="M176" s="660"/>
      <c r="N176" s="355"/>
      <c r="O176" s="355"/>
      <c r="P176" s="355"/>
      <c r="Q176" s="355"/>
      <c r="R176" s="600"/>
      <c r="S176" s="600"/>
      <c r="T176" s="600"/>
      <c r="U176" s="600"/>
      <c r="V176" s="600"/>
      <c r="W176" s="600"/>
      <c r="X176" s="600"/>
      <c r="Y176" s="600"/>
      <c r="Z176" s="600"/>
      <c r="AA176" s="482"/>
      <c r="AB176" s="482"/>
      <c r="AC176" s="482"/>
      <c r="AD176" s="600">
        <v>165</v>
      </c>
      <c r="AE176" s="482"/>
      <c r="AF176" s="600"/>
      <c r="AG176" s="600"/>
      <c r="AH176" s="600"/>
      <c r="AI176" s="600"/>
      <c r="AJ176" s="600"/>
      <c r="AK176" s="600"/>
      <c r="AL176" s="600"/>
      <c r="AM176" s="600"/>
      <c r="AN176" s="600"/>
      <c r="AO176" s="600"/>
      <c r="AP176" s="600"/>
      <c r="AQ176" s="600"/>
      <c r="AR176" s="600"/>
      <c r="AS176" s="600"/>
      <c r="AT176" s="600"/>
      <c r="AU176" s="600"/>
      <c r="AV176" s="600"/>
      <c r="AW176" s="482"/>
      <c r="AX176" s="482"/>
      <c r="AY176" s="482"/>
      <c r="AZ176" s="482"/>
      <c r="BA176" s="343"/>
      <c r="BB176" s="343"/>
      <c r="BC176" s="343"/>
      <c r="BD176" s="343"/>
      <c r="BE176" s="343"/>
      <c r="BF176" s="343"/>
      <c r="BG176" s="343"/>
      <c r="BH176" s="343"/>
      <c r="BI176" s="343"/>
      <c r="BJ176" s="343"/>
      <c r="BK176" s="343"/>
      <c r="BL176" s="343"/>
      <c r="BM176" s="343"/>
      <c r="BN176" s="343"/>
      <c r="BO176" s="343"/>
      <c r="BP176" s="343"/>
      <c r="BQ176" s="343"/>
      <c r="BR176" s="343"/>
      <c r="BS176" s="343"/>
      <c r="BT176" s="343"/>
      <c r="BU176" s="343"/>
      <c r="BV176" s="343"/>
      <c r="BW176" s="343"/>
      <c r="BX176" s="343"/>
    </row>
    <row r="177" spans="1:76" s="25" customFormat="1">
      <c r="A177" s="343"/>
      <c r="B177" s="343"/>
      <c r="C177" s="115"/>
      <c r="D177" s="123"/>
      <c r="E177" s="232"/>
      <c r="F177" s="232"/>
      <c r="G177" s="115"/>
      <c r="H177" s="115"/>
      <c r="I177" s="115"/>
      <c r="J177" s="115"/>
      <c r="K177" s="232"/>
      <c r="L177" s="232"/>
      <c r="M177" s="660"/>
      <c r="N177" s="355"/>
      <c r="O177" s="355"/>
      <c r="P177" s="355"/>
      <c r="Q177" s="355"/>
      <c r="R177" s="600"/>
      <c r="S177" s="600"/>
      <c r="T177" s="600"/>
      <c r="U177" s="600"/>
      <c r="V177" s="600"/>
      <c r="W177" s="600"/>
      <c r="X177" s="600"/>
      <c r="Y177" s="600"/>
      <c r="Z177" s="600"/>
      <c r="AA177" s="482"/>
      <c r="AB177" s="482"/>
      <c r="AC177" s="482"/>
      <c r="AD177" s="600">
        <v>166</v>
      </c>
      <c r="AE177" s="482"/>
      <c r="AF177" s="600"/>
      <c r="AG177" s="600"/>
      <c r="AH177" s="600"/>
      <c r="AI177" s="600"/>
      <c r="AJ177" s="600"/>
      <c r="AK177" s="600"/>
      <c r="AL177" s="600"/>
      <c r="AM177" s="600"/>
      <c r="AN177" s="600"/>
      <c r="AO177" s="600"/>
      <c r="AP177" s="600"/>
      <c r="AQ177" s="600"/>
      <c r="AR177" s="600"/>
      <c r="AS177" s="600"/>
      <c r="AT177" s="600"/>
      <c r="AU177" s="600"/>
      <c r="AV177" s="600"/>
      <c r="AW177" s="482"/>
      <c r="AX177" s="482"/>
      <c r="AY177" s="482"/>
      <c r="AZ177" s="482"/>
      <c r="BA177" s="343"/>
      <c r="BB177" s="343"/>
      <c r="BC177" s="343"/>
      <c r="BD177" s="343"/>
      <c r="BE177" s="343"/>
      <c r="BF177" s="343"/>
      <c r="BG177" s="343"/>
      <c r="BH177" s="343"/>
      <c r="BI177" s="343"/>
      <c r="BJ177" s="343"/>
      <c r="BK177" s="343"/>
      <c r="BL177" s="343"/>
      <c r="BM177" s="343"/>
      <c r="BN177" s="343"/>
      <c r="BO177" s="343"/>
      <c r="BP177" s="343"/>
      <c r="BQ177" s="343"/>
      <c r="BR177" s="343"/>
      <c r="BS177" s="343"/>
      <c r="BT177" s="343"/>
      <c r="BU177" s="343"/>
      <c r="BV177" s="343"/>
      <c r="BW177" s="343"/>
      <c r="BX177" s="343"/>
    </row>
    <row r="178" spans="1:76" s="25" customFormat="1">
      <c r="A178" s="343"/>
      <c r="B178" s="343"/>
      <c r="C178" s="115"/>
      <c r="D178" s="123"/>
      <c r="E178" s="232"/>
      <c r="F178" s="232"/>
      <c r="G178" s="115"/>
      <c r="H178" s="115"/>
      <c r="I178" s="115"/>
      <c r="J178" s="115"/>
      <c r="K178" s="232"/>
      <c r="L178" s="232"/>
      <c r="M178" s="660"/>
      <c r="N178" s="355"/>
      <c r="O178" s="355"/>
      <c r="P178" s="355"/>
      <c r="Q178" s="355"/>
      <c r="R178" s="600"/>
      <c r="S178" s="600"/>
      <c r="T178" s="600"/>
      <c r="U178" s="600"/>
      <c r="V178" s="600"/>
      <c r="W178" s="600"/>
      <c r="X178" s="600"/>
      <c r="Y178" s="600"/>
      <c r="Z178" s="600"/>
      <c r="AA178" s="482"/>
      <c r="AB178" s="482"/>
      <c r="AC178" s="482"/>
      <c r="AD178" s="600">
        <v>167</v>
      </c>
      <c r="AE178" s="482"/>
      <c r="AF178" s="600"/>
      <c r="AG178" s="600"/>
      <c r="AH178" s="600"/>
      <c r="AI178" s="600"/>
      <c r="AJ178" s="600"/>
      <c r="AK178" s="600"/>
      <c r="AL178" s="600"/>
      <c r="AM178" s="600"/>
      <c r="AN178" s="600"/>
      <c r="AO178" s="600"/>
      <c r="AP178" s="600"/>
      <c r="AQ178" s="600"/>
      <c r="AR178" s="600"/>
      <c r="AS178" s="600"/>
      <c r="AT178" s="600"/>
      <c r="AU178" s="600"/>
      <c r="AV178" s="600"/>
      <c r="AW178" s="482"/>
      <c r="AX178" s="482"/>
      <c r="AY178" s="482"/>
      <c r="AZ178" s="482"/>
      <c r="BA178" s="343"/>
      <c r="BB178" s="343"/>
      <c r="BC178" s="343"/>
      <c r="BD178" s="343"/>
      <c r="BE178" s="343"/>
      <c r="BF178" s="343"/>
      <c r="BG178" s="343"/>
      <c r="BH178" s="343"/>
      <c r="BI178" s="343"/>
      <c r="BJ178" s="343"/>
      <c r="BK178" s="343"/>
      <c r="BL178" s="343"/>
      <c r="BM178" s="343"/>
      <c r="BN178" s="343"/>
      <c r="BO178" s="343"/>
      <c r="BP178" s="343"/>
      <c r="BQ178" s="343"/>
      <c r="BR178" s="343"/>
      <c r="BS178" s="343"/>
      <c r="BT178" s="343"/>
      <c r="BU178" s="343"/>
      <c r="BV178" s="343"/>
      <c r="BW178" s="343"/>
      <c r="BX178" s="343"/>
    </row>
    <row r="179" spans="1:76" s="25" customFormat="1">
      <c r="A179" s="343"/>
      <c r="B179" s="343"/>
      <c r="C179" s="115"/>
      <c r="D179" s="123"/>
      <c r="E179" s="232"/>
      <c r="F179" s="232"/>
      <c r="G179" s="115"/>
      <c r="H179" s="115"/>
      <c r="I179" s="115"/>
      <c r="J179" s="115"/>
      <c r="K179" s="232"/>
      <c r="L179" s="232"/>
      <c r="M179" s="660"/>
      <c r="N179" s="355"/>
      <c r="O179" s="355"/>
      <c r="P179" s="355"/>
      <c r="Q179" s="355"/>
      <c r="R179" s="600"/>
      <c r="S179" s="600"/>
      <c r="T179" s="600"/>
      <c r="U179" s="600"/>
      <c r="V179" s="600"/>
      <c r="W179" s="600"/>
      <c r="X179" s="600"/>
      <c r="Y179" s="600"/>
      <c r="Z179" s="600"/>
      <c r="AA179" s="482"/>
      <c r="AB179" s="482"/>
      <c r="AC179" s="482"/>
      <c r="AD179" s="600">
        <v>168</v>
      </c>
      <c r="AE179" s="482"/>
      <c r="AF179" s="600"/>
      <c r="AG179" s="600"/>
      <c r="AH179" s="600"/>
      <c r="AI179" s="600"/>
      <c r="AJ179" s="600"/>
      <c r="AK179" s="600"/>
      <c r="AL179" s="600"/>
      <c r="AM179" s="600"/>
      <c r="AN179" s="600"/>
      <c r="AO179" s="600"/>
      <c r="AP179" s="600"/>
      <c r="AQ179" s="600"/>
      <c r="AR179" s="600"/>
      <c r="AS179" s="600"/>
      <c r="AT179" s="600"/>
      <c r="AU179" s="600"/>
      <c r="AV179" s="600"/>
      <c r="AW179" s="482"/>
      <c r="AX179" s="482"/>
      <c r="AY179" s="482"/>
      <c r="AZ179" s="482"/>
      <c r="BA179" s="343"/>
      <c r="BB179" s="343"/>
      <c r="BC179" s="343"/>
      <c r="BD179" s="343"/>
      <c r="BE179" s="343"/>
      <c r="BF179" s="343"/>
      <c r="BG179" s="343"/>
      <c r="BH179" s="343"/>
      <c r="BI179" s="343"/>
      <c r="BJ179" s="343"/>
      <c r="BK179" s="343"/>
      <c r="BL179" s="343"/>
      <c r="BM179" s="343"/>
      <c r="BN179" s="343"/>
      <c r="BO179" s="343"/>
      <c r="BP179" s="343"/>
      <c r="BQ179" s="343"/>
      <c r="BR179" s="343"/>
      <c r="BS179" s="343"/>
      <c r="BT179" s="343"/>
      <c r="BU179" s="343"/>
      <c r="BV179" s="343"/>
      <c r="BW179" s="343"/>
      <c r="BX179" s="343"/>
    </row>
    <row r="180" spans="1:76" s="25" customFormat="1">
      <c r="A180" s="343"/>
      <c r="B180" s="343"/>
      <c r="C180" s="115"/>
      <c r="D180" s="123"/>
      <c r="E180" s="232"/>
      <c r="F180" s="232"/>
      <c r="G180" s="115"/>
      <c r="H180" s="115"/>
      <c r="I180" s="115"/>
      <c r="J180" s="115"/>
      <c r="K180" s="232"/>
      <c r="L180" s="232"/>
      <c r="M180" s="660"/>
      <c r="N180" s="355"/>
      <c r="O180" s="355"/>
      <c r="P180" s="355"/>
      <c r="Q180" s="355"/>
      <c r="R180" s="600"/>
      <c r="S180" s="600"/>
      <c r="T180" s="600"/>
      <c r="U180" s="600"/>
      <c r="V180" s="600"/>
      <c r="W180" s="600"/>
      <c r="X180" s="600"/>
      <c r="Y180" s="600"/>
      <c r="Z180" s="600"/>
      <c r="AA180" s="482"/>
      <c r="AB180" s="482"/>
      <c r="AC180" s="482"/>
      <c r="AD180" s="600">
        <v>169</v>
      </c>
      <c r="AE180" s="482"/>
      <c r="AF180" s="600"/>
      <c r="AG180" s="600"/>
      <c r="AH180" s="600"/>
      <c r="AI180" s="600"/>
      <c r="AJ180" s="600"/>
      <c r="AK180" s="600"/>
      <c r="AL180" s="600"/>
      <c r="AM180" s="600"/>
      <c r="AN180" s="600"/>
      <c r="AO180" s="600"/>
      <c r="AP180" s="600"/>
      <c r="AQ180" s="600"/>
      <c r="AR180" s="600"/>
      <c r="AS180" s="600"/>
      <c r="AT180" s="600"/>
      <c r="AU180" s="600"/>
      <c r="AV180" s="600"/>
      <c r="AW180" s="482"/>
      <c r="AX180" s="482"/>
      <c r="AY180" s="482"/>
      <c r="AZ180" s="482"/>
      <c r="BA180" s="343"/>
      <c r="BB180" s="343"/>
      <c r="BC180" s="343"/>
      <c r="BD180" s="343"/>
      <c r="BE180" s="343"/>
      <c r="BF180" s="343"/>
      <c r="BG180" s="343"/>
      <c r="BH180" s="343"/>
      <c r="BI180" s="343"/>
      <c r="BJ180" s="343"/>
      <c r="BK180" s="343"/>
      <c r="BL180" s="343"/>
      <c r="BM180" s="343"/>
      <c r="BN180" s="343"/>
      <c r="BO180" s="343"/>
      <c r="BP180" s="343"/>
      <c r="BQ180" s="343"/>
      <c r="BR180" s="343"/>
      <c r="BS180" s="343"/>
      <c r="BT180" s="343"/>
      <c r="BU180" s="343"/>
      <c r="BV180" s="343"/>
      <c r="BW180" s="343"/>
      <c r="BX180" s="343"/>
    </row>
    <row r="181" spans="1:76" s="25" customFormat="1">
      <c r="A181" s="343"/>
      <c r="B181" s="343"/>
      <c r="C181" s="115"/>
      <c r="D181" s="123"/>
      <c r="E181" s="232"/>
      <c r="F181" s="232"/>
      <c r="G181" s="115"/>
      <c r="H181" s="115"/>
      <c r="I181" s="115"/>
      <c r="J181" s="115"/>
      <c r="K181" s="232"/>
      <c r="L181" s="232"/>
      <c r="M181" s="660"/>
      <c r="N181" s="355"/>
      <c r="O181" s="355"/>
      <c r="P181" s="355"/>
      <c r="Q181" s="355"/>
      <c r="R181" s="600"/>
      <c r="S181" s="600"/>
      <c r="T181" s="600"/>
      <c r="U181" s="600"/>
      <c r="V181" s="600"/>
      <c r="W181" s="600"/>
      <c r="X181" s="600"/>
      <c r="Y181" s="600"/>
      <c r="Z181" s="600"/>
      <c r="AA181" s="482"/>
      <c r="AB181" s="482"/>
      <c r="AC181" s="482"/>
      <c r="AD181" s="600">
        <v>170</v>
      </c>
      <c r="AE181" s="482"/>
      <c r="AF181" s="600"/>
      <c r="AG181" s="600"/>
      <c r="AH181" s="600"/>
      <c r="AI181" s="600"/>
      <c r="AJ181" s="600"/>
      <c r="AK181" s="600"/>
      <c r="AL181" s="600"/>
      <c r="AM181" s="600"/>
      <c r="AN181" s="600"/>
      <c r="AO181" s="600"/>
      <c r="AP181" s="600"/>
      <c r="AQ181" s="600"/>
      <c r="AR181" s="600"/>
      <c r="AS181" s="600"/>
      <c r="AT181" s="600"/>
      <c r="AU181" s="600"/>
      <c r="AV181" s="600"/>
      <c r="AW181" s="482"/>
      <c r="AX181" s="482"/>
      <c r="AY181" s="482"/>
      <c r="AZ181" s="482"/>
      <c r="BA181" s="343"/>
      <c r="BB181" s="343"/>
      <c r="BC181" s="343"/>
      <c r="BD181" s="343"/>
      <c r="BE181" s="343"/>
      <c r="BF181" s="343"/>
      <c r="BG181" s="343"/>
      <c r="BH181" s="343"/>
      <c r="BI181" s="343"/>
      <c r="BJ181" s="343"/>
      <c r="BK181" s="343"/>
      <c r="BL181" s="343"/>
      <c r="BM181" s="343"/>
      <c r="BN181" s="343"/>
      <c r="BO181" s="343"/>
      <c r="BP181" s="343"/>
      <c r="BQ181" s="343"/>
      <c r="BR181" s="343"/>
      <c r="BS181" s="343"/>
      <c r="BT181" s="343"/>
      <c r="BU181" s="343"/>
      <c r="BV181" s="343"/>
      <c r="BW181" s="343"/>
      <c r="BX181" s="343"/>
    </row>
    <row r="182" spans="1:76" s="25" customFormat="1">
      <c r="A182" s="343"/>
      <c r="B182" s="343"/>
      <c r="C182" s="115"/>
      <c r="D182" s="123"/>
      <c r="E182" s="232"/>
      <c r="F182" s="232"/>
      <c r="G182" s="115"/>
      <c r="H182" s="115"/>
      <c r="I182" s="115"/>
      <c r="J182" s="115"/>
      <c r="K182" s="232"/>
      <c r="L182" s="232"/>
      <c r="M182" s="660"/>
      <c r="N182" s="355"/>
      <c r="O182" s="355"/>
      <c r="P182" s="355"/>
      <c r="Q182" s="355"/>
      <c r="R182" s="600"/>
      <c r="S182" s="600"/>
      <c r="T182" s="600"/>
      <c r="U182" s="600"/>
      <c r="V182" s="600"/>
      <c r="W182" s="600"/>
      <c r="X182" s="600"/>
      <c r="Y182" s="600"/>
      <c r="Z182" s="600"/>
      <c r="AA182" s="482"/>
      <c r="AB182" s="482"/>
      <c r="AC182" s="482"/>
      <c r="AD182" s="600">
        <v>171</v>
      </c>
      <c r="AE182" s="482"/>
      <c r="AF182" s="600"/>
      <c r="AG182" s="600"/>
      <c r="AH182" s="600"/>
      <c r="AI182" s="600"/>
      <c r="AJ182" s="600"/>
      <c r="AK182" s="600"/>
      <c r="AL182" s="600"/>
      <c r="AM182" s="600"/>
      <c r="AN182" s="600"/>
      <c r="AO182" s="600"/>
      <c r="AP182" s="600"/>
      <c r="AQ182" s="600"/>
      <c r="AR182" s="600"/>
      <c r="AS182" s="600"/>
      <c r="AT182" s="600"/>
      <c r="AU182" s="600"/>
      <c r="AV182" s="600"/>
      <c r="AW182" s="482"/>
      <c r="AX182" s="482"/>
      <c r="AY182" s="482"/>
      <c r="AZ182" s="482"/>
      <c r="BA182" s="343"/>
      <c r="BB182" s="343"/>
      <c r="BC182" s="343"/>
      <c r="BD182" s="343"/>
      <c r="BE182" s="343"/>
      <c r="BF182" s="343"/>
      <c r="BG182" s="343"/>
      <c r="BH182" s="343"/>
      <c r="BI182" s="343"/>
      <c r="BJ182" s="343"/>
      <c r="BK182" s="343"/>
      <c r="BL182" s="343"/>
      <c r="BM182" s="343"/>
      <c r="BN182" s="343"/>
      <c r="BO182" s="343"/>
      <c r="BP182" s="343"/>
      <c r="BQ182" s="343"/>
      <c r="BR182" s="343"/>
      <c r="BS182" s="343"/>
      <c r="BT182" s="343"/>
      <c r="BU182" s="343"/>
      <c r="BV182" s="343"/>
      <c r="BW182" s="343"/>
      <c r="BX182" s="343"/>
    </row>
    <row r="183" spans="1:76" s="25" customFormat="1">
      <c r="A183" s="343"/>
      <c r="B183" s="343"/>
      <c r="C183" s="115"/>
      <c r="D183" s="123"/>
      <c r="E183" s="232"/>
      <c r="F183" s="232"/>
      <c r="G183" s="115"/>
      <c r="H183" s="115"/>
      <c r="I183" s="115"/>
      <c r="J183" s="115"/>
      <c r="K183" s="232"/>
      <c r="L183" s="232"/>
      <c r="M183" s="660"/>
      <c r="N183" s="355"/>
      <c r="O183" s="355"/>
      <c r="P183" s="355"/>
      <c r="Q183" s="355"/>
      <c r="R183" s="600"/>
      <c r="S183" s="600"/>
      <c r="T183" s="600"/>
      <c r="U183" s="600"/>
      <c r="V183" s="600"/>
      <c r="W183" s="600"/>
      <c r="X183" s="600"/>
      <c r="Y183" s="600"/>
      <c r="Z183" s="600"/>
      <c r="AA183" s="482"/>
      <c r="AB183" s="482"/>
      <c r="AC183" s="482"/>
      <c r="AD183" s="600">
        <v>172</v>
      </c>
      <c r="AE183" s="482"/>
      <c r="AF183" s="600"/>
      <c r="AG183" s="600"/>
      <c r="AH183" s="600"/>
      <c r="AI183" s="600"/>
      <c r="AJ183" s="600"/>
      <c r="AK183" s="600"/>
      <c r="AL183" s="600"/>
      <c r="AM183" s="600"/>
      <c r="AN183" s="600"/>
      <c r="AO183" s="600"/>
      <c r="AP183" s="600"/>
      <c r="AQ183" s="600"/>
      <c r="AR183" s="600"/>
      <c r="AS183" s="600"/>
      <c r="AT183" s="600"/>
      <c r="AU183" s="600"/>
      <c r="AV183" s="600"/>
      <c r="AW183" s="482"/>
      <c r="AX183" s="482"/>
      <c r="AY183" s="482"/>
      <c r="AZ183" s="482"/>
      <c r="BA183" s="343"/>
      <c r="BB183" s="343"/>
      <c r="BC183" s="343"/>
      <c r="BD183" s="343"/>
      <c r="BE183" s="343"/>
      <c r="BF183" s="343"/>
      <c r="BG183" s="343"/>
      <c r="BH183" s="343"/>
      <c r="BI183" s="343"/>
      <c r="BJ183" s="343"/>
      <c r="BK183" s="343"/>
      <c r="BL183" s="343"/>
      <c r="BM183" s="343"/>
      <c r="BN183" s="343"/>
      <c r="BO183" s="343"/>
      <c r="BP183" s="343"/>
      <c r="BQ183" s="343"/>
      <c r="BR183" s="343"/>
      <c r="BS183" s="343"/>
      <c r="BT183" s="343"/>
      <c r="BU183" s="343"/>
      <c r="BV183" s="343"/>
      <c r="BW183" s="343"/>
      <c r="BX183" s="343"/>
    </row>
    <row r="184" spans="1:76" s="25" customFormat="1">
      <c r="A184" s="343"/>
      <c r="B184" s="343"/>
      <c r="C184" s="115"/>
      <c r="D184" s="123"/>
      <c r="E184" s="232"/>
      <c r="F184" s="232"/>
      <c r="G184" s="115"/>
      <c r="H184" s="115"/>
      <c r="I184" s="115"/>
      <c r="J184" s="115"/>
      <c r="K184" s="232"/>
      <c r="L184" s="232"/>
      <c r="M184" s="660"/>
      <c r="N184" s="355"/>
      <c r="O184" s="355"/>
      <c r="P184" s="355"/>
      <c r="Q184" s="355"/>
      <c r="R184" s="600"/>
      <c r="S184" s="600"/>
      <c r="T184" s="600"/>
      <c r="U184" s="600"/>
      <c r="V184" s="600"/>
      <c r="W184" s="600"/>
      <c r="X184" s="600"/>
      <c r="Y184" s="600"/>
      <c r="Z184" s="600"/>
      <c r="AA184" s="482"/>
      <c r="AB184" s="482"/>
      <c r="AC184" s="482"/>
      <c r="AD184" s="600">
        <v>173</v>
      </c>
      <c r="AE184" s="482"/>
      <c r="AF184" s="600"/>
      <c r="AG184" s="600"/>
      <c r="AH184" s="600"/>
      <c r="AI184" s="600"/>
      <c r="AJ184" s="600"/>
      <c r="AK184" s="600"/>
      <c r="AL184" s="600"/>
      <c r="AM184" s="600"/>
      <c r="AN184" s="600"/>
      <c r="AO184" s="600"/>
      <c r="AP184" s="600"/>
      <c r="AQ184" s="600"/>
      <c r="AR184" s="600"/>
      <c r="AS184" s="600"/>
      <c r="AT184" s="600"/>
      <c r="AU184" s="600"/>
      <c r="AV184" s="600"/>
      <c r="AW184" s="482"/>
      <c r="AX184" s="482"/>
      <c r="AY184" s="482"/>
      <c r="AZ184" s="482"/>
      <c r="BA184" s="343"/>
      <c r="BB184" s="343"/>
      <c r="BC184" s="343"/>
      <c r="BD184" s="343"/>
      <c r="BE184" s="343"/>
      <c r="BF184" s="343"/>
      <c r="BG184" s="343"/>
      <c r="BH184" s="343"/>
      <c r="BI184" s="343"/>
      <c r="BJ184" s="343"/>
      <c r="BK184" s="343"/>
      <c r="BL184" s="343"/>
      <c r="BM184" s="343"/>
      <c r="BN184" s="343"/>
      <c r="BO184" s="343"/>
      <c r="BP184" s="343"/>
      <c r="BQ184" s="343"/>
      <c r="BR184" s="343"/>
      <c r="BS184" s="343"/>
      <c r="BT184" s="343"/>
      <c r="BU184" s="343"/>
      <c r="BV184" s="343"/>
      <c r="BW184" s="343"/>
      <c r="BX184" s="343"/>
    </row>
    <row r="185" spans="1:76" s="25" customFormat="1">
      <c r="A185" s="343"/>
      <c r="B185" s="343"/>
      <c r="C185" s="115"/>
      <c r="D185" s="123"/>
      <c r="E185" s="232"/>
      <c r="F185" s="232"/>
      <c r="G185" s="115"/>
      <c r="H185" s="115"/>
      <c r="I185" s="115"/>
      <c r="J185" s="115"/>
      <c r="K185" s="232"/>
      <c r="L185" s="232"/>
      <c r="M185" s="660"/>
      <c r="N185" s="355"/>
      <c r="O185" s="355"/>
      <c r="P185" s="355"/>
      <c r="Q185" s="355"/>
      <c r="R185" s="600"/>
      <c r="S185" s="600"/>
      <c r="T185" s="600"/>
      <c r="U185" s="600"/>
      <c r="V185" s="600"/>
      <c r="W185" s="600"/>
      <c r="X185" s="600"/>
      <c r="Y185" s="600"/>
      <c r="Z185" s="600"/>
      <c r="AA185" s="482"/>
      <c r="AB185" s="482"/>
      <c r="AC185" s="482"/>
      <c r="AD185" s="600">
        <v>174</v>
      </c>
      <c r="AE185" s="482"/>
      <c r="AF185" s="600"/>
      <c r="AG185" s="600"/>
      <c r="AH185" s="600"/>
      <c r="AI185" s="600"/>
      <c r="AJ185" s="600"/>
      <c r="AK185" s="600"/>
      <c r="AL185" s="600"/>
      <c r="AM185" s="600"/>
      <c r="AN185" s="600"/>
      <c r="AO185" s="600"/>
      <c r="AP185" s="600"/>
      <c r="AQ185" s="600"/>
      <c r="AR185" s="600"/>
      <c r="AS185" s="600"/>
      <c r="AT185" s="600"/>
      <c r="AU185" s="600"/>
      <c r="AV185" s="600"/>
      <c r="AW185" s="482"/>
      <c r="AX185" s="482"/>
      <c r="AY185" s="482"/>
      <c r="AZ185" s="482"/>
      <c r="BA185" s="343"/>
      <c r="BB185" s="343"/>
      <c r="BC185" s="343"/>
      <c r="BD185" s="343"/>
      <c r="BE185" s="343"/>
      <c r="BF185" s="343"/>
      <c r="BG185" s="343"/>
      <c r="BH185" s="343"/>
      <c r="BI185" s="343"/>
      <c r="BJ185" s="343"/>
      <c r="BK185" s="343"/>
      <c r="BL185" s="343"/>
      <c r="BM185" s="343"/>
      <c r="BN185" s="343"/>
      <c r="BO185" s="343"/>
      <c r="BP185" s="343"/>
      <c r="BQ185" s="343"/>
      <c r="BR185" s="343"/>
      <c r="BS185" s="343"/>
      <c r="BT185" s="343"/>
      <c r="BU185" s="343"/>
      <c r="BV185" s="343"/>
      <c r="BW185" s="343"/>
      <c r="BX185" s="343"/>
    </row>
    <row r="186" spans="1:76" s="25" customFormat="1">
      <c r="A186" s="343"/>
      <c r="B186" s="343"/>
      <c r="C186" s="115"/>
      <c r="D186" s="123"/>
      <c r="E186" s="232"/>
      <c r="F186" s="232"/>
      <c r="G186" s="115"/>
      <c r="H186" s="115"/>
      <c r="I186" s="115"/>
      <c r="J186" s="115"/>
      <c r="K186" s="232"/>
      <c r="L186" s="232"/>
      <c r="M186" s="660"/>
      <c r="N186" s="355"/>
      <c r="O186" s="355"/>
      <c r="P186" s="355"/>
      <c r="Q186" s="355"/>
      <c r="R186" s="600"/>
      <c r="S186" s="600"/>
      <c r="T186" s="600"/>
      <c r="U186" s="600"/>
      <c r="V186" s="600"/>
      <c r="W186" s="600"/>
      <c r="X186" s="600"/>
      <c r="Y186" s="600"/>
      <c r="Z186" s="600"/>
      <c r="AA186" s="482"/>
      <c r="AB186" s="482"/>
      <c r="AC186" s="482"/>
      <c r="AD186" s="600">
        <v>175</v>
      </c>
      <c r="AE186" s="482"/>
      <c r="AF186" s="600"/>
      <c r="AG186" s="600"/>
      <c r="AH186" s="600"/>
      <c r="AI186" s="600"/>
      <c r="AJ186" s="600"/>
      <c r="AK186" s="600"/>
      <c r="AL186" s="600"/>
      <c r="AM186" s="600"/>
      <c r="AN186" s="600"/>
      <c r="AO186" s="600"/>
      <c r="AP186" s="600"/>
      <c r="AQ186" s="600"/>
      <c r="AR186" s="600"/>
      <c r="AS186" s="600"/>
      <c r="AT186" s="600"/>
      <c r="AU186" s="600"/>
      <c r="AV186" s="600"/>
      <c r="AW186" s="482"/>
      <c r="AX186" s="482"/>
      <c r="AY186" s="482"/>
      <c r="AZ186" s="482"/>
      <c r="BA186" s="343"/>
      <c r="BB186" s="343"/>
      <c r="BC186" s="343"/>
      <c r="BD186" s="343"/>
      <c r="BE186" s="343"/>
      <c r="BF186" s="343"/>
      <c r="BG186" s="343"/>
      <c r="BH186" s="343"/>
      <c r="BI186" s="343"/>
      <c r="BJ186" s="343"/>
      <c r="BK186" s="343"/>
      <c r="BL186" s="343"/>
      <c r="BM186" s="343"/>
      <c r="BN186" s="343"/>
      <c r="BO186" s="343"/>
      <c r="BP186" s="343"/>
      <c r="BQ186" s="343"/>
      <c r="BR186" s="343"/>
      <c r="BS186" s="343"/>
      <c r="BT186" s="343"/>
      <c r="BU186" s="343"/>
      <c r="BV186" s="343"/>
      <c r="BW186" s="343"/>
      <c r="BX186" s="343"/>
    </row>
    <row r="187" spans="1:76" s="25" customFormat="1">
      <c r="A187" s="343"/>
      <c r="B187" s="343"/>
      <c r="C187" s="115"/>
      <c r="D187" s="123"/>
      <c r="E187" s="232"/>
      <c r="F187" s="232"/>
      <c r="G187" s="115"/>
      <c r="H187" s="115"/>
      <c r="I187" s="115"/>
      <c r="J187" s="115"/>
      <c r="K187" s="232"/>
      <c r="L187" s="232"/>
      <c r="M187" s="660"/>
      <c r="N187" s="355"/>
      <c r="O187" s="355"/>
      <c r="P187" s="355"/>
      <c r="Q187" s="355"/>
      <c r="R187" s="600"/>
      <c r="S187" s="600"/>
      <c r="T187" s="600"/>
      <c r="U187" s="600"/>
      <c r="V187" s="600"/>
      <c r="W187" s="600"/>
      <c r="X187" s="600"/>
      <c r="Y187" s="600"/>
      <c r="Z187" s="600"/>
      <c r="AA187" s="482"/>
      <c r="AB187" s="482"/>
      <c r="AC187" s="482"/>
      <c r="AD187" s="600">
        <v>176</v>
      </c>
      <c r="AE187" s="482"/>
      <c r="AF187" s="600"/>
      <c r="AG187" s="600"/>
      <c r="AH187" s="600"/>
      <c r="AI187" s="600"/>
      <c r="AJ187" s="600"/>
      <c r="AK187" s="600"/>
      <c r="AL187" s="600"/>
      <c r="AM187" s="600"/>
      <c r="AN187" s="600"/>
      <c r="AO187" s="600"/>
      <c r="AP187" s="600"/>
      <c r="AQ187" s="600"/>
      <c r="AR187" s="600"/>
      <c r="AS187" s="600"/>
      <c r="AT187" s="600"/>
      <c r="AU187" s="600"/>
      <c r="AV187" s="600"/>
      <c r="AW187" s="482"/>
      <c r="AX187" s="482"/>
      <c r="AY187" s="482"/>
      <c r="AZ187" s="482"/>
      <c r="BA187" s="343"/>
      <c r="BB187" s="343"/>
      <c r="BC187" s="343"/>
      <c r="BD187" s="343"/>
      <c r="BE187" s="343"/>
      <c r="BF187" s="343"/>
      <c r="BG187" s="343"/>
      <c r="BH187" s="343"/>
      <c r="BI187" s="343"/>
      <c r="BJ187" s="343"/>
      <c r="BK187" s="343"/>
      <c r="BL187" s="343"/>
      <c r="BM187" s="343"/>
      <c r="BN187" s="343"/>
      <c r="BO187" s="343"/>
      <c r="BP187" s="343"/>
      <c r="BQ187" s="343"/>
      <c r="BR187" s="343"/>
      <c r="BS187" s="343"/>
      <c r="BT187" s="343"/>
      <c r="BU187" s="343"/>
      <c r="BV187" s="343"/>
      <c r="BW187" s="343"/>
      <c r="BX187" s="343"/>
    </row>
    <row r="188" spans="1:76" s="25" customFormat="1">
      <c r="A188" s="343"/>
      <c r="B188" s="343"/>
      <c r="C188" s="115"/>
      <c r="D188" s="123"/>
      <c r="E188" s="232"/>
      <c r="F188" s="232"/>
      <c r="G188" s="115"/>
      <c r="H188" s="115"/>
      <c r="I188" s="115"/>
      <c r="J188" s="115"/>
      <c r="K188" s="232"/>
      <c r="L188" s="232"/>
      <c r="M188" s="660"/>
      <c r="N188" s="355"/>
      <c r="O188" s="355"/>
      <c r="P188" s="355"/>
      <c r="Q188" s="355"/>
      <c r="R188" s="600"/>
      <c r="S188" s="600"/>
      <c r="T188" s="600"/>
      <c r="U188" s="600"/>
      <c r="V188" s="600"/>
      <c r="W188" s="600"/>
      <c r="X188" s="600"/>
      <c r="Y188" s="600"/>
      <c r="Z188" s="600"/>
      <c r="AA188" s="482"/>
      <c r="AB188" s="482"/>
      <c r="AC188" s="482"/>
      <c r="AD188" s="600">
        <v>177</v>
      </c>
      <c r="AE188" s="482"/>
      <c r="AF188" s="600"/>
      <c r="AG188" s="600"/>
      <c r="AH188" s="600"/>
      <c r="AI188" s="600"/>
      <c r="AJ188" s="600"/>
      <c r="AK188" s="600"/>
      <c r="AL188" s="600"/>
      <c r="AM188" s="600"/>
      <c r="AN188" s="600"/>
      <c r="AO188" s="600"/>
      <c r="AP188" s="600"/>
      <c r="AQ188" s="600"/>
      <c r="AR188" s="600"/>
      <c r="AS188" s="600"/>
      <c r="AT188" s="600"/>
      <c r="AU188" s="600"/>
      <c r="AV188" s="600"/>
      <c r="AW188" s="482"/>
      <c r="AX188" s="482"/>
      <c r="AY188" s="482"/>
      <c r="AZ188" s="482"/>
      <c r="BA188" s="343"/>
      <c r="BB188" s="343"/>
      <c r="BC188" s="343"/>
      <c r="BD188" s="343"/>
      <c r="BE188" s="343"/>
      <c r="BF188" s="343"/>
      <c r="BG188" s="343"/>
      <c r="BH188" s="343"/>
      <c r="BI188" s="343"/>
      <c r="BJ188" s="343"/>
      <c r="BK188" s="343"/>
      <c r="BL188" s="343"/>
      <c r="BM188" s="343"/>
      <c r="BN188" s="343"/>
      <c r="BO188" s="343"/>
      <c r="BP188" s="343"/>
      <c r="BQ188" s="343"/>
      <c r="BR188" s="343"/>
      <c r="BS188" s="343"/>
      <c r="BT188" s="343"/>
      <c r="BU188" s="343"/>
      <c r="BV188" s="343"/>
      <c r="BW188" s="343"/>
      <c r="BX188" s="343"/>
    </row>
    <row r="189" spans="1:76" s="25" customFormat="1">
      <c r="A189" s="343"/>
      <c r="B189" s="343"/>
      <c r="C189" s="115"/>
      <c r="D189" s="123"/>
      <c r="E189" s="232"/>
      <c r="F189" s="232"/>
      <c r="G189" s="115"/>
      <c r="H189" s="115"/>
      <c r="I189" s="115"/>
      <c r="J189" s="115"/>
      <c r="K189" s="232"/>
      <c r="L189" s="232"/>
      <c r="M189" s="660"/>
      <c r="N189" s="355"/>
      <c r="O189" s="355"/>
      <c r="P189" s="355"/>
      <c r="Q189" s="355"/>
      <c r="R189" s="600"/>
      <c r="S189" s="600"/>
      <c r="T189" s="600"/>
      <c r="U189" s="600"/>
      <c r="V189" s="600"/>
      <c r="W189" s="600"/>
      <c r="X189" s="600"/>
      <c r="Y189" s="600"/>
      <c r="Z189" s="600"/>
      <c r="AA189" s="482"/>
      <c r="AB189" s="482"/>
      <c r="AC189" s="482"/>
      <c r="AD189" s="600">
        <v>178</v>
      </c>
      <c r="AE189" s="482"/>
      <c r="AF189" s="600"/>
      <c r="AG189" s="600"/>
      <c r="AH189" s="600"/>
      <c r="AI189" s="600"/>
      <c r="AJ189" s="600"/>
      <c r="AK189" s="600"/>
      <c r="AL189" s="600"/>
      <c r="AM189" s="600"/>
      <c r="AN189" s="600"/>
      <c r="AO189" s="600"/>
      <c r="AP189" s="600"/>
      <c r="AQ189" s="600"/>
      <c r="AR189" s="600"/>
      <c r="AS189" s="600"/>
      <c r="AT189" s="600"/>
      <c r="AU189" s="600"/>
      <c r="AV189" s="600"/>
      <c r="AW189" s="482"/>
      <c r="AX189" s="482"/>
      <c r="AY189" s="482"/>
      <c r="AZ189" s="482"/>
      <c r="BA189" s="343"/>
      <c r="BB189" s="343"/>
      <c r="BC189" s="343"/>
      <c r="BD189" s="343"/>
      <c r="BE189" s="343"/>
      <c r="BF189" s="343"/>
      <c r="BG189" s="343"/>
      <c r="BH189" s="343"/>
      <c r="BI189" s="343"/>
      <c r="BJ189" s="343"/>
      <c r="BK189" s="343"/>
      <c r="BL189" s="343"/>
      <c r="BM189" s="343"/>
      <c r="BN189" s="343"/>
      <c r="BO189" s="343"/>
      <c r="BP189" s="343"/>
      <c r="BQ189" s="343"/>
      <c r="BR189" s="343"/>
      <c r="BS189" s="343"/>
      <c r="BT189" s="343"/>
      <c r="BU189" s="343"/>
      <c r="BV189" s="343"/>
      <c r="BW189" s="343"/>
      <c r="BX189" s="343"/>
    </row>
    <row r="190" spans="1:76" s="25" customFormat="1">
      <c r="A190" s="343"/>
      <c r="B190" s="343"/>
      <c r="C190" s="115"/>
      <c r="D190" s="123"/>
      <c r="E190" s="232"/>
      <c r="F190" s="232"/>
      <c r="G190" s="115"/>
      <c r="H190" s="115"/>
      <c r="I190" s="115"/>
      <c r="J190" s="115"/>
      <c r="K190" s="232"/>
      <c r="L190" s="232"/>
      <c r="M190" s="660"/>
      <c r="N190" s="355"/>
      <c r="O190" s="355"/>
      <c r="P190" s="355"/>
      <c r="Q190" s="355"/>
      <c r="R190" s="600"/>
      <c r="S190" s="600"/>
      <c r="T190" s="600"/>
      <c r="U190" s="600"/>
      <c r="V190" s="600"/>
      <c r="W190" s="600"/>
      <c r="X190" s="600"/>
      <c r="Y190" s="600"/>
      <c r="Z190" s="600"/>
      <c r="AA190" s="482"/>
      <c r="AB190" s="482"/>
      <c r="AC190" s="482"/>
      <c r="AD190" s="600">
        <v>179</v>
      </c>
      <c r="AE190" s="482"/>
      <c r="AF190" s="600"/>
      <c r="AG190" s="600"/>
      <c r="AH190" s="600"/>
      <c r="AI190" s="600"/>
      <c r="AJ190" s="600"/>
      <c r="AK190" s="600"/>
      <c r="AL190" s="600"/>
      <c r="AM190" s="600"/>
      <c r="AN190" s="600"/>
      <c r="AO190" s="600"/>
      <c r="AP190" s="600"/>
      <c r="AQ190" s="600"/>
      <c r="AR190" s="600"/>
      <c r="AS190" s="600"/>
      <c r="AT190" s="600"/>
      <c r="AU190" s="600"/>
      <c r="AV190" s="600"/>
      <c r="AW190" s="482"/>
      <c r="AX190" s="482"/>
      <c r="AY190" s="482"/>
      <c r="AZ190" s="482"/>
      <c r="BA190" s="343"/>
      <c r="BB190" s="343"/>
      <c r="BC190" s="343"/>
      <c r="BD190" s="343"/>
      <c r="BE190" s="343"/>
      <c r="BF190" s="343"/>
      <c r="BG190" s="343"/>
      <c r="BH190" s="343"/>
      <c r="BI190" s="343"/>
      <c r="BJ190" s="343"/>
      <c r="BK190" s="343"/>
      <c r="BL190" s="343"/>
      <c r="BM190" s="343"/>
      <c r="BN190" s="343"/>
      <c r="BO190" s="343"/>
      <c r="BP190" s="343"/>
      <c r="BQ190" s="343"/>
      <c r="BR190" s="343"/>
      <c r="BS190" s="343"/>
      <c r="BT190" s="343"/>
      <c r="BU190" s="343"/>
      <c r="BV190" s="343"/>
      <c r="BW190" s="343"/>
      <c r="BX190" s="343"/>
    </row>
    <row r="191" spans="1:76" s="25" customFormat="1">
      <c r="A191" s="343"/>
      <c r="B191" s="343"/>
      <c r="C191" s="115"/>
      <c r="D191" s="123"/>
      <c r="E191" s="232"/>
      <c r="F191" s="232"/>
      <c r="G191" s="115"/>
      <c r="H191" s="115"/>
      <c r="I191" s="115"/>
      <c r="J191" s="115"/>
      <c r="K191" s="232"/>
      <c r="L191" s="232"/>
      <c r="M191" s="660"/>
      <c r="N191" s="355"/>
      <c r="O191" s="355"/>
      <c r="P191" s="355"/>
      <c r="Q191" s="355"/>
      <c r="R191" s="600"/>
      <c r="S191" s="600"/>
      <c r="T191" s="600"/>
      <c r="U191" s="600"/>
      <c r="V191" s="600"/>
      <c r="W191" s="600"/>
      <c r="X191" s="600"/>
      <c r="Y191" s="600"/>
      <c r="Z191" s="600"/>
      <c r="AA191" s="482"/>
      <c r="AB191" s="482"/>
      <c r="AC191" s="482"/>
      <c r="AD191" s="600">
        <v>180</v>
      </c>
      <c r="AE191" s="482"/>
      <c r="AF191" s="600"/>
      <c r="AG191" s="600"/>
      <c r="AH191" s="600"/>
      <c r="AI191" s="600"/>
      <c r="AJ191" s="600"/>
      <c r="AK191" s="600"/>
      <c r="AL191" s="600"/>
      <c r="AM191" s="600"/>
      <c r="AN191" s="600"/>
      <c r="AO191" s="600"/>
      <c r="AP191" s="600"/>
      <c r="AQ191" s="600"/>
      <c r="AR191" s="600"/>
      <c r="AS191" s="600"/>
      <c r="AT191" s="600"/>
      <c r="AU191" s="600"/>
      <c r="AV191" s="600"/>
      <c r="AW191" s="482"/>
      <c r="AX191" s="482"/>
      <c r="AY191" s="482"/>
      <c r="AZ191" s="482"/>
      <c r="BA191" s="343"/>
      <c r="BB191" s="343"/>
      <c r="BC191" s="343"/>
      <c r="BD191" s="343"/>
      <c r="BE191" s="343"/>
      <c r="BF191" s="343"/>
      <c r="BG191" s="343"/>
      <c r="BH191" s="343"/>
      <c r="BI191" s="343"/>
      <c r="BJ191" s="343"/>
      <c r="BK191" s="343"/>
      <c r="BL191" s="343"/>
      <c r="BM191" s="343"/>
      <c r="BN191" s="343"/>
      <c r="BO191" s="343"/>
      <c r="BP191" s="343"/>
      <c r="BQ191" s="343"/>
      <c r="BR191" s="343"/>
      <c r="BS191" s="343"/>
      <c r="BT191" s="343"/>
      <c r="BU191" s="343"/>
      <c r="BV191" s="343"/>
      <c r="BW191" s="343"/>
      <c r="BX191" s="343"/>
    </row>
    <row r="192" spans="1:76" s="25" customFormat="1">
      <c r="A192" s="343"/>
      <c r="B192" s="343"/>
      <c r="C192" s="115"/>
      <c r="D192" s="123"/>
      <c r="E192" s="232"/>
      <c r="F192" s="232"/>
      <c r="G192" s="115"/>
      <c r="H192" s="115"/>
      <c r="I192" s="115"/>
      <c r="J192" s="115"/>
      <c r="K192" s="232"/>
      <c r="L192" s="232"/>
      <c r="M192" s="660"/>
      <c r="N192" s="355"/>
      <c r="O192" s="355"/>
      <c r="P192" s="355"/>
      <c r="Q192" s="355"/>
      <c r="R192" s="600"/>
      <c r="S192" s="600"/>
      <c r="T192" s="600"/>
      <c r="U192" s="600"/>
      <c r="V192" s="600"/>
      <c r="W192" s="600"/>
      <c r="X192" s="600"/>
      <c r="Y192" s="600"/>
      <c r="Z192" s="600"/>
      <c r="AA192" s="482"/>
      <c r="AB192" s="482"/>
      <c r="AC192" s="482"/>
      <c r="AD192" s="600">
        <v>181</v>
      </c>
      <c r="AE192" s="482"/>
      <c r="AF192" s="600"/>
      <c r="AG192" s="600"/>
      <c r="AH192" s="600"/>
      <c r="AI192" s="600"/>
      <c r="AJ192" s="600"/>
      <c r="AK192" s="600"/>
      <c r="AL192" s="600"/>
      <c r="AM192" s="600"/>
      <c r="AN192" s="600"/>
      <c r="AO192" s="600"/>
      <c r="AP192" s="600"/>
      <c r="AQ192" s="600"/>
      <c r="AR192" s="600"/>
      <c r="AS192" s="600"/>
      <c r="AT192" s="600"/>
      <c r="AU192" s="600"/>
      <c r="AV192" s="600"/>
      <c r="AW192" s="482"/>
      <c r="AX192" s="482"/>
      <c r="AY192" s="482"/>
      <c r="AZ192" s="482"/>
      <c r="BA192" s="343"/>
      <c r="BB192" s="343"/>
      <c r="BC192" s="343"/>
      <c r="BD192" s="343"/>
      <c r="BE192" s="343"/>
      <c r="BF192" s="343"/>
      <c r="BG192" s="343"/>
      <c r="BH192" s="343"/>
      <c r="BI192" s="343"/>
      <c r="BJ192" s="343"/>
      <c r="BK192" s="343"/>
      <c r="BL192" s="343"/>
      <c r="BM192" s="343"/>
      <c r="BN192" s="343"/>
      <c r="BO192" s="343"/>
      <c r="BP192" s="343"/>
      <c r="BQ192" s="343"/>
      <c r="BR192" s="343"/>
      <c r="BS192" s="343"/>
      <c r="BT192" s="343"/>
      <c r="BU192" s="343"/>
      <c r="BV192" s="343"/>
      <c r="BW192" s="343"/>
      <c r="BX192" s="343"/>
    </row>
    <row r="193" spans="1:76" s="25" customFormat="1">
      <c r="A193" s="343"/>
      <c r="B193" s="343"/>
      <c r="C193" s="115"/>
      <c r="D193" s="123"/>
      <c r="E193" s="232"/>
      <c r="F193" s="232"/>
      <c r="G193" s="115"/>
      <c r="H193" s="115"/>
      <c r="I193" s="115"/>
      <c r="J193" s="115"/>
      <c r="K193" s="232"/>
      <c r="L193" s="232"/>
      <c r="M193" s="660"/>
      <c r="N193" s="355"/>
      <c r="O193" s="355"/>
      <c r="P193" s="355"/>
      <c r="Q193" s="355"/>
      <c r="R193" s="600"/>
      <c r="S193" s="600"/>
      <c r="T193" s="600"/>
      <c r="U193" s="600"/>
      <c r="V193" s="600"/>
      <c r="W193" s="600"/>
      <c r="X193" s="600"/>
      <c r="Y193" s="600"/>
      <c r="Z193" s="600"/>
      <c r="AA193" s="482"/>
      <c r="AB193" s="482"/>
      <c r="AC193" s="482"/>
      <c r="AD193" s="600">
        <v>182</v>
      </c>
      <c r="AE193" s="482"/>
      <c r="AF193" s="600"/>
      <c r="AG193" s="600"/>
      <c r="AH193" s="600"/>
      <c r="AI193" s="600"/>
      <c r="AJ193" s="600"/>
      <c r="AK193" s="600"/>
      <c r="AL193" s="600"/>
      <c r="AM193" s="600"/>
      <c r="AN193" s="600"/>
      <c r="AO193" s="600"/>
      <c r="AP193" s="600"/>
      <c r="AQ193" s="600"/>
      <c r="AR193" s="600"/>
      <c r="AS193" s="600"/>
      <c r="AT193" s="600"/>
      <c r="AU193" s="600"/>
      <c r="AV193" s="600"/>
      <c r="AW193" s="482"/>
      <c r="AX193" s="482"/>
      <c r="AY193" s="482"/>
      <c r="AZ193" s="482"/>
      <c r="BA193" s="343"/>
      <c r="BB193" s="343"/>
      <c r="BC193" s="343"/>
      <c r="BD193" s="343"/>
      <c r="BE193" s="343"/>
      <c r="BF193" s="343"/>
      <c r="BG193" s="343"/>
      <c r="BH193" s="343"/>
      <c r="BI193" s="343"/>
      <c r="BJ193" s="343"/>
      <c r="BK193" s="343"/>
      <c r="BL193" s="343"/>
      <c r="BM193" s="343"/>
      <c r="BN193" s="343"/>
      <c r="BO193" s="343"/>
      <c r="BP193" s="343"/>
      <c r="BQ193" s="343"/>
      <c r="BR193" s="343"/>
      <c r="BS193" s="343"/>
      <c r="BT193" s="343"/>
      <c r="BU193" s="343"/>
      <c r="BV193" s="343"/>
      <c r="BW193" s="343"/>
      <c r="BX193" s="343"/>
    </row>
    <row r="194" spans="1:76" s="25" customFormat="1">
      <c r="A194" s="343"/>
      <c r="B194" s="343"/>
      <c r="C194" s="115"/>
      <c r="D194" s="123"/>
      <c r="E194" s="232"/>
      <c r="F194" s="232"/>
      <c r="G194" s="115"/>
      <c r="H194" s="115"/>
      <c r="I194" s="115"/>
      <c r="J194" s="115"/>
      <c r="K194" s="232"/>
      <c r="L194" s="232"/>
      <c r="M194" s="660"/>
      <c r="N194" s="355"/>
      <c r="O194" s="355"/>
      <c r="P194" s="355"/>
      <c r="Q194" s="355"/>
      <c r="R194" s="600"/>
      <c r="S194" s="600"/>
      <c r="T194" s="600"/>
      <c r="U194" s="600"/>
      <c r="V194" s="600"/>
      <c r="W194" s="600"/>
      <c r="X194" s="600"/>
      <c r="Y194" s="600"/>
      <c r="Z194" s="600"/>
      <c r="AA194" s="482"/>
      <c r="AB194" s="482"/>
      <c r="AC194" s="482"/>
      <c r="AD194" s="600">
        <v>183</v>
      </c>
      <c r="AE194" s="482"/>
      <c r="AF194" s="600"/>
      <c r="AG194" s="600"/>
      <c r="AH194" s="600"/>
      <c r="AI194" s="600"/>
      <c r="AJ194" s="600"/>
      <c r="AK194" s="600"/>
      <c r="AL194" s="600"/>
      <c r="AM194" s="600"/>
      <c r="AN194" s="600"/>
      <c r="AO194" s="600"/>
      <c r="AP194" s="600"/>
      <c r="AQ194" s="600"/>
      <c r="AR194" s="600"/>
      <c r="AS194" s="600"/>
      <c r="AT194" s="600"/>
      <c r="AU194" s="600"/>
      <c r="AV194" s="600"/>
      <c r="AW194" s="482"/>
      <c r="AX194" s="482"/>
      <c r="AY194" s="482"/>
      <c r="AZ194" s="482"/>
      <c r="BA194" s="343"/>
      <c r="BB194" s="343"/>
      <c r="BC194" s="343"/>
      <c r="BD194" s="343"/>
      <c r="BE194" s="343"/>
      <c r="BF194" s="343"/>
      <c r="BG194" s="343"/>
      <c r="BH194" s="343"/>
      <c r="BI194" s="343"/>
      <c r="BJ194" s="343"/>
      <c r="BK194" s="343"/>
      <c r="BL194" s="343"/>
      <c r="BM194" s="343"/>
      <c r="BN194" s="343"/>
      <c r="BO194" s="343"/>
      <c r="BP194" s="343"/>
      <c r="BQ194" s="343"/>
      <c r="BR194" s="343"/>
      <c r="BS194" s="343"/>
      <c r="BT194" s="343"/>
      <c r="BU194" s="343"/>
      <c r="BV194" s="343"/>
      <c r="BW194" s="343"/>
      <c r="BX194" s="343"/>
    </row>
    <row r="195" spans="1:76" s="25" customFormat="1">
      <c r="A195" s="343"/>
      <c r="B195" s="343"/>
      <c r="C195" s="115"/>
      <c r="D195" s="123"/>
      <c r="E195" s="232"/>
      <c r="F195" s="232"/>
      <c r="G195" s="115"/>
      <c r="H195" s="115"/>
      <c r="I195" s="115"/>
      <c r="J195" s="115"/>
      <c r="K195" s="232"/>
      <c r="L195" s="232"/>
      <c r="M195" s="660"/>
      <c r="N195" s="355"/>
      <c r="O195" s="355"/>
      <c r="P195" s="355"/>
      <c r="Q195" s="355"/>
      <c r="R195" s="600"/>
      <c r="S195" s="600"/>
      <c r="T195" s="600"/>
      <c r="U195" s="600"/>
      <c r="V195" s="600"/>
      <c r="W195" s="600"/>
      <c r="X195" s="600"/>
      <c r="Y195" s="600"/>
      <c r="Z195" s="600"/>
      <c r="AA195" s="482"/>
      <c r="AB195" s="482"/>
      <c r="AC195" s="482"/>
      <c r="AD195" s="600">
        <v>184</v>
      </c>
      <c r="AE195" s="482"/>
      <c r="AF195" s="600"/>
      <c r="AG195" s="600"/>
      <c r="AH195" s="600"/>
      <c r="AI195" s="600"/>
      <c r="AJ195" s="600"/>
      <c r="AK195" s="600"/>
      <c r="AL195" s="600"/>
      <c r="AM195" s="600"/>
      <c r="AN195" s="600"/>
      <c r="AO195" s="600"/>
      <c r="AP195" s="600"/>
      <c r="AQ195" s="600"/>
      <c r="AR195" s="600"/>
      <c r="AS195" s="600"/>
      <c r="AT195" s="600"/>
      <c r="AU195" s="600"/>
      <c r="AV195" s="600"/>
      <c r="AW195" s="482"/>
      <c r="AX195" s="482"/>
      <c r="AY195" s="482"/>
      <c r="AZ195" s="482"/>
      <c r="BA195" s="343"/>
      <c r="BB195" s="343"/>
      <c r="BC195" s="343"/>
      <c r="BD195" s="343"/>
      <c r="BE195" s="343"/>
      <c r="BF195" s="343"/>
      <c r="BG195" s="343"/>
      <c r="BH195" s="343"/>
      <c r="BI195" s="343"/>
      <c r="BJ195" s="343"/>
      <c r="BK195" s="343"/>
      <c r="BL195" s="343"/>
      <c r="BM195" s="343"/>
      <c r="BN195" s="343"/>
      <c r="BO195" s="343"/>
      <c r="BP195" s="343"/>
      <c r="BQ195" s="343"/>
      <c r="BR195" s="343"/>
      <c r="BS195" s="343"/>
      <c r="BT195" s="343"/>
      <c r="BU195" s="343"/>
      <c r="BV195" s="343"/>
      <c r="BW195" s="343"/>
      <c r="BX195" s="343"/>
    </row>
    <row r="196" spans="1:76" s="25" customFormat="1">
      <c r="A196" s="343"/>
      <c r="B196" s="343"/>
      <c r="C196" s="115"/>
      <c r="D196" s="123"/>
      <c r="E196" s="232"/>
      <c r="F196" s="232"/>
      <c r="G196" s="115"/>
      <c r="H196" s="115"/>
      <c r="I196" s="115"/>
      <c r="J196" s="115"/>
      <c r="K196" s="232"/>
      <c r="L196" s="232"/>
      <c r="M196" s="660"/>
      <c r="N196" s="355"/>
      <c r="O196" s="355"/>
      <c r="P196" s="355"/>
      <c r="Q196" s="355"/>
      <c r="R196" s="600"/>
      <c r="S196" s="600"/>
      <c r="T196" s="600"/>
      <c r="U196" s="600"/>
      <c r="V196" s="600"/>
      <c r="W196" s="600"/>
      <c r="X196" s="600"/>
      <c r="Y196" s="600"/>
      <c r="Z196" s="600"/>
      <c r="AA196" s="482"/>
      <c r="AB196" s="482"/>
      <c r="AC196" s="482"/>
      <c r="AD196" s="600">
        <v>185</v>
      </c>
      <c r="AE196" s="482"/>
      <c r="AF196" s="600"/>
      <c r="AG196" s="600"/>
      <c r="AH196" s="600"/>
      <c r="AI196" s="600"/>
      <c r="AJ196" s="600"/>
      <c r="AK196" s="600"/>
      <c r="AL196" s="600"/>
      <c r="AM196" s="600"/>
      <c r="AN196" s="600"/>
      <c r="AO196" s="600"/>
      <c r="AP196" s="600"/>
      <c r="AQ196" s="600"/>
      <c r="AR196" s="600"/>
      <c r="AS196" s="600"/>
      <c r="AT196" s="600"/>
      <c r="AU196" s="600"/>
      <c r="AV196" s="600"/>
      <c r="AW196" s="482"/>
      <c r="AX196" s="482"/>
      <c r="AY196" s="482"/>
      <c r="AZ196" s="482"/>
      <c r="BA196" s="343"/>
      <c r="BB196" s="343"/>
      <c r="BC196" s="343"/>
      <c r="BD196" s="343"/>
      <c r="BE196" s="343"/>
      <c r="BF196" s="343"/>
      <c r="BG196" s="343"/>
      <c r="BH196" s="343"/>
      <c r="BI196" s="343"/>
      <c r="BJ196" s="343"/>
      <c r="BK196" s="343"/>
      <c r="BL196" s="343"/>
      <c r="BM196" s="343"/>
      <c r="BN196" s="343"/>
      <c r="BO196" s="343"/>
      <c r="BP196" s="343"/>
      <c r="BQ196" s="343"/>
      <c r="BR196" s="343"/>
      <c r="BS196" s="343"/>
      <c r="BT196" s="343"/>
      <c r="BU196" s="343"/>
      <c r="BV196" s="343"/>
      <c r="BW196" s="343"/>
      <c r="BX196" s="343"/>
    </row>
    <row r="197" spans="1:76" s="25" customFormat="1">
      <c r="A197" s="343"/>
      <c r="B197" s="343"/>
      <c r="C197" s="115"/>
      <c r="D197" s="123"/>
      <c r="E197" s="232"/>
      <c r="F197" s="232"/>
      <c r="G197" s="115"/>
      <c r="H197" s="115"/>
      <c r="I197" s="115"/>
      <c r="J197" s="115"/>
      <c r="K197" s="232"/>
      <c r="L197" s="232"/>
      <c r="M197" s="660"/>
      <c r="N197" s="355"/>
      <c r="O197" s="355"/>
      <c r="P197" s="355"/>
      <c r="Q197" s="355"/>
      <c r="R197" s="600"/>
      <c r="S197" s="600"/>
      <c r="T197" s="600"/>
      <c r="U197" s="600"/>
      <c r="V197" s="600"/>
      <c r="W197" s="600"/>
      <c r="X197" s="600"/>
      <c r="Y197" s="600"/>
      <c r="Z197" s="600"/>
      <c r="AA197" s="482"/>
      <c r="AB197" s="482"/>
      <c r="AC197" s="482"/>
      <c r="AD197" s="600">
        <v>186</v>
      </c>
      <c r="AE197" s="482"/>
      <c r="AF197" s="600"/>
      <c r="AG197" s="600"/>
      <c r="AH197" s="600"/>
      <c r="AI197" s="600"/>
      <c r="AJ197" s="600"/>
      <c r="AK197" s="600"/>
      <c r="AL197" s="600"/>
      <c r="AM197" s="600"/>
      <c r="AN197" s="600"/>
      <c r="AO197" s="600"/>
      <c r="AP197" s="600"/>
      <c r="AQ197" s="600"/>
      <c r="AR197" s="600"/>
      <c r="AS197" s="600"/>
      <c r="AT197" s="600"/>
      <c r="AU197" s="600"/>
      <c r="AV197" s="600"/>
      <c r="AW197" s="482"/>
      <c r="AX197" s="482"/>
      <c r="AY197" s="482"/>
      <c r="AZ197" s="482"/>
      <c r="BA197" s="343"/>
      <c r="BB197" s="343"/>
      <c r="BC197" s="343"/>
      <c r="BD197" s="343"/>
      <c r="BE197" s="343"/>
      <c r="BF197" s="343"/>
      <c r="BG197" s="343"/>
      <c r="BH197" s="343"/>
      <c r="BI197" s="343"/>
      <c r="BJ197" s="343"/>
      <c r="BK197" s="343"/>
      <c r="BL197" s="343"/>
      <c r="BM197" s="343"/>
      <c r="BN197" s="343"/>
      <c r="BO197" s="343"/>
      <c r="BP197" s="343"/>
      <c r="BQ197" s="343"/>
      <c r="BR197" s="343"/>
      <c r="BS197" s="343"/>
      <c r="BT197" s="343"/>
      <c r="BU197" s="343"/>
      <c r="BV197" s="343"/>
      <c r="BW197" s="343"/>
      <c r="BX197" s="343"/>
    </row>
    <row r="198" spans="1:76" s="25" customFormat="1">
      <c r="A198" s="343"/>
      <c r="B198" s="343"/>
      <c r="C198" s="115"/>
      <c r="D198" s="123"/>
      <c r="E198" s="232"/>
      <c r="F198" s="232"/>
      <c r="G198" s="115"/>
      <c r="H198" s="115"/>
      <c r="I198" s="115"/>
      <c r="J198" s="115"/>
      <c r="K198" s="232"/>
      <c r="L198" s="232"/>
      <c r="M198" s="660"/>
      <c r="N198" s="355"/>
      <c r="O198" s="355"/>
      <c r="P198" s="355"/>
      <c r="Q198" s="355"/>
      <c r="R198" s="600"/>
      <c r="S198" s="600"/>
      <c r="T198" s="600"/>
      <c r="U198" s="600"/>
      <c r="V198" s="600"/>
      <c r="W198" s="600"/>
      <c r="X198" s="600"/>
      <c r="Y198" s="600"/>
      <c r="Z198" s="600"/>
      <c r="AA198" s="482"/>
      <c r="AB198" s="482"/>
      <c r="AC198" s="482"/>
      <c r="AD198" s="600">
        <v>187</v>
      </c>
      <c r="AE198" s="482"/>
      <c r="AF198" s="600"/>
      <c r="AG198" s="600"/>
      <c r="AH198" s="600"/>
      <c r="AI198" s="600"/>
      <c r="AJ198" s="600"/>
      <c r="AK198" s="600"/>
      <c r="AL198" s="600"/>
      <c r="AM198" s="600"/>
      <c r="AN198" s="600"/>
      <c r="AO198" s="600"/>
      <c r="AP198" s="600"/>
      <c r="AQ198" s="600"/>
      <c r="AR198" s="600"/>
      <c r="AS198" s="600"/>
      <c r="AT198" s="600"/>
      <c r="AU198" s="600"/>
      <c r="AV198" s="600"/>
      <c r="AW198" s="482"/>
      <c r="AX198" s="482"/>
      <c r="AY198" s="482"/>
      <c r="AZ198" s="482"/>
      <c r="BA198" s="343"/>
      <c r="BB198" s="343"/>
      <c r="BC198" s="343"/>
      <c r="BD198" s="343"/>
      <c r="BE198" s="343"/>
      <c r="BF198" s="343"/>
      <c r="BG198" s="343"/>
      <c r="BH198" s="343"/>
      <c r="BI198" s="343"/>
      <c r="BJ198" s="343"/>
      <c r="BK198" s="343"/>
      <c r="BL198" s="343"/>
      <c r="BM198" s="343"/>
      <c r="BN198" s="343"/>
      <c r="BO198" s="343"/>
      <c r="BP198" s="343"/>
      <c r="BQ198" s="343"/>
      <c r="BR198" s="343"/>
      <c r="BS198" s="343"/>
      <c r="BT198" s="343"/>
      <c r="BU198" s="343"/>
      <c r="BV198" s="343"/>
      <c r="BW198" s="343"/>
      <c r="BX198" s="343"/>
    </row>
    <row r="199" spans="1:76" s="25" customFormat="1">
      <c r="A199" s="343"/>
      <c r="B199" s="343"/>
      <c r="C199" s="115"/>
      <c r="D199" s="123"/>
      <c r="E199" s="232"/>
      <c r="F199" s="232"/>
      <c r="G199" s="115"/>
      <c r="H199" s="115"/>
      <c r="I199" s="115"/>
      <c r="J199" s="115"/>
      <c r="K199" s="232"/>
      <c r="L199" s="232"/>
      <c r="M199" s="660"/>
      <c r="N199" s="355"/>
      <c r="O199" s="355"/>
      <c r="P199" s="355"/>
      <c r="Q199" s="355"/>
      <c r="R199" s="600"/>
      <c r="S199" s="600"/>
      <c r="T199" s="600"/>
      <c r="U199" s="600"/>
      <c r="V199" s="600"/>
      <c r="W199" s="600"/>
      <c r="X199" s="600"/>
      <c r="Y199" s="600"/>
      <c r="Z199" s="600"/>
      <c r="AA199" s="482"/>
      <c r="AB199" s="482"/>
      <c r="AC199" s="482"/>
      <c r="AD199" s="600">
        <v>188</v>
      </c>
      <c r="AE199" s="482"/>
      <c r="AF199" s="600"/>
      <c r="AG199" s="600"/>
      <c r="AH199" s="600"/>
      <c r="AI199" s="600"/>
      <c r="AJ199" s="600"/>
      <c r="AK199" s="600"/>
      <c r="AL199" s="600"/>
      <c r="AM199" s="600"/>
      <c r="AN199" s="600"/>
      <c r="AO199" s="600"/>
      <c r="AP199" s="600"/>
      <c r="AQ199" s="600"/>
      <c r="AR199" s="600"/>
      <c r="AS199" s="600"/>
      <c r="AT199" s="600"/>
      <c r="AU199" s="600"/>
      <c r="AV199" s="600"/>
      <c r="AW199" s="482"/>
      <c r="AX199" s="482"/>
      <c r="AY199" s="482"/>
      <c r="AZ199" s="482"/>
      <c r="BA199" s="343"/>
      <c r="BB199" s="343"/>
      <c r="BC199" s="343"/>
      <c r="BD199" s="343"/>
      <c r="BE199" s="343"/>
      <c r="BF199" s="343"/>
      <c r="BG199" s="343"/>
      <c r="BH199" s="343"/>
      <c r="BI199" s="343"/>
      <c r="BJ199" s="343"/>
      <c r="BK199" s="343"/>
      <c r="BL199" s="343"/>
      <c r="BM199" s="343"/>
      <c r="BN199" s="343"/>
      <c r="BO199" s="343"/>
      <c r="BP199" s="343"/>
      <c r="BQ199" s="343"/>
      <c r="BR199" s="343"/>
      <c r="BS199" s="343"/>
      <c r="BT199" s="343"/>
      <c r="BU199" s="343"/>
      <c r="BV199" s="343"/>
      <c r="BW199" s="343"/>
      <c r="BX199" s="343"/>
    </row>
    <row r="200" spans="1:76" s="25" customFormat="1">
      <c r="A200" s="343"/>
      <c r="B200" s="343"/>
      <c r="C200" s="115"/>
      <c r="D200" s="123"/>
      <c r="E200" s="232"/>
      <c r="F200" s="232"/>
      <c r="G200" s="115"/>
      <c r="H200" s="115"/>
      <c r="I200" s="115"/>
      <c r="J200" s="115"/>
      <c r="K200" s="232"/>
      <c r="L200" s="232"/>
      <c r="M200" s="660"/>
      <c r="N200" s="355"/>
      <c r="O200" s="355"/>
      <c r="P200" s="355"/>
      <c r="Q200" s="355"/>
      <c r="R200" s="600"/>
      <c r="S200" s="600"/>
      <c r="T200" s="600"/>
      <c r="U200" s="600"/>
      <c r="V200" s="600"/>
      <c r="W200" s="600"/>
      <c r="X200" s="600"/>
      <c r="Y200" s="600"/>
      <c r="Z200" s="600"/>
      <c r="AA200" s="482"/>
      <c r="AB200" s="482"/>
      <c r="AC200" s="482"/>
      <c r="AD200" s="600">
        <v>189</v>
      </c>
      <c r="AE200" s="482"/>
      <c r="AF200" s="600"/>
      <c r="AG200" s="600"/>
      <c r="AH200" s="600"/>
      <c r="AI200" s="600"/>
      <c r="AJ200" s="600"/>
      <c r="AK200" s="600"/>
      <c r="AL200" s="600"/>
      <c r="AM200" s="600"/>
      <c r="AN200" s="600"/>
      <c r="AO200" s="600"/>
      <c r="AP200" s="600"/>
      <c r="AQ200" s="600"/>
      <c r="AR200" s="600"/>
      <c r="AS200" s="600"/>
      <c r="AT200" s="600"/>
      <c r="AU200" s="600"/>
      <c r="AV200" s="600"/>
      <c r="AW200" s="482"/>
      <c r="AX200" s="482"/>
      <c r="AY200" s="482"/>
      <c r="AZ200" s="482"/>
      <c r="BA200" s="343"/>
      <c r="BB200" s="343"/>
      <c r="BC200" s="343"/>
      <c r="BD200" s="343"/>
      <c r="BE200" s="343"/>
      <c r="BF200" s="343"/>
      <c r="BG200" s="343"/>
      <c r="BH200" s="343"/>
      <c r="BI200" s="343"/>
      <c r="BJ200" s="343"/>
      <c r="BK200" s="343"/>
      <c r="BL200" s="343"/>
      <c r="BM200" s="343"/>
      <c r="BN200" s="343"/>
      <c r="BO200" s="343"/>
      <c r="BP200" s="343"/>
      <c r="BQ200" s="343"/>
      <c r="BR200" s="343"/>
      <c r="BS200" s="343"/>
      <c r="BT200" s="343"/>
      <c r="BU200" s="343"/>
      <c r="BV200" s="343"/>
      <c r="BW200" s="343"/>
      <c r="BX200" s="343"/>
    </row>
    <row r="201" spans="1:76" s="25" customFormat="1">
      <c r="A201" s="343"/>
      <c r="B201" s="343"/>
      <c r="C201" s="115"/>
      <c r="D201" s="123"/>
      <c r="E201" s="232"/>
      <c r="F201" s="232"/>
      <c r="G201" s="115"/>
      <c r="H201" s="115"/>
      <c r="I201" s="115"/>
      <c r="J201" s="115"/>
      <c r="K201" s="232"/>
      <c r="L201" s="232"/>
      <c r="M201" s="660"/>
      <c r="N201" s="355"/>
      <c r="O201" s="355"/>
      <c r="P201" s="355"/>
      <c r="Q201" s="355"/>
      <c r="R201" s="600"/>
      <c r="S201" s="600"/>
      <c r="T201" s="600"/>
      <c r="U201" s="600"/>
      <c r="V201" s="600"/>
      <c r="W201" s="600"/>
      <c r="X201" s="600"/>
      <c r="Y201" s="600"/>
      <c r="Z201" s="600"/>
      <c r="AA201" s="482"/>
      <c r="AB201" s="482"/>
      <c r="AC201" s="482"/>
      <c r="AD201" s="600">
        <v>190</v>
      </c>
      <c r="AE201" s="482"/>
      <c r="AF201" s="600"/>
      <c r="AG201" s="600"/>
      <c r="AH201" s="600"/>
      <c r="AI201" s="600"/>
      <c r="AJ201" s="600"/>
      <c r="AK201" s="600"/>
      <c r="AL201" s="600"/>
      <c r="AM201" s="600"/>
      <c r="AN201" s="600"/>
      <c r="AO201" s="600"/>
      <c r="AP201" s="600"/>
      <c r="AQ201" s="600"/>
      <c r="AR201" s="600"/>
      <c r="AS201" s="600"/>
      <c r="AT201" s="600"/>
      <c r="AU201" s="600"/>
      <c r="AV201" s="600"/>
      <c r="AW201" s="482"/>
      <c r="AX201" s="482"/>
      <c r="AY201" s="482"/>
      <c r="AZ201" s="482"/>
      <c r="BA201" s="343"/>
      <c r="BB201" s="343"/>
      <c r="BC201" s="343"/>
      <c r="BD201" s="343"/>
      <c r="BE201" s="343"/>
      <c r="BF201" s="343"/>
      <c r="BG201" s="343"/>
      <c r="BH201" s="343"/>
      <c r="BI201" s="343"/>
      <c r="BJ201" s="343"/>
      <c r="BK201" s="343"/>
      <c r="BL201" s="343"/>
      <c r="BM201" s="343"/>
      <c r="BN201" s="343"/>
      <c r="BO201" s="343"/>
      <c r="BP201" s="343"/>
      <c r="BQ201" s="343"/>
      <c r="BR201" s="343"/>
      <c r="BS201" s="343"/>
      <c r="BT201" s="343"/>
      <c r="BU201" s="343"/>
      <c r="BV201" s="343"/>
      <c r="BW201" s="343"/>
      <c r="BX201" s="343"/>
    </row>
    <row r="202" spans="1:76" s="25" customFormat="1">
      <c r="A202" s="343"/>
      <c r="B202" s="343"/>
      <c r="C202" s="115"/>
      <c r="D202" s="123"/>
      <c r="E202" s="232"/>
      <c r="F202" s="232"/>
      <c r="G202" s="115"/>
      <c r="H202" s="115"/>
      <c r="I202" s="115"/>
      <c r="J202" s="115"/>
      <c r="K202" s="232"/>
      <c r="L202" s="232"/>
      <c r="M202" s="660"/>
      <c r="N202" s="355"/>
      <c r="O202" s="355"/>
      <c r="P202" s="355"/>
      <c r="Q202" s="355"/>
      <c r="R202" s="600"/>
      <c r="S202" s="600"/>
      <c r="T202" s="600"/>
      <c r="U202" s="600"/>
      <c r="V202" s="600"/>
      <c r="W202" s="600"/>
      <c r="X202" s="600"/>
      <c r="Y202" s="600"/>
      <c r="Z202" s="600"/>
      <c r="AA202" s="482"/>
      <c r="AB202" s="482"/>
      <c r="AC202" s="482"/>
      <c r="AD202" s="600">
        <v>191</v>
      </c>
      <c r="AE202" s="482"/>
      <c r="AF202" s="600"/>
      <c r="AG202" s="600"/>
      <c r="AH202" s="600"/>
      <c r="AI202" s="600"/>
      <c r="AJ202" s="600"/>
      <c r="AK202" s="600"/>
      <c r="AL202" s="600"/>
      <c r="AM202" s="600"/>
      <c r="AN202" s="600"/>
      <c r="AO202" s="600"/>
      <c r="AP202" s="600"/>
      <c r="AQ202" s="600"/>
      <c r="AR202" s="600"/>
      <c r="AS202" s="600"/>
      <c r="AT202" s="600"/>
      <c r="AU202" s="600"/>
      <c r="AV202" s="600"/>
      <c r="AW202" s="482"/>
      <c r="AX202" s="482"/>
      <c r="AY202" s="482"/>
      <c r="AZ202" s="482"/>
      <c r="BA202" s="343"/>
      <c r="BB202" s="343"/>
      <c r="BC202" s="343"/>
      <c r="BD202" s="343"/>
      <c r="BE202" s="343"/>
      <c r="BF202" s="343"/>
      <c r="BG202" s="343"/>
      <c r="BH202" s="343"/>
      <c r="BI202" s="343"/>
      <c r="BJ202" s="343"/>
      <c r="BK202" s="343"/>
      <c r="BL202" s="343"/>
      <c r="BM202" s="343"/>
      <c r="BN202" s="343"/>
      <c r="BO202" s="343"/>
      <c r="BP202" s="343"/>
      <c r="BQ202" s="343"/>
      <c r="BR202" s="343"/>
      <c r="BS202" s="343"/>
      <c r="BT202" s="343"/>
      <c r="BU202" s="343"/>
      <c r="BV202" s="343"/>
      <c r="BW202" s="343"/>
      <c r="BX202" s="343"/>
    </row>
    <row r="203" spans="1:76" s="25" customFormat="1">
      <c r="A203" s="343"/>
      <c r="B203" s="343"/>
      <c r="C203" s="115"/>
      <c r="D203" s="123"/>
      <c r="E203" s="232"/>
      <c r="F203" s="232"/>
      <c r="G203" s="115"/>
      <c r="H203" s="115"/>
      <c r="I203" s="115"/>
      <c r="J203" s="115"/>
      <c r="K203" s="232"/>
      <c r="L203" s="232"/>
      <c r="M203" s="660"/>
      <c r="N203" s="355"/>
      <c r="O203" s="355"/>
      <c r="P203" s="355"/>
      <c r="Q203" s="355"/>
      <c r="R203" s="600"/>
      <c r="S203" s="600"/>
      <c r="T203" s="600"/>
      <c r="U203" s="600"/>
      <c r="V203" s="600"/>
      <c r="W203" s="600"/>
      <c r="X203" s="600"/>
      <c r="Y203" s="600"/>
      <c r="Z203" s="600"/>
      <c r="AA203" s="482"/>
      <c r="AB203" s="482"/>
      <c r="AC203" s="482"/>
      <c r="AD203" s="600">
        <v>192</v>
      </c>
      <c r="AE203" s="482"/>
      <c r="AF203" s="600"/>
      <c r="AG203" s="600"/>
      <c r="AH203" s="600"/>
      <c r="AI203" s="600"/>
      <c r="AJ203" s="600"/>
      <c r="AK203" s="600"/>
      <c r="AL203" s="600"/>
      <c r="AM203" s="600"/>
      <c r="AN203" s="600"/>
      <c r="AO203" s="600"/>
      <c r="AP203" s="600"/>
      <c r="AQ203" s="600"/>
      <c r="AR203" s="600"/>
      <c r="AS203" s="600"/>
      <c r="AT203" s="600"/>
      <c r="AU203" s="600"/>
      <c r="AV203" s="600"/>
      <c r="AW203" s="482"/>
      <c r="AX203" s="482"/>
      <c r="AY203" s="482"/>
      <c r="AZ203" s="482"/>
      <c r="BA203" s="343"/>
      <c r="BB203" s="343"/>
      <c r="BC203" s="343"/>
      <c r="BD203" s="343"/>
      <c r="BE203" s="343"/>
      <c r="BF203" s="343"/>
      <c r="BG203" s="343"/>
      <c r="BH203" s="343"/>
      <c r="BI203" s="343"/>
      <c r="BJ203" s="343"/>
      <c r="BK203" s="343"/>
      <c r="BL203" s="343"/>
      <c r="BM203" s="343"/>
      <c r="BN203" s="343"/>
      <c r="BO203" s="343"/>
      <c r="BP203" s="343"/>
      <c r="BQ203" s="343"/>
      <c r="BR203" s="343"/>
      <c r="BS203" s="343"/>
      <c r="BT203" s="343"/>
      <c r="BU203" s="343"/>
      <c r="BV203" s="343"/>
      <c r="BW203" s="343"/>
      <c r="BX203" s="343"/>
    </row>
    <row r="204" spans="1:76" s="25" customFormat="1">
      <c r="A204" s="343"/>
      <c r="B204" s="343"/>
      <c r="C204" s="115"/>
      <c r="D204" s="123"/>
      <c r="E204" s="232"/>
      <c r="F204" s="232"/>
      <c r="G204" s="115"/>
      <c r="H204" s="115"/>
      <c r="I204" s="115"/>
      <c r="J204" s="115"/>
      <c r="K204" s="232"/>
      <c r="L204" s="232"/>
      <c r="M204" s="660"/>
      <c r="N204" s="355"/>
      <c r="O204" s="355"/>
      <c r="P204" s="355"/>
      <c r="Q204" s="355"/>
      <c r="R204" s="600"/>
      <c r="S204" s="600"/>
      <c r="T204" s="600"/>
      <c r="U204" s="600"/>
      <c r="V204" s="600"/>
      <c r="W204" s="600"/>
      <c r="X204" s="600"/>
      <c r="Y204" s="600"/>
      <c r="Z204" s="600"/>
      <c r="AA204" s="482"/>
      <c r="AB204" s="482"/>
      <c r="AC204" s="482"/>
      <c r="AD204" s="600">
        <v>193</v>
      </c>
      <c r="AE204" s="482"/>
      <c r="AF204" s="600"/>
      <c r="AG204" s="600"/>
      <c r="AH204" s="600"/>
      <c r="AI204" s="600"/>
      <c r="AJ204" s="600"/>
      <c r="AK204" s="600"/>
      <c r="AL204" s="600"/>
      <c r="AM204" s="600"/>
      <c r="AN204" s="600"/>
      <c r="AO204" s="600"/>
      <c r="AP204" s="600"/>
      <c r="AQ204" s="600"/>
      <c r="AR204" s="600"/>
      <c r="AS204" s="600"/>
      <c r="AT204" s="600"/>
      <c r="AU204" s="600"/>
      <c r="AV204" s="600"/>
      <c r="AW204" s="482"/>
      <c r="AX204" s="482"/>
      <c r="AY204" s="482"/>
      <c r="AZ204" s="482"/>
      <c r="BA204" s="343"/>
      <c r="BB204" s="343"/>
      <c r="BC204" s="343"/>
      <c r="BD204" s="343"/>
      <c r="BE204" s="343"/>
      <c r="BF204" s="343"/>
      <c r="BG204" s="343"/>
      <c r="BH204" s="343"/>
      <c r="BI204" s="343"/>
      <c r="BJ204" s="343"/>
      <c r="BK204" s="343"/>
      <c r="BL204" s="343"/>
      <c r="BM204" s="343"/>
      <c r="BN204" s="343"/>
      <c r="BO204" s="343"/>
      <c r="BP204" s="343"/>
      <c r="BQ204" s="343"/>
      <c r="BR204" s="343"/>
      <c r="BS204" s="343"/>
      <c r="BT204" s="343"/>
      <c r="BU204" s="343"/>
      <c r="BV204" s="343"/>
      <c r="BW204" s="343"/>
      <c r="BX204" s="343"/>
    </row>
    <row r="205" spans="1:76" s="25" customFormat="1">
      <c r="A205" s="343"/>
      <c r="B205" s="343"/>
      <c r="C205" s="115"/>
      <c r="D205" s="123"/>
      <c r="E205" s="232"/>
      <c r="F205" s="232"/>
      <c r="G205" s="115"/>
      <c r="H205" s="115"/>
      <c r="I205" s="115"/>
      <c r="J205" s="115"/>
      <c r="K205" s="232"/>
      <c r="L205" s="232"/>
      <c r="M205" s="660"/>
      <c r="N205" s="355"/>
      <c r="O205" s="355"/>
      <c r="P205" s="355"/>
      <c r="Q205" s="355"/>
      <c r="R205" s="600"/>
      <c r="S205" s="600"/>
      <c r="T205" s="600"/>
      <c r="U205" s="600"/>
      <c r="V205" s="600"/>
      <c r="W205" s="600"/>
      <c r="X205" s="600"/>
      <c r="Y205" s="600"/>
      <c r="Z205" s="600"/>
      <c r="AA205" s="482"/>
      <c r="AB205" s="482"/>
      <c r="AC205" s="482"/>
      <c r="AD205" s="600">
        <v>194</v>
      </c>
      <c r="AE205" s="482"/>
      <c r="AF205" s="600"/>
      <c r="AG205" s="600"/>
      <c r="AH205" s="600"/>
      <c r="AI205" s="600"/>
      <c r="AJ205" s="600"/>
      <c r="AK205" s="600"/>
      <c r="AL205" s="600"/>
      <c r="AM205" s="600"/>
      <c r="AN205" s="600"/>
      <c r="AO205" s="600"/>
      <c r="AP205" s="600"/>
      <c r="AQ205" s="600"/>
      <c r="AR205" s="600"/>
      <c r="AS205" s="600"/>
      <c r="AT205" s="600"/>
      <c r="AU205" s="600"/>
      <c r="AV205" s="600"/>
      <c r="AW205" s="482"/>
      <c r="AX205" s="482"/>
      <c r="AY205" s="482"/>
      <c r="AZ205" s="482"/>
      <c r="BA205" s="343"/>
      <c r="BB205" s="343"/>
      <c r="BC205" s="343"/>
      <c r="BD205" s="343"/>
      <c r="BE205" s="343"/>
      <c r="BF205" s="343"/>
      <c r="BG205" s="343"/>
      <c r="BH205" s="343"/>
      <c r="BI205" s="343"/>
      <c r="BJ205" s="343"/>
      <c r="BK205" s="343"/>
      <c r="BL205" s="343"/>
      <c r="BM205" s="343"/>
      <c r="BN205" s="343"/>
      <c r="BO205" s="343"/>
      <c r="BP205" s="343"/>
      <c r="BQ205" s="343"/>
      <c r="BR205" s="343"/>
      <c r="BS205" s="343"/>
      <c r="BT205" s="343"/>
      <c r="BU205" s="343"/>
      <c r="BV205" s="343"/>
      <c r="BW205" s="343"/>
      <c r="BX205" s="343"/>
    </row>
    <row r="206" spans="1:76" s="25" customFormat="1">
      <c r="A206" s="343"/>
      <c r="B206" s="343"/>
      <c r="C206" s="115"/>
      <c r="D206" s="123"/>
      <c r="E206" s="232"/>
      <c r="F206" s="232"/>
      <c r="G206" s="115"/>
      <c r="H206" s="115"/>
      <c r="I206" s="115"/>
      <c r="J206" s="115"/>
      <c r="K206" s="232"/>
      <c r="L206" s="232"/>
      <c r="M206" s="660"/>
      <c r="N206" s="355"/>
      <c r="O206" s="355"/>
      <c r="P206" s="355"/>
      <c r="Q206" s="355"/>
      <c r="R206" s="600"/>
      <c r="S206" s="600"/>
      <c r="T206" s="600"/>
      <c r="U206" s="600"/>
      <c r="V206" s="600"/>
      <c r="W206" s="600"/>
      <c r="X206" s="600"/>
      <c r="Y206" s="600"/>
      <c r="Z206" s="600"/>
      <c r="AA206" s="482"/>
      <c r="AB206" s="482"/>
      <c r="AC206" s="482"/>
      <c r="AD206" s="600">
        <v>195</v>
      </c>
      <c r="AE206" s="482"/>
      <c r="AF206" s="600"/>
      <c r="AG206" s="600"/>
      <c r="AH206" s="600"/>
      <c r="AI206" s="600"/>
      <c r="AJ206" s="600"/>
      <c r="AK206" s="600"/>
      <c r="AL206" s="600"/>
      <c r="AM206" s="600"/>
      <c r="AN206" s="600"/>
      <c r="AO206" s="600"/>
      <c r="AP206" s="600"/>
      <c r="AQ206" s="600"/>
      <c r="AR206" s="600"/>
      <c r="AS206" s="600"/>
      <c r="AT206" s="600"/>
      <c r="AU206" s="600"/>
      <c r="AV206" s="600"/>
      <c r="AW206" s="482"/>
      <c r="AX206" s="482"/>
      <c r="AY206" s="482"/>
      <c r="AZ206" s="482"/>
      <c r="BA206" s="343"/>
      <c r="BB206" s="343"/>
      <c r="BC206" s="343"/>
      <c r="BD206" s="343"/>
      <c r="BE206" s="343"/>
      <c r="BF206" s="343"/>
      <c r="BG206" s="343"/>
      <c r="BH206" s="343"/>
      <c r="BI206" s="343"/>
      <c r="BJ206" s="343"/>
      <c r="BK206" s="343"/>
      <c r="BL206" s="343"/>
      <c r="BM206" s="343"/>
      <c r="BN206" s="343"/>
      <c r="BO206" s="343"/>
      <c r="BP206" s="343"/>
      <c r="BQ206" s="343"/>
      <c r="BR206" s="343"/>
      <c r="BS206" s="343"/>
      <c r="BT206" s="343"/>
      <c r="BU206" s="343"/>
      <c r="BV206" s="343"/>
      <c r="BW206" s="343"/>
      <c r="BX206" s="343"/>
    </row>
    <row r="207" spans="1:76" s="25" customFormat="1">
      <c r="A207" s="343"/>
      <c r="B207" s="343"/>
      <c r="C207" s="115"/>
      <c r="D207" s="123"/>
      <c r="E207" s="232"/>
      <c r="F207" s="232"/>
      <c r="G207" s="115"/>
      <c r="H207" s="115"/>
      <c r="I207" s="115"/>
      <c r="J207" s="115"/>
      <c r="K207" s="232"/>
      <c r="L207" s="232"/>
      <c r="M207" s="660"/>
      <c r="N207" s="355"/>
      <c r="O207" s="355"/>
      <c r="P207" s="355"/>
      <c r="Q207" s="355"/>
      <c r="R207" s="600"/>
      <c r="S207" s="600"/>
      <c r="T207" s="600"/>
      <c r="U207" s="600"/>
      <c r="V207" s="600"/>
      <c r="W207" s="600"/>
      <c r="X207" s="600"/>
      <c r="Y207" s="600"/>
      <c r="Z207" s="600"/>
      <c r="AA207" s="482"/>
      <c r="AB207" s="482"/>
      <c r="AC207" s="482"/>
      <c r="AD207" s="600">
        <v>196</v>
      </c>
      <c r="AE207" s="482"/>
      <c r="AF207" s="600"/>
      <c r="AG207" s="600"/>
      <c r="AH207" s="600"/>
      <c r="AI207" s="600"/>
      <c r="AJ207" s="600"/>
      <c r="AK207" s="600"/>
      <c r="AL207" s="600"/>
      <c r="AM207" s="600"/>
      <c r="AN207" s="600"/>
      <c r="AO207" s="600"/>
      <c r="AP207" s="600"/>
      <c r="AQ207" s="600"/>
      <c r="AR207" s="600"/>
      <c r="AS207" s="600"/>
      <c r="AT207" s="600"/>
      <c r="AU207" s="600"/>
      <c r="AV207" s="600"/>
      <c r="AW207" s="482"/>
      <c r="AX207" s="482"/>
      <c r="AY207" s="482"/>
      <c r="AZ207" s="482"/>
      <c r="BA207" s="343"/>
      <c r="BB207" s="343"/>
      <c r="BC207" s="343"/>
      <c r="BD207" s="343"/>
      <c r="BE207" s="343"/>
      <c r="BF207" s="343"/>
      <c r="BG207" s="343"/>
      <c r="BH207" s="343"/>
      <c r="BI207" s="343"/>
      <c r="BJ207" s="343"/>
      <c r="BK207" s="343"/>
      <c r="BL207" s="343"/>
      <c r="BM207" s="343"/>
      <c r="BN207" s="343"/>
      <c r="BO207" s="343"/>
      <c r="BP207" s="343"/>
      <c r="BQ207" s="343"/>
      <c r="BR207" s="343"/>
      <c r="BS207" s="343"/>
      <c r="BT207" s="343"/>
      <c r="BU207" s="343"/>
      <c r="BV207" s="343"/>
      <c r="BW207" s="343"/>
      <c r="BX207" s="343"/>
    </row>
    <row r="208" spans="1:76" s="25" customFormat="1">
      <c r="A208" s="343"/>
      <c r="B208" s="343"/>
      <c r="C208" s="115"/>
      <c r="D208" s="123"/>
      <c r="E208" s="232"/>
      <c r="F208" s="232"/>
      <c r="G208" s="115"/>
      <c r="H208" s="115"/>
      <c r="I208" s="115"/>
      <c r="J208" s="115"/>
      <c r="K208" s="232"/>
      <c r="L208" s="232"/>
      <c r="M208" s="660"/>
      <c r="N208" s="355"/>
      <c r="O208" s="355"/>
      <c r="P208" s="355"/>
      <c r="Q208" s="355"/>
      <c r="R208" s="600"/>
      <c r="S208" s="600"/>
      <c r="T208" s="600"/>
      <c r="U208" s="600"/>
      <c r="V208" s="600"/>
      <c r="W208" s="600"/>
      <c r="X208" s="600"/>
      <c r="Y208" s="600"/>
      <c r="Z208" s="600"/>
      <c r="AA208" s="482"/>
      <c r="AB208" s="482"/>
      <c r="AC208" s="482"/>
      <c r="AD208" s="600">
        <v>197</v>
      </c>
      <c r="AE208" s="482"/>
      <c r="AF208" s="600"/>
      <c r="AG208" s="600"/>
      <c r="AH208" s="600"/>
      <c r="AI208" s="600"/>
      <c r="AJ208" s="600"/>
      <c r="AK208" s="600"/>
      <c r="AL208" s="600"/>
      <c r="AM208" s="600"/>
      <c r="AN208" s="600"/>
      <c r="AO208" s="600"/>
      <c r="AP208" s="600"/>
      <c r="AQ208" s="600"/>
      <c r="AR208" s="600"/>
      <c r="AS208" s="600"/>
      <c r="AT208" s="600"/>
      <c r="AU208" s="600"/>
      <c r="AV208" s="600"/>
      <c r="AW208" s="482"/>
      <c r="AX208" s="482"/>
      <c r="AY208" s="482"/>
      <c r="AZ208" s="482"/>
      <c r="BA208" s="343"/>
      <c r="BB208" s="343"/>
      <c r="BC208" s="343"/>
      <c r="BD208" s="343"/>
      <c r="BE208" s="343"/>
      <c r="BF208" s="343"/>
      <c r="BG208" s="343"/>
      <c r="BH208" s="343"/>
      <c r="BI208" s="343"/>
      <c r="BJ208" s="343"/>
      <c r="BK208" s="343"/>
      <c r="BL208" s="343"/>
      <c r="BM208" s="343"/>
      <c r="BN208" s="343"/>
      <c r="BO208" s="343"/>
      <c r="BP208" s="343"/>
      <c r="BQ208" s="343"/>
      <c r="BR208" s="343"/>
      <c r="BS208" s="343"/>
      <c r="BT208" s="343"/>
      <c r="BU208" s="343"/>
      <c r="BV208" s="343"/>
      <c r="BW208" s="343"/>
      <c r="BX208" s="343"/>
    </row>
    <row r="209" spans="1:76" s="25" customFormat="1">
      <c r="A209" s="343"/>
      <c r="B209" s="343"/>
      <c r="C209" s="115"/>
      <c r="D209" s="123"/>
      <c r="E209" s="232"/>
      <c r="F209" s="232"/>
      <c r="G209" s="115"/>
      <c r="H209" s="115"/>
      <c r="I209" s="115"/>
      <c r="J209" s="115"/>
      <c r="K209" s="232"/>
      <c r="L209" s="232"/>
      <c r="M209" s="660"/>
      <c r="N209" s="355"/>
      <c r="O209" s="355"/>
      <c r="P209" s="355"/>
      <c r="Q209" s="355"/>
      <c r="R209" s="600"/>
      <c r="S209" s="600"/>
      <c r="T209" s="600"/>
      <c r="U209" s="600"/>
      <c r="V209" s="600"/>
      <c r="W209" s="600"/>
      <c r="X209" s="600"/>
      <c r="Y209" s="600"/>
      <c r="Z209" s="600"/>
      <c r="AA209" s="482"/>
      <c r="AB209" s="482"/>
      <c r="AC209" s="482"/>
      <c r="AD209" s="600">
        <v>198</v>
      </c>
      <c r="AE209" s="482"/>
      <c r="AF209" s="600"/>
      <c r="AG209" s="600"/>
      <c r="AH209" s="600"/>
      <c r="AI209" s="600"/>
      <c r="AJ209" s="600"/>
      <c r="AK209" s="600"/>
      <c r="AL209" s="600"/>
      <c r="AM209" s="600"/>
      <c r="AN209" s="600"/>
      <c r="AO209" s="600"/>
      <c r="AP209" s="600"/>
      <c r="AQ209" s="600"/>
      <c r="AR209" s="600"/>
      <c r="AS209" s="600"/>
      <c r="AT209" s="600"/>
      <c r="AU209" s="600"/>
      <c r="AV209" s="600"/>
      <c r="AW209" s="482"/>
      <c r="AX209" s="482"/>
      <c r="AY209" s="482"/>
      <c r="AZ209" s="482"/>
      <c r="BA209" s="343"/>
      <c r="BB209" s="343"/>
      <c r="BC209" s="343"/>
      <c r="BD209" s="343"/>
      <c r="BE209" s="343"/>
      <c r="BF209" s="343"/>
      <c r="BG209" s="343"/>
      <c r="BH209" s="343"/>
      <c r="BI209" s="343"/>
      <c r="BJ209" s="343"/>
      <c r="BK209" s="343"/>
      <c r="BL209" s="343"/>
      <c r="BM209" s="343"/>
      <c r="BN209" s="343"/>
      <c r="BO209" s="343"/>
      <c r="BP209" s="343"/>
      <c r="BQ209" s="343"/>
      <c r="BR209" s="343"/>
      <c r="BS209" s="343"/>
      <c r="BT209" s="343"/>
      <c r="BU209" s="343"/>
      <c r="BV209" s="343"/>
      <c r="BW209" s="343"/>
      <c r="BX209" s="343"/>
    </row>
    <row r="210" spans="1:76" s="25" customFormat="1">
      <c r="A210" s="343"/>
      <c r="B210" s="343"/>
      <c r="C210" s="115"/>
      <c r="D210" s="123"/>
      <c r="E210" s="232"/>
      <c r="F210" s="232"/>
      <c r="G210" s="115"/>
      <c r="H210" s="115"/>
      <c r="I210" s="115"/>
      <c r="J210" s="115"/>
      <c r="K210" s="232"/>
      <c r="L210" s="232"/>
      <c r="M210" s="660"/>
      <c r="N210" s="355"/>
      <c r="O210" s="355"/>
      <c r="P210" s="355"/>
      <c r="Q210" s="355"/>
      <c r="R210" s="600"/>
      <c r="S210" s="600"/>
      <c r="T210" s="600"/>
      <c r="U210" s="600"/>
      <c r="V210" s="600"/>
      <c r="W210" s="600"/>
      <c r="X210" s="600"/>
      <c r="Y210" s="600"/>
      <c r="Z210" s="600"/>
      <c r="AA210" s="482"/>
      <c r="AB210" s="482"/>
      <c r="AC210" s="482"/>
      <c r="AD210" s="600">
        <v>199</v>
      </c>
      <c r="AE210" s="482"/>
      <c r="AF210" s="600"/>
      <c r="AG210" s="600"/>
      <c r="AH210" s="600"/>
      <c r="AI210" s="600"/>
      <c r="AJ210" s="600"/>
      <c r="AK210" s="600"/>
      <c r="AL210" s="600"/>
      <c r="AM210" s="600"/>
      <c r="AN210" s="600"/>
      <c r="AO210" s="600"/>
      <c r="AP210" s="600"/>
      <c r="AQ210" s="600"/>
      <c r="AR210" s="600"/>
      <c r="AS210" s="600"/>
      <c r="AT210" s="600"/>
      <c r="AU210" s="600"/>
      <c r="AV210" s="600"/>
      <c r="AW210" s="482"/>
      <c r="AX210" s="482"/>
      <c r="AY210" s="482"/>
      <c r="AZ210" s="482"/>
      <c r="BA210" s="343"/>
      <c r="BB210" s="343"/>
      <c r="BC210" s="343"/>
      <c r="BD210" s="343"/>
      <c r="BE210" s="343"/>
      <c r="BF210" s="343"/>
      <c r="BG210" s="343"/>
      <c r="BH210" s="343"/>
      <c r="BI210" s="343"/>
      <c r="BJ210" s="343"/>
      <c r="BK210" s="343"/>
      <c r="BL210" s="343"/>
      <c r="BM210" s="343"/>
      <c r="BN210" s="343"/>
      <c r="BO210" s="343"/>
      <c r="BP210" s="343"/>
      <c r="BQ210" s="343"/>
      <c r="BR210" s="343"/>
      <c r="BS210" s="343"/>
      <c r="BT210" s="343"/>
      <c r="BU210" s="343"/>
      <c r="BV210" s="343"/>
      <c r="BW210" s="343"/>
      <c r="BX210" s="343"/>
    </row>
    <row r="211" spans="1:76" s="25" customFormat="1">
      <c r="A211" s="343"/>
      <c r="B211" s="343"/>
      <c r="C211" s="115"/>
      <c r="D211" s="123"/>
      <c r="E211" s="232"/>
      <c r="F211" s="232"/>
      <c r="G211" s="115"/>
      <c r="H211" s="115"/>
      <c r="I211" s="115"/>
      <c r="J211" s="115"/>
      <c r="K211" s="232"/>
      <c r="L211" s="232"/>
      <c r="M211" s="660"/>
      <c r="N211" s="355"/>
      <c r="O211" s="355"/>
      <c r="P211" s="355"/>
      <c r="Q211" s="355"/>
      <c r="R211" s="600"/>
      <c r="S211" s="600"/>
      <c r="T211" s="600"/>
      <c r="U211" s="600"/>
      <c r="V211" s="600"/>
      <c r="W211" s="600"/>
      <c r="X211" s="600"/>
      <c r="Y211" s="600"/>
      <c r="Z211" s="600"/>
      <c r="AA211" s="482"/>
      <c r="AB211" s="482"/>
      <c r="AC211" s="482"/>
      <c r="AD211" s="600">
        <v>200</v>
      </c>
      <c r="AE211" s="482"/>
      <c r="AF211" s="600"/>
      <c r="AG211" s="600"/>
      <c r="AH211" s="600"/>
      <c r="AI211" s="600"/>
      <c r="AJ211" s="600"/>
      <c r="AK211" s="600"/>
      <c r="AL211" s="600"/>
      <c r="AM211" s="600"/>
      <c r="AN211" s="600"/>
      <c r="AO211" s="600"/>
      <c r="AP211" s="600"/>
      <c r="AQ211" s="600"/>
      <c r="AR211" s="600"/>
      <c r="AS211" s="600"/>
      <c r="AT211" s="600"/>
      <c r="AU211" s="600"/>
      <c r="AV211" s="600"/>
      <c r="AW211" s="482"/>
      <c r="AX211" s="482"/>
      <c r="AY211" s="482"/>
      <c r="AZ211" s="482"/>
      <c r="BA211" s="343"/>
      <c r="BB211" s="343"/>
      <c r="BC211" s="343"/>
      <c r="BD211" s="343"/>
      <c r="BE211" s="343"/>
      <c r="BF211" s="343"/>
      <c r="BG211" s="343"/>
      <c r="BH211" s="343"/>
      <c r="BI211" s="343"/>
      <c r="BJ211" s="343"/>
      <c r="BK211" s="343"/>
      <c r="BL211" s="343"/>
      <c r="BM211" s="343"/>
      <c r="BN211" s="343"/>
      <c r="BO211" s="343"/>
      <c r="BP211" s="343"/>
      <c r="BQ211" s="343"/>
      <c r="BR211" s="343"/>
      <c r="BS211" s="343"/>
      <c r="BT211" s="343"/>
      <c r="BU211" s="343"/>
      <c r="BV211" s="343"/>
      <c r="BW211" s="343"/>
      <c r="BX211" s="343"/>
    </row>
    <row r="212" spans="1:76" s="25" customFormat="1">
      <c r="A212" s="343"/>
      <c r="B212" s="343"/>
      <c r="C212" s="115"/>
      <c r="D212" s="123"/>
      <c r="E212" s="232"/>
      <c r="F212" s="232"/>
      <c r="G212" s="115"/>
      <c r="H212" s="115"/>
      <c r="I212" s="115"/>
      <c r="J212" s="115"/>
      <c r="K212" s="232"/>
      <c r="L212" s="232"/>
      <c r="M212" s="660"/>
      <c r="N212" s="355"/>
      <c r="O212" s="355"/>
      <c r="P212" s="355"/>
      <c r="Q212" s="355"/>
      <c r="R212" s="600"/>
      <c r="S212" s="600"/>
      <c r="T212" s="600"/>
      <c r="U212" s="600"/>
      <c r="V212" s="600"/>
      <c r="W212" s="600"/>
      <c r="X212" s="600"/>
      <c r="Y212" s="600"/>
      <c r="Z212" s="600"/>
      <c r="AA212" s="482"/>
      <c r="AB212" s="482"/>
      <c r="AC212" s="482"/>
      <c r="AD212" s="600">
        <v>201</v>
      </c>
      <c r="AE212" s="482"/>
      <c r="AF212" s="600"/>
      <c r="AG212" s="600"/>
      <c r="AH212" s="600"/>
      <c r="AI212" s="600"/>
      <c r="AJ212" s="600"/>
      <c r="AK212" s="600"/>
      <c r="AL212" s="600"/>
      <c r="AM212" s="600"/>
      <c r="AN212" s="600"/>
      <c r="AO212" s="600"/>
      <c r="AP212" s="600"/>
      <c r="AQ212" s="600"/>
      <c r="AR212" s="600"/>
      <c r="AS212" s="600"/>
      <c r="AT212" s="600"/>
      <c r="AU212" s="600"/>
      <c r="AV212" s="600"/>
      <c r="AW212" s="482"/>
      <c r="AX212" s="482"/>
      <c r="AY212" s="482"/>
      <c r="AZ212" s="482"/>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row>
    <row r="213" spans="1:76" s="25" customFormat="1">
      <c r="A213" s="343"/>
      <c r="B213" s="343"/>
      <c r="C213" s="115"/>
      <c r="D213" s="123"/>
      <c r="E213" s="232"/>
      <c r="F213" s="232"/>
      <c r="G213" s="115"/>
      <c r="H213" s="115"/>
      <c r="I213" s="115"/>
      <c r="J213" s="115"/>
      <c r="K213" s="232"/>
      <c r="L213" s="232"/>
      <c r="M213" s="660"/>
      <c r="N213" s="355"/>
      <c r="O213" s="355"/>
      <c r="P213" s="355"/>
      <c r="Q213" s="355"/>
      <c r="R213" s="600"/>
      <c r="S213" s="600"/>
      <c r="T213" s="600"/>
      <c r="U213" s="600"/>
      <c r="V213" s="600"/>
      <c r="W213" s="600"/>
      <c r="X213" s="600"/>
      <c r="Y213" s="600"/>
      <c r="Z213" s="600"/>
      <c r="AA213" s="482"/>
      <c r="AB213" s="482"/>
      <c r="AC213" s="482"/>
      <c r="AD213" s="600">
        <v>202</v>
      </c>
      <c r="AE213" s="482"/>
      <c r="AF213" s="600"/>
      <c r="AG213" s="600"/>
      <c r="AH213" s="600"/>
      <c r="AI213" s="600"/>
      <c r="AJ213" s="600"/>
      <c r="AK213" s="600"/>
      <c r="AL213" s="600"/>
      <c r="AM213" s="600"/>
      <c r="AN213" s="600"/>
      <c r="AO213" s="600"/>
      <c r="AP213" s="600"/>
      <c r="AQ213" s="600"/>
      <c r="AR213" s="600"/>
      <c r="AS213" s="600"/>
      <c r="AT213" s="600"/>
      <c r="AU213" s="600"/>
      <c r="AV213" s="600"/>
      <c r="AW213" s="482"/>
      <c r="AX213" s="482"/>
      <c r="AY213" s="482"/>
      <c r="AZ213" s="482"/>
      <c r="BA213" s="343"/>
      <c r="BB213" s="343"/>
      <c r="BC213" s="343"/>
      <c r="BD213" s="343"/>
      <c r="BE213" s="343"/>
      <c r="BF213" s="343"/>
      <c r="BG213" s="343"/>
      <c r="BH213" s="343"/>
      <c r="BI213" s="343"/>
      <c r="BJ213" s="343"/>
      <c r="BK213" s="343"/>
      <c r="BL213" s="343"/>
      <c r="BM213" s="343"/>
      <c r="BN213" s="343"/>
      <c r="BO213" s="343"/>
      <c r="BP213" s="343"/>
      <c r="BQ213" s="343"/>
      <c r="BR213" s="343"/>
      <c r="BS213" s="343"/>
      <c r="BT213" s="343"/>
      <c r="BU213" s="343"/>
      <c r="BV213" s="343"/>
      <c r="BW213" s="343"/>
      <c r="BX213" s="343"/>
    </row>
    <row r="214" spans="1:76" s="25" customFormat="1">
      <c r="A214" s="343"/>
      <c r="B214" s="343"/>
      <c r="C214" s="115"/>
      <c r="D214" s="123"/>
      <c r="E214" s="232"/>
      <c r="F214" s="232"/>
      <c r="G214" s="115"/>
      <c r="H214" s="115"/>
      <c r="I214" s="115"/>
      <c r="J214" s="115"/>
      <c r="K214" s="232"/>
      <c r="L214" s="232"/>
      <c r="M214" s="660"/>
      <c r="N214" s="355"/>
      <c r="O214" s="355"/>
      <c r="P214" s="355"/>
      <c r="Q214" s="355"/>
      <c r="R214" s="600"/>
      <c r="S214" s="600"/>
      <c r="T214" s="600"/>
      <c r="U214" s="600"/>
      <c r="V214" s="600"/>
      <c r="W214" s="600"/>
      <c r="X214" s="600"/>
      <c r="Y214" s="600"/>
      <c r="Z214" s="600"/>
      <c r="AA214" s="482"/>
      <c r="AB214" s="482"/>
      <c r="AC214" s="482"/>
      <c r="AD214" s="600">
        <v>203</v>
      </c>
      <c r="AE214" s="482"/>
      <c r="AF214" s="600"/>
      <c r="AG214" s="600"/>
      <c r="AH214" s="600"/>
      <c r="AI214" s="600"/>
      <c r="AJ214" s="600"/>
      <c r="AK214" s="600"/>
      <c r="AL214" s="600"/>
      <c r="AM214" s="600"/>
      <c r="AN214" s="600"/>
      <c r="AO214" s="600"/>
      <c r="AP214" s="600"/>
      <c r="AQ214" s="600"/>
      <c r="AR214" s="600"/>
      <c r="AS214" s="600"/>
      <c r="AT214" s="600"/>
      <c r="AU214" s="600"/>
      <c r="AV214" s="600"/>
      <c r="AW214" s="482"/>
      <c r="AX214" s="482"/>
      <c r="AY214" s="482"/>
      <c r="AZ214" s="482"/>
      <c r="BA214" s="343"/>
      <c r="BB214" s="343"/>
      <c r="BC214" s="343"/>
      <c r="BD214" s="343"/>
      <c r="BE214" s="343"/>
      <c r="BF214" s="343"/>
      <c r="BG214" s="343"/>
      <c r="BH214" s="343"/>
      <c r="BI214" s="343"/>
      <c r="BJ214" s="343"/>
      <c r="BK214" s="343"/>
      <c r="BL214" s="343"/>
      <c r="BM214" s="343"/>
      <c r="BN214" s="343"/>
      <c r="BO214" s="343"/>
      <c r="BP214" s="343"/>
      <c r="BQ214" s="343"/>
      <c r="BR214" s="343"/>
      <c r="BS214" s="343"/>
      <c r="BT214" s="343"/>
      <c r="BU214" s="343"/>
      <c r="BV214" s="343"/>
      <c r="BW214" s="343"/>
      <c r="BX214" s="343"/>
    </row>
    <row r="215" spans="1:76" s="25" customFormat="1">
      <c r="A215" s="343"/>
      <c r="B215" s="343"/>
      <c r="C215" s="115"/>
      <c r="D215" s="123"/>
      <c r="E215" s="232"/>
      <c r="F215" s="232"/>
      <c r="G215" s="115"/>
      <c r="H215" s="115"/>
      <c r="I215" s="115"/>
      <c r="J215" s="115"/>
      <c r="K215" s="232"/>
      <c r="L215" s="232"/>
      <c r="M215" s="660"/>
      <c r="N215" s="355"/>
      <c r="O215" s="355"/>
      <c r="P215" s="355"/>
      <c r="Q215" s="355"/>
      <c r="R215" s="600"/>
      <c r="S215" s="600"/>
      <c r="T215" s="600"/>
      <c r="U215" s="600"/>
      <c r="V215" s="600"/>
      <c r="W215" s="600"/>
      <c r="X215" s="600"/>
      <c r="Y215" s="600"/>
      <c r="Z215" s="600"/>
      <c r="AA215" s="482"/>
      <c r="AB215" s="482"/>
      <c r="AC215" s="482"/>
      <c r="AD215" s="600">
        <v>204</v>
      </c>
      <c r="AE215" s="482"/>
      <c r="AF215" s="600"/>
      <c r="AG215" s="600"/>
      <c r="AH215" s="600"/>
      <c r="AI215" s="600"/>
      <c r="AJ215" s="600"/>
      <c r="AK215" s="600"/>
      <c r="AL215" s="600"/>
      <c r="AM215" s="600"/>
      <c r="AN215" s="600"/>
      <c r="AO215" s="600"/>
      <c r="AP215" s="600"/>
      <c r="AQ215" s="600"/>
      <c r="AR215" s="600"/>
      <c r="AS215" s="600"/>
      <c r="AT215" s="600"/>
      <c r="AU215" s="600"/>
      <c r="AV215" s="600"/>
      <c r="AW215" s="482"/>
      <c r="AX215" s="482"/>
      <c r="AY215" s="482"/>
      <c r="AZ215" s="482"/>
      <c r="BA215" s="343"/>
      <c r="BB215" s="343"/>
      <c r="BC215" s="343"/>
      <c r="BD215" s="343"/>
      <c r="BE215" s="343"/>
      <c r="BF215" s="343"/>
      <c r="BG215" s="343"/>
      <c r="BH215" s="343"/>
      <c r="BI215" s="343"/>
      <c r="BJ215" s="343"/>
      <c r="BK215" s="343"/>
      <c r="BL215" s="343"/>
      <c r="BM215" s="343"/>
      <c r="BN215" s="343"/>
      <c r="BO215" s="343"/>
      <c r="BP215" s="343"/>
      <c r="BQ215" s="343"/>
      <c r="BR215" s="343"/>
      <c r="BS215" s="343"/>
      <c r="BT215" s="343"/>
      <c r="BU215" s="343"/>
      <c r="BV215" s="343"/>
      <c r="BW215" s="343"/>
      <c r="BX215" s="343"/>
    </row>
    <row r="216" spans="1:76" s="25" customFormat="1">
      <c r="A216" s="343"/>
      <c r="B216" s="343"/>
      <c r="C216" s="115"/>
      <c r="D216" s="123"/>
      <c r="E216" s="232"/>
      <c r="F216" s="232"/>
      <c r="G216" s="115"/>
      <c r="H216" s="115"/>
      <c r="I216" s="115"/>
      <c r="J216" s="115"/>
      <c r="K216" s="232"/>
      <c r="L216" s="232"/>
      <c r="M216" s="660"/>
      <c r="N216" s="355"/>
      <c r="O216" s="355"/>
      <c r="P216" s="355"/>
      <c r="Q216" s="355"/>
      <c r="R216" s="600"/>
      <c r="S216" s="600"/>
      <c r="T216" s="600"/>
      <c r="U216" s="600"/>
      <c r="V216" s="600"/>
      <c r="W216" s="600"/>
      <c r="X216" s="600"/>
      <c r="Y216" s="600"/>
      <c r="Z216" s="600"/>
      <c r="AA216" s="482"/>
      <c r="AB216" s="482"/>
      <c r="AC216" s="482"/>
      <c r="AD216" s="600">
        <v>205</v>
      </c>
      <c r="AE216" s="482"/>
      <c r="AF216" s="600"/>
      <c r="AG216" s="600"/>
      <c r="AH216" s="600"/>
      <c r="AI216" s="600"/>
      <c r="AJ216" s="600"/>
      <c r="AK216" s="600"/>
      <c r="AL216" s="600"/>
      <c r="AM216" s="600"/>
      <c r="AN216" s="600"/>
      <c r="AO216" s="600"/>
      <c r="AP216" s="600"/>
      <c r="AQ216" s="600"/>
      <c r="AR216" s="600"/>
      <c r="AS216" s="600"/>
      <c r="AT216" s="600"/>
      <c r="AU216" s="600"/>
      <c r="AV216" s="600"/>
      <c r="AW216" s="482"/>
      <c r="AX216" s="482"/>
      <c r="AY216" s="482"/>
      <c r="AZ216" s="482"/>
      <c r="BA216" s="343"/>
      <c r="BB216" s="343"/>
      <c r="BC216" s="343"/>
      <c r="BD216" s="343"/>
      <c r="BE216" s="343"/>
      <c r="BF216" s="343"/>
      <c r="BG216" s="343"/>
      <c r="BH216" s="343"/>
      <c r="BI216" s="343"/>
      <c r="BJ216" s="343"/>
      <c r="BK216" s="343"/>
      <c r="BL216" s="343"/>
      <c r="BM216" s="343"/>
      <c r="BN216" s="343"/>
      <c r="BO216" s="343"/>
      <c r="BP216" s="343"/>
      <c r="BQ216" s="343"/>
      <c r="BR216" s="343"/>
      <c r="BS216" s="343"/>
      <c r="BT216" s="343"/>
      <c r="BU216" s="343"/>
      <c r="BV216" s="343"/>
      <c r="BW216" s="343"/>
      <c r="BX216" s="343"/>
    </row>
    <row r="217" spans="1:76" s="25" customFormat="1">
      <c r="A217" s="343"/>
      <c r="B217" s="343"/>
      <c r="C217" s="115"/>
      <c r="D217" s="123"/>
      <c r="E217" s="232"/>
      <c r="F217" s="232"/>
      <c r="G217" s="115"/>
      <c r="H217" s="115"/>
      <c r="I217" s="115"/>
      <c r="J217" s="115"/>
      <c r="K217" s="232"/>
      <c r="L217" s="232"/>
      <c r="M217" s="660"/>
      <c r="N217" s="355"/>
      <c r="O217" s="355"/>
      <c r="P217" s="355"/>
      <c r="Q217" s="355"/>
      <c r="R217" s="600"/>
      <c r="S217" s="600"/>
      <c r="T217" s="600"/>
      <c r="U217" s="600"/>
      <c r="V217" s="600"/>
      <c r="W217" s="600"/>
      <c r="X217" s="600"/>
      <c r="Y217" s="600"/>
      <c r="Z217" s="600"/>
      <c r="AA217" s="482"/>
      <c r="AB217" s="482"/>
      <c r="AC217" s="482"/>
      <c r="AD217" s="600">
        <v>206</v>
      </c>
      <c r="AE217" s="482"/>
      <c r="AF217" s="600"/>
      <c r="AG217" s="600"/>
      <c r="AH217" s="600"/>
      <c r="AI217" s="600"/>
      <c r="AJ217" s="600"/>
      <c r="AK217" s="600"/>
      <c r="AL217" s="600"/>
      <c r="AM217" s="600"/>
      <c r="AN217" s="600"/>
      <c r="AO217" s="600"/>
      <c r="AP217" s="600"/>
      <c r="AQ217" s="600"/>
      <c r="AR217" s="600"/>
      <c r="AS217" s="600"/>
      <c r="AT217" s="600"/>
      <c r="AU217" s="600"/>
      <c r="AV217" s="600"/>
      <c r="AW217" s="482"/>
      <c r="AX217" s="482"/>
      <c r="AY217" s="482"/>
      <c r="AZ217" s="482"/>
      <c r="BA217" s="343"/>
      <c r="BB217" s="343"/>
      <c r="BC217" s="343"/>
      <c r="BD217" s="343"/>
      <c r="BE217" s="343"/>
      <c r="BF217" s="343"/>
      <c r="BG217" s="343"/>
      <c r="BH217" s="343"/>
      <c r="BI217" s="343"/>
      <c r="BJ217" s="343"/>
      <c r="BK217" s="343"/>
      <c r="BL217" s="343"/>
      <c r="BM217" s="343"/>
      <c r="BN217" s="343"/>
      <c r="BO217" s="343"/>
      <c r="BP217" s="343"/>
      <c r="BQ217" s="343"/>
      <c r="BR217" s="343"/>
      <c r="BS217" s="343"/>
      <c r="BT217" s="343"/>
      <c r="BU217" s="343"/>
      <c r="BV217" s="343"/>
      <c r="BW217" s="343"/>
      <c r="BX217" s="343"/>
    </row>
    <row r="218" spans="1:76" s="25" customFormat="1">
      <c r="A218" s="343"/>
      <c r="B218" s="343"/>
      <c r="C218" s="115"/>
      <c r="D218" s="123"/>
      <c r="E218" s="232"/>
      <c r="F218" s="232"/>
      <c r="G218" s="115"/>
      <c r="H218" s="115"/>
      <c r="I218" s="115"/>
      <c r="J218" s="115"/>
      <c r="K218" s="232"/>
      <c r="L218" s="232"/>
      <c r="M218" s="660"/>
      <c r="N218" s="355"/>
      <c r="O218" s="355"/>
      <c r="P218" s="355"/>
      <c r="Q218" s="355"/>
      <c r="R218" s="600"/>
      <c r="S218" s="600"/>
      <c r="T218" s="600"/>
      <c r="U218" s="600"/>
      <c r="V218" s="600"/>
      <c r="W218" s="600"/>
      <c r="X218" s="600"/>
      <c r="Y218" s="600"/>
      <c r="Z218" s="600"/>
      <c r="AA218" s="482"/>
      <c r="AB218" s="482"/>
      <c r="AC218" s="482"/>
      <c r="AD218" s="600">
        <v>207</v>
      </c>
      <c r="AE218" s="482"/>
      <c r="AF218" s="600"/>
      <c r="AG218" s="600"/>
      <c r="AH218" s="600"/>
      <c r="AI218" s="600"/>
      <c r="AJ218" s="600"/>
      <c r="AK218" s="600"/>
      <c r="AL218" s="600"/>
      <c r="AM218" s="600"/>
      <c r="AN218" s="600"/>
      <c r="AO218" s="600"/>
      <c r="AP218" s="600"/>
      <c r="AQ218" s="600"/>
      <c r="AR218" s="600"/>
      <c r="AS218" s="600"/>
      <c r="AT218" s="600"/>
      <c r="AU218" s="600"/>
      <c r="AV218" s="600"/>
      <c r="AW218" s="482"/>
      <c r="AX218" s="482"/>
      <c r="AY218" s="482"/>
      <c r="AZ218" s="482"/>
      <c r="BA218" s="343"/>
      <c r="BB218" s="343"/>
      <c r="BC218" s="343"/>
      <c r="BD218" s="343"/>
      <c r="BE218" s="343"/>
      <c r="BF218" s="343"/>
      <c r="BG218" s="343"/>
      <c r="BH218" s="343"/>
      <c r="BI218" s="343"/>
      <c r="BJ218" s="343"/>
      <c r="BK218" s="343"/>
      <c r="BL218" s="343"/>
      <c r="BM218" s="343"/>
      <c r="BN218" s="343"/>
      <c r="BO218" s="343"/>
      <c r="BP218" s="343"/>
      <c r="BQ218" s="343"/>
      <c r="BR218" s="343"/>
      <c r="BS218" s="343"/>
      <c r="BT218" s="343"/>
      <c r="BU218" s="343"/>
      <c r="BV218" s="343"/>
      <c r="BW218" s="343"/>
      <c r="BX218" s="343"/>
    </row>
    <row r="219" spans="1:76" s="25" customFormat="1">
      <c r="A219" s="343"/>
      <c r="B219" s="343"/>
      <c r="C219" s="115"/>
      <c r="D219" s="123"/>
      <c r="E219" s="232"/>
      <c r="F219" s="232"/>
      <c r="G219" s="115"/>
      <c r="H219" s="115"/>
      <c r="I219" s="115"/>
      <c r="J219" s="115"/>
      <c r="K219" s="232"/>
      <c r="L219" s="232"/>
      <c r="M219" s="660"/>
      <c r="N219" s="355"/>
      <c r="O219" s="355"/>
      <c r="P219" s="355"/>
      <c r="Q219" s="355"/>
      <c r="R219" s="600"/>
      <c r="S219" s="600"/>
      <c r="T219" s="600"/>
      <c r="U219" s="600"/>
      <c r="V219" s="600"/>
      <c r="W219" s="600"/>
      <c r="X219" s="600"/>
      <c r="Y219" s="600"/>
      <c r="Z219" s="600"/>
      <c r="AA219" s="482"/>
      <c r="AB219" s="482"/>
      <c r="AC219" s="482"/>
      <c r="AD219" s="600">
        <v>208</v>
      </c>
      <c r="AE219" s="482"/>
      <c r="AF219" s="600"/>
      <c r="AG219" s="600"/>
      <c r="AH219" s="600"/>
      <c r="AI219" s="600"/>
      <c r="AJ219" s="600"/>
      <c r="AK219" s="600"/>
      <c r="AL219" s="600"/>
      <c r="AM219" s="600"/>
      <c r="AN219" s="600"/>
      <c r="AO219" s="600"/>
      <c r="AP219" s="600"/>
      <c r="AQ219" s="600"/>
      <c r="AR219" s="600"/>
      <c r="AS219" s="600"/>
      <c r="AT219" s="600"/>
      <c r="AU219" s="600"/>
      <c r="AV219" s="600"/>
      <c r="AW219" s="482"/>
      <c r="AX219" s="482"/>
      <c r="AY219" s="482"/>
      <c r="AZ219" s="482"/>
      <c r="BA219" s="343"/>
      <c r="BB219" s="343"/>
      <c r="BC219" s="343"/>
      <c r="BD219" s="343"/>
      <c r="BE219" s="343"/>
      <c r="BF219" s="343"/>
      <c r="BG219" s="343"/>
      <c r="BH219" s="343"/>
      <c r="BI219" s="343"/>
      <c r="BJ219" s="343"/>
      <c r="BK219" s="343"/>
      <c r="BL219" s="343"/>
      <c r="BM219" s="343"/>
      <c r="BN219" s="343"/>
      <c r="BO219" s="343"/>
      <c r="BP219" s="343"/>
      <c r="BQ219" s="343"/>
      <c r="BR219" s="343"/>
      <c r="BS219" s="343"/>
      <c r="BT219" s="343"/>
      <c r="BU219" s="343"/>
      <c r="BV219" s="343"/>
      <c r="BW219" s="343"/>
      <c r="BX219" s="343"/>
    </row>
    <row r="220" spans="1:76" s="25" customFormat="1">
      <c r="A220" s="343"/>
      <c r="B220" s="343"/>
      <c r="C220" s="115"/>
      <c r="D220" s="123"/>
      <c r="E220" s="232"/>
      <c r="F220" s="232"/>
      <c r="G220" s="115"/>
      <c r="H220" s="115"/>
      <c r="I220" s="115"/>
      <c r="J220" s="115"/>
      <c r="K220" s="232"/>
      <c r="L220" s="232"/>
      <c r="M220" s="660"/>
      <c r="N220" s="355"/>
      <c r="O220" s="355"/>
      <c r="P220" s="355"/>
      <c r="Q220" s="355"/>
      <c r="R220" s="600"/>
      <c r="S220" s="600"/>
      <c r="T220" s="600"/>
      <c r="U220" s="600"/>
      <c r="V220" s="600"/>
      <c r="W220" s="600"/>
      <c r="X220" s="600"/>
      <c r="Y220" s="600"/>
      <c r="Z220" s="600"/>
      <c r="AA220" s="482"/>
      <c r="AB220" s="482"/>
      <c r="AC220" s="482"/>
      <c r="AD220" s="600">
        <v>209</v>
      </c>
      <c r="AE220" s="482"/>
      <c r="AF220" s="600"/>
      <c r="AG220" s="600"/>
      <c r="AH220" s="600"/>
      <c r="AI220" s="600"/>
      <c r="AJ220" s="600"/>
      <c r="AK220" s="600"/>
      <c r="AL220" s="600"/>
      <c r="AM220" s="600"/>
      <c r="AN220" s="600"/>
      <c r="AO220" s="600"/>
      <c r="AP220" s="600"/>
      <c r="AQ220" s="600"/>
      <c r="AR220" s="600"/>
      <c r="AS220" s="600"/>
      <c r="AT220" s="600"/>
      <c r="AU220" s="600"/>
      <c r="AV220" s="600"/>
      <c r="AW220" s="482"/>
      <c r="AX220" s="482"/>
      <c r="AY220" s="482"/>
      <c r="AZ220" s="482"/>
      <c r="BA220" s="343"/>
      <c r="BB220" s="343"/>
      <c r="BC220" s="343"/>
      <c r="BD220" s="343"/>
      <c r="BE220" s="343"/>
      <c r="BF220" s="343"/>
      <c r="BG220" s="343"/>
      <c r="BH220" s="343"/>
      <c r="BI220" s="343"/>
      <c r="BJ220" s="343"/>
      <c r="BK220" s="343"/>
      <c r="BL220" s="343"/>
      <c r="BM220" s="343"/>
      <c r="BN220" s="343"/>
      <c r="BO220" s="343"/>
      <c r="BP220" s="343"/>
      <c r="BQ220" s="343"/>
      <c r="BR220" s="343"/>
      <c r="BS220" s="343"/>
      <c r="BT220" s="343"/>
      <c r="BU220" s="343"/>
      <c r="BV220" s="343"/>
      <c r="BW220" s="343"/>
      <c r="BX220" s="343"/>
    </row>
    <row r="221" spans="1:76" s="25" customFormat="1">
      <c r="A221" s="343"/>
      <c r="B221" s="343"/>
      <c r="C221" s="115"/>
      <c r="D221" s="123"/>
      <c r="E221" s="232"/>
      <c r="F221" s="232"/>
      <c r="G221" s="115"/>
      <c r="H221" s="115"/>
      <c r="I221" s="115"/>
      <c r="J221" s="115"/>
      <c r="K221" s="232"/>
      <c r="L221" s="232"/>
      <c r="M221" s="660"/>
      <c r="N221" s="355"/>
      <c r="O221" s="355"/>
      <c r="P221" s="355"/>
      <c r="Q221" s="355"/>
      <c r="R221" s="600"/>
      <c r="S221" s="600"/>
      <c r="T221" s="600"/>
      <c r="U221" s="600"/>
      <c r="V221" s="600"/>
      <c r="W221" s="600"/>
      <c r="X221" s="600"/>
      <c r="Y221" s="600"/>
      <c r="Z221" s="600"/>
      <c r="AA221" s="482"/>
      <c r="AB221" s="482"/>
      <c r="AC221" s="482"/>
      <c r="AD221" s="600">
        <v>210</v>
      </c>
      <c r="AE221" s="482"/>
      <c r="AF221" s="600"/>
      <c r="AG221" s="600"/>
      <c r="AH221" s="600"/>
      <c r="AI221" s="600"/>
      <c r="AJ221" s="600"/>
      <c r="AK221" s="600"/>
      <c r="AL221" s="600"/>
      <c r="AM221" s="600"/>
      <c r="AN221" s="600"/>
      <c r="AO221" s="600"/>
      <c r="AP221" s="600"/>
      <c r="AQ221" s="600"/>
      <c r="AR221" s="600"/>
      <c r="AS221" s="600"/>
      <c r="AT221" s="600"/>
      <c r="AU221" s="600"/>
      <c r="AV221" s="600"/>
      <c r="AW221" s="482"/>
      <c r="AX221" s="482"/>
      <c r="AY221" s="482"/>
      <c r="AZ221" s="482"/>
      <c r="BA221" s="343"/>
      <c r="BB221" s="343"/>
      <c r="BC221" s="343"/>
      <c r="BD221" s="343"/>
      <c r="BE221" s="343"/>
      <c r="BF221" s="343"/>
      <c r="BG221" s="343"/>
      <c r="BH221" s="343"/>
      <c r="BI221" s="343"/>
      <c r="BJ221" s="343"/>
      <c r="BK221" s="343"/>
      <c r="BL221" s="343"/>
      <c r="BM221" s="343"/>
      <c r="BN221" s="343"/>
      <c r="BO221" s="343"/>
      <c r="BP221" s="343"/>
      <c r="BQ221" s="343"/>
      <c r="BR221" s="343"/>
      <c r="BS221" s="343"/>
      <c r="BT221" s="343"/>
      <c r="BU221" s="343"/>
      <c r="BV221" s="343"/>
      <c r="BW221" s="343"/>
      <c r="BX221" s="343"/>
    </row>
    <row r="222" spans="1:76" s="25" customFormat="1">
      <c r="A222" s="343"/>
      <c r="B222" s="343"/>
      <c r="C222" s="115"/>
      <c r="D222" s="123"/>
      <c r="E222" s="232"/>
      <c r="F222" s="232"/>
      <c r="G222" s="115"/>
      <c r="H222" s="115"/>
      <c r="I222" s="115"/>
      <c r="J222" s="115"/>
      <c r="K222" s="232"/>
      <c r="L222" s="232"/>
      <c r="M222" s="660"/>
      <c r="N222" s="355"/>
      <c r="O222" s="355"/>
      <c r="P222" s="355"/>
      <c r="Q222" s="355"/>
      <c r="R222" s="600"/>
      <c r="S222" s="600"/>
      <c r="T222" s="600"/>
      <c r="U222" s="600"/>
      <c r="V222" s="600"/>
      <c r="W222" s="600"/>
      <c r="X222" s="600"/>
      <c r="Y222" s="600"/>
      <c r="Z222" s="600"/>
      <c r="AA222" s="482"/>
      <c r="AB222" s="482"/>
      <c r="AC222" s="482"/>
      <c r="AD222" s="600">
        <v>211</v>
      </c>
      <c r="AE222" s="482"/>
      <c r="AF222" s="600"/>
      <c r="AG222" s="600"/>
      <c r="AH222" s="600"/>
      <c r="AI222" s="600"/>
      <c r="AJ222" s="600"/>
      <c r="AK222" s="600"/>
      <c r="AL222" s="600"/>
      <c r="AM222" s="600"/>
      <c r="AN222" s="600"/>
      <c r="AO222" s="600"/>
      <c r="AP222" s="600"/>
      <c r="AQ222" s="600"/>
      <c r="AR222" s="600"/>
      <c r="AS222" s="600"/>
      <c r="AT222" s="600"/>
      <c r="AU222" s="600"/>
      <c r="AV222" s="600"/>
      <c r="AW222" s="482"/>
      <c r="AX222" s="482"/>
      <c r="AY222" s="482"/>
      <c r="AZ222" s="482"/>
      <c r="BA222" s="343"/>
      <c r="BB222" s="343"/>
      <c r="BC222" s="343"/>
      <c r="BD222" s="343"/>
      <c r="BE222" s="343"/>
      <c r="BF222" s="343"/>
      <c r="BG222" s="343"/>
      <c r="BH222" s="343"/>
      <c r="BI222" s="343"/>
      <c r="BJ222" s="343"/>
      <c r="BK222" s="343"/>
      <c r="BL222" s="343"/>
      <c r="BM222" s="343"/>
      <c r="BN222" s="343"/>
      <c r="BO222" s="343"/>
      <c r="BP222" s="343"/>
      <c r="BQ222" s="343"/>
      <c r="BR222" s="343"/>
      <c r="BS222" s="343"/>
      <c r="BT222" s="343"/>
      <c r="BU222" s="343"/>
      <c r="BV222" s="343"/>
      <c r="BW222" s="343"/>
      <c r="BX222" s="343"/>
    </row>
    <row r="223" spans="1:76" s="25" customFormat="1">
      <c r="A223" s="343"/>
      <c r="B223" s="343"/>
      <c r="C223" s="115"/>
      <c r="D223" s="123"/>
      <c r="E223" s="232"/>
      <c r="F223" s="232"/>
      <c r="G223" s="115"/>
      <c r="H223" s="115"/>
      <c r="I223" s="115"/>
      <c r="J223" s="115"/>
      <c r="K223" s="232"/>
      <c r="L223" s="232"/>
      <c r="M223" s="660"/>
      <c r="N223" s="355"/>
      <c r="O223" s="355"/>
      <c r="P223" s="355"/>
      <c r="Q223" s="355"/>
      <c r="R223" s="600"/>
      <c r="S223" s="600"/>
      <c r="T223" s="600"/>
      <c r="U223" s="600"/>
      <c r="V223" s="600"/>
      <c r="W223" s="600"/>
      <c r="X223" s="600"/>
      <c r="Y223" s="600"/>
      <c r="Z223" s="600"/>
      <c r="AA223" s="482"/>
      <c r="AB223" s="482"/>
      <c r="AC223" s="482"/>
      <c r="AD223" s="600">
        <v>212</v>
      </c>
      <c r="AE223" s="482"/>
      <c r="AF223" s="600"/>
      <c r="AG223" s="600"/>
      <c r="AH223" s="600"/>
      <c r="AI223" s="600"/>
      <c r="AJ223" s="600"/>
      <c r="AK223" s="600"/>
      <c r="AL223" s="600"/>
      <c r="AM223" s="600"/>
      <c r="AN223" s="600"/>
      <c r="AO223" s="600"/>
      <c r="AP223" s="600"/>
      <c r="AQ223" s="600"/>
      <c r="AR223" s="600"/>
      <c r="AS223" s="600"/>
      <c r="AT223" s="600"/>
      <c r="AU223" s="600"/>
      <c r="AV223" s="600"/>
      <c r="AW223" s="482"/>
      <c r="AX223" s="482"/>
      <c r="AY223" s="482"/>
      <c r="AZ223" s="482"/>
      <c r="BA223" s="343"/>
      <c r="BB223" s="343"/>
      <c r="BC223" s="343"/>
      <c r="BD223" s="343"/>
      <c r="BE223" s="343"/>
      <c r="BF223" s="343"/>
      <c r="BG223" s="343"/>
      <c r="BH223" s="343"/>
      <c r="BI223" s="343"/>
      <c r="BJ223" s="343"/>
      <c r="BK223" s="343"/>
      <c r="BL223" s="343"/>
      <c r="BM223" s="343"/>
      <c r="BN223" s="343"/>
      <c r="BO223" s="343"/>
      <c r="BP223" s="343"/>
      <c r="BQ223" s="343"/>
      <c r="BR223" s="343"/>
      <c r="BS223" s="343"/>
      <c r="BT223" s="343"/>
      <c r="BU223" s="343"/>
      <c r="BV223" s="343"/>
      <c r="BW223" s="343"/>
      <c r="BX223" s="343"/>
    </row>
    <row r="224" spans="1:76" s="25" customFormat="1">
      <c r="A224" s="343"/>
      <c r="B224" s="343"/>
      <c r="C224" s="115"/>
      <c r="D224" s="123"/>
      <c r="E224" s="232"/>
      <c r="F224" s="232"/>
      <c r="G224" s="115"/>
      <c r="H224" s="115"/>
      <c r="I224" s="115"/>
      <c r="J224" s="115"/>
      <c r="K224" s="232"/>
      <c r="L224" s="232"/>
      <c r="M224" s="660"/>
      <c r="N224" s="355"/>
      <c r="O224" s="355"/>
      <c r="P224" s="355"/>
      <c r="Q224" s="355"/>
      <c r="R224" s="600"/>
      <c r="S224" s="600"/>
      <c r="T224" s="600"/>
      <c r="U224" s="600"/>
      <c r="V224" s="600"/>
      <c r="W224" s="600"/>
      <c r="X224" s="600"/>
      <c r="Y224" s="600"/>
      <c r="Z224" s="600"/>
      <c r="AA224" s="482"/>
      <c r="AB224" s="482"/>
      <c r="AC224" s="482"/>
      <c r="AD224" s="600">
        <v>213</v>
      </c>
      <c r="AE224" s="482"/>
      <c r="AF224" s="600"/>
      <c r="AG224" s="600"/>
      <c r="AH224" s="600"/>
      <c r="AI224" s="600"/>
      <c r="AJ224" s="600"/>
      <c r="AK224" s="600"/>
      <c r="AL224" s="600"/>
      <c r="AM224" s="600"/>
      <c r="AN224" s="600"/>
      <c r="AO224" s="600"/>
      <c r="AP224" s="600"/>
      <c r="AQ224" s="600"/>
      <c r="AR224" s="600"/>
      <c r="AS224" s="600"/>
      <c r="AT224" s="600"/>
      <c r="AU224" s="600"/>
      <c r="AV224" s="600"/>
      <c r="AW224" s="482"/>
      <c r="AX224" s="482"/>
      <c r="AY224" s="482"/>
      <c r="AZ224" s="482"/>
      <c r="BA224" s="343"/>
      <c r="BB224" s="343"/>
      <c r="BC224" s="343"/>
      <c r="BD224" s="343"/>
      <c r="BE224" s="343"/>
      <c r="BF224" s="343"/>
      <c r="BG224" s="343"/>
      <c r="BH224" s="343"/>
      <c r="BI224" s="343"/>
      <c r="BJ224" s="343"/>
      <c r="BK224" s="343"/>
      <c r="BL224" s="343"/>
      <c r="BM224" s="343"/>
      <c r="BN224" s="343"/>
      <c r="BO224" s="343"/>
      <c r="BP224" s="343"/>
      <c r="BQ224" s="343"/>
      <c r="BR224" s="343"/>
      <c r="BS224" s="343"/>
      <c r="BT224" s="343"/>
      <c r="BU224" s="343"/>
      <c r="BV224" s="343"/>
      <c r="BW224" s="343"/>
      <c r="BX224" s="343"/>
    </row>
    <row r="225" spans="1:76" s="25" customFormat="1">
      <c r="A225" s="343"/>
      <c r="B225" s="343"/>
      <c r="C225" s="115"/>
      <c r="D225" s="123"/>
      <c r="E225" s="232"/>
      <c r="F225" s="232"/>
      <c r="G225" s="115"/>
      <c r="H225" s="115"/>
      <c r="I225" s="115"/>
      <c r="J225" s="115"/>
      <c r="K225" s="232"/>
      <c r="L225" s="232"/>
      <c r="M225" s="660"/>
      <c r="N225" s="355"/>
      <c r="O225" s="355"/>
      <c r="P225" s="355"/>
      <c r="Q225" s="355"/>
      <c r="R225" s="600"/>
      <c r="S225" s="600"/>
      <c r="T225" s="600"/>
      <c r="U225" s="600"/>
      <c r="V225" s="600"/>
      <c r="W225" s="600"/>
      <c r="X225" s="600"/>
      <c r="Y225" s="600"/>
      <c r="Z225" s="600"/>
      <c r="AA225" s="482"/>
      <c r="AB225" s="482"/>
      <c r="AC225" s="482"/>
      <c r="AD225" s="600">
        <v>214</v>
      </c>
      <c r="AE225" s="482"/>
      <c r="AF225" s="600"/>
      <c r="AG225" s="600"/>
      <c r="AH225" s="600"/>
      <c r="AI225" s="600"/>
      <c r="AJ225" s="600"/>
      <c r="AK225" s="600"/>
      <c r="AL225" s="600"/>
      <c r="AM225" s="600"/>
      <c r="AN225" s="600"/>
      <c r="AO225" s="600"/>
      <c r="AP225" s="600"/>
      <c r="AQ225" s="600"/>
      <c r="AR225" s="600"/>
      <c r="AS225" s="600"/>
      <c r="AT225" s="600"/>
      <c r="AU225" s="600"/>
      <c r="AV225" s="600"/>
      <c r="AW225" s="482"/>
      <c r="AX225" s="482"/>
      <c r="AY225" s="482"/>
      <c r="AZ225" s="482"/>
      <c r="BA225" s="343"/>
      <c r="BB225" s="343"/>
      <c r="BC225" s="343"/>
      <c r="BD225" s="343"/>
      <c r="BE225" s="343"/>
      <c r="BF225" s="343"/>
      <c r="BG225" s="343"/>
      <c r="BH225" s="343"/>
      <c r="BI225" s="343"/>
      <c r="BJ225" s="343"/>
      <c r="BK225" s="343"/>
      <c r="BL225" s="343"/>
      <c r="BM225" s="343"/>
      <c r="BN225" s="343"/>
      <c r="BO225" s="343"/>
      <c r="BP225" s="343"/>
      <c r="BQ225" s="343"/>
      <c r="BR225" s="343"/>
      <c r="BS225" s="343"/>
      <c r="BT225" s="343"/>
      <c r="BU225" s="343"/>
      <c r="BV225" s="343"/>
      <c r="BW225" s="343"/>
      <c r="BX225" s="343"/>
    </row>
    <row r="226" spans="1:76" s="25" customFormat="1">
      <c r="A226" s="343"/>
      <c r="B226" s="343"/>
      <c r="C226" s="115"/>
      <c r="D226" s="123"/>
      <c r="E226" s="232"/>
      <c r="F226" s="232"/>
      <c r="G226" s="115"/>
      <c r="H226" s="115"/>
      <c r="I226" s="115"/>
      <c r="J226" s="115"/>
      <c r="K226" s="232"/>
      <c r="L226" s="232"/>
      <c r="M226" s="660"/>
      <c r="N226" s="355"/>
      <c r="O226" s="355"/>
      <c r="P226" s="355"/>
      <c r="Q226" s="355"/>
      <c r="R226" s="600"/>
      <c r="S226" s="600"/>
      <c r="T226" s="600"/>
      <c r="U226" s="600"/>
      <c r="V226" s="600"/>
      <c r="W226" s="600"/>
      <c r="X226" s="600"/>
      <c r="Y226" s="600"/>
      <c r="Z226" s="600"/>
      <c r="AA226" s="482"/>
      <c r="AB226" s="482"/>
      <c r="AC226" s="482"/>
      <c r="AD226" s="600">
        <v>215</v>
      </c>
      <c r="AE226" s="482"/>
      <c r="AF226" s="600"/>
      <c r="AG226" s="600"/>
      <c r="AH226" s="600"/>
      <c r="AI226" s="600"/>
      <c r="AJ226" s="600"/>
      <c r="AK226" s="600"/>
      <c r="AL226" s="600"/>
      <c r="AM226" s="600"/>
      <c r="AN226" s="600"/>
      <c r="AO226" s="600"/>
      <c r="AP226" s="600"/>
      <c r="AQ226" s="600"/>
      <c r="AR226" s="600"/>
      <c r="AS226" s="600"/>
      <c r="AT226" s="600"/>
      <c r="AU226" s="600"/>
      <c r="AV226" s="600"/>
      <c r="AW226" s="482"/>
      <c r="AX226" s="482"/>
      <c r="AY226" s="482"/>
      <c r="AZ226" s="482"/>
      <c r="BA226" s="343"/>
      <c r="BB226" s="343"/>
      <c r="BC226" s="343"/>
      <c r="BD226" s="343"/>
      <c r="BE226" s="343"/>
      <c r="BF226" s="343"/>
      <c r="BG226" s="343"/>
      <c r="BH226" s="343"/>
      <c r="BI226" s="343"/>
      <c r="BJ226" s="343"/>
      <c r="BK226" s="343"/>
      <c r="BL226" s="343"/>
      <c r="BM226" s="343"/>
      <c r="BN226" s="343"/>
      <c r="BO226" s="343"/>
      <c r="BP226" s="343"/>
      <c r="BQ226" s="343"/>
      <c r="BR226" s="343"/>
      <c r="BS226" s="343"/>
      <c r="BT226" s="343"/>
      <c r="BU226" s="343"/>
      <c r="BV226" s="343"/>
      <c r="BW226" s="343"/>
      <c r="BX226" s="343"/>
    </row>
    <row r="227" spans="1:76" s="25" customFormat="1">
      <c r="A227" s="343"/>
      <c r="B227" s="343"/>
      <c r="C227" s="115"/>
      <c r="D227" s="123"/>
      <c r="E227" s="232"/>
      <c r="F227" s="232"/>
      <c r="G227" s="115"/>
      <c r="H227" s="115"/>
      <c r="I227" s="115"/>
      <c r="J227" s="115"/>
      <c r="K227" s="232"/>
      <c r="L227" s="232"/>
      <c r="M227" s="660"/>
      <c r="N227" s="355"/>
      <c r="O227" s="355"/>
      <c r="P227" s="355"/>
      <c r="Q227" s="355"/>
      <c r="R227" s="600"/>
      <c r="S227" s="600"/>
      <c r="T227" s="600"/>
      <c r="U227" s="600"/>
      <c r="V227" s="600"/>
      <c r="W227" s="600"/>
      <c r="X227" s="600"/>
      <c r="Y227" s="600"/>
      <c r="Z227" s="600"/>
      <c r="AA227" s="482"/>
      <c r="AB227" s="482"/>
      <c r="AC227" s="482"/>
      <c r="AD227" s="600">
        <v>216</v>
      </c>
      <c r="AE227" s="482"/>
      <c r="AF227" s="600"/>
      <c r="AG227" s="600"/>
      <c r="AH227" s="600"/>
      <c r="AI227" s="600"/>
      <c r="AJ227" s="600"/>
      <c r="AK227" s="600"/>
      <c r="AL227" s="600"/>
      <c r="AM227" s="600"/>
      <c r="AN227" s="600"/>
      <c r="AO227" s="600"/>
      <c r="AP227" s="600"/>
      <c r="AQ227" s="600"/>
      <c r="AR227" s="600"/>
      <c r="AS227" s="600"/>
      <c r="AT227" s="600"/>
      <c r="AU227" s="600"/>
      <c r="AV227" s="600"/>
      <c r="AW227" s="482"/>
      <c r="AX227" s="482"/>
      <c r="AY227" s="482"/>
      <c r="AZ227" s="482"/>
      <c r="BA227" s="343"/>
      <c r="BB227" s="343"/>
      <c r="BC227" s="343"/>
      <c r="BD227" s="343"/>
      <c r="BE227" s="343"/>
      <c r="BF227" s="343"/>
      <c r="BG227" s="343"/>
      <c r="BH227" s="343"/>
      <c r="BI227" s="343"/>
      <c r="BJ227" s="343"/>
      <c r="BK227" s="343"/>
      <c r="BL227" s="343"/>
      <c r="BM227" s="343"/>
      <c r="BN227" s="343"/>
      <c r="BO227" s="343"/>
      <c r="BP227" s="343"/>
      <c r="BQ227" s="343"/>
      <c r="BR227" s="343"/>
      <c r="BS227" s="343"/>
      <c r="BT227" s="343"/>
      <c r="BU227" s="343"/>
      <c r="BV227" s="343"/>
      <c r="BW227" s="343"/>
      <c r="BX227" s="343"/>
    </row>
    <row r="228" spans="1:76" s="25" customFormat="1">
      <c r="A228" s="343"/>
      <c r="B228" s="343"/>
      <c r="C228" s="115"/>
      <c r="D228" s="123"/>
      <c r="E228" s="232"/>
      <c r="F228" s="232"/>
      <c r="G228" s="115"/>
      <c r="H228" s="115"/>
      <c r="I228" s="115"/>
      <c r="J228" s="115"/>
      <c r="K228" s="232"/>
      <c r="L228" s="232"/>
      <c r="M228" s="660"/>
      <c r="N228" s="355"/>
      <c r="O228" s="355"/>
      <c r="P228" s="355"/>
      <c r="Q228" s="355"/>
      <c r="R228" s="600"/>
      <c r="S228" s="600"/>
      <c r="T228" s="600"/>
      <c r="U228" s="600"/>
      <c r="V228" s="600"/>
      <c r="W228" s="600"/>
      <c r="X228" s="600"/>
      <c r="Y228" s="600"/>
      <c r="Z228" s="600"/>
      <c r="AA228" s="482"/>
      <c r="AB228" s="482"/>
      <c r="AC228" s="482"/>
      <c r="AD228" s="600">
        <v>217</v>
      </c>
      <c r="AE228" s="482"/>
      <c r="AF228" s="600"/>
      <c r="AG228" s="600"/>
      <c r="AH228" s="600"/>
      <c r="AI228" s="600"/>
      <c r="AJ228" s="600"/>
      <c r="AK228" s="600"/>
      <c r="AL228" s="600"/>
      <c r="AM228" s="600"/>
      <c r="AN228" s="600"/>
      <c r="AO228" s="600"/>
      <c r="AP228" s="600"/>
      <c r="AQ228" s="600"/>
      <c r="AR228" s="600"/>
      <c r="AS228" s="600"/>
      <c r="AT228" s="600"/>
      <c r="AU228" s="600"/>
      <c r="AV228" s="600"/>
      <c r="AW228" s="482"/>
      <c r="AX228" s="482"/>
      <c r="AY228" s="482"/>
      <c r="AZ228" s="482"/>
      <c r="BA228" s="343"/>
      <c r="BB228" s="343"/>
      <c r="BC228" s="343"/>
      <c r="BD228" s="343"/>
      <c r="BE228" s="343"/>
      <c r="BF228" s="343"/>
      <c r="BG228" s="343"/>
      <c r="BH228" s="343"/>
      <c r="BI228" s="343"/>
      <c r="BJ228" s="343"/>
      <c r="BK228" s="343"/>
      <c r="BL228" s="343"/>
      <c r="BM228" s="343"/>
      <c r="BN228" s="343"/>
      <c r="BO228" s="343"/>
      <c r="BP228" s="343"/>
      <c r="BQ228" s="343"/>
      <c r="BR228" s="343"/>
      <c r="BS228" s="343"/>
      <c r="BT228" s="343"/>
      <c r="BU228" s="343"/>
      <c r="BV228" s="343"/>
      <c r="BW228" s="343"/>
      <c r="BX228" s="343"/>
    </row>
    <row r="229" spans="1:76" s="25" customFormat="1">
      <c r="A229" s="343"/>
      <c r="B229" s="343"/>
      <c r="C229" s="115"/>
      <c r="D229" s="123"/>
      <c r="E229" s="232"/>
      <c r="F229" s="232"/>
      <c r="G229" s="115"/>
      <c r="H229" s="115"/>
      <c r="I229" s="115"/>
      <c r="J229" s="115"/>
      <c r="K229" s="232"/>
      <c r="L229" s="232"/>
      <c r="M229" s="660"/>
      <c r="N229" s="355"/>
      <c r="O229" s="355"/>
      <c r="P229" s="355"/>
      <c r="Q229" s="355"/>
      <c r="R229" s="600"/>
      <c r="S229" s="600"/>
      <c r="T229" s="600"/>
      <c r="U229" s="600"/>
      <c r="V229" s="600"/>
      <c r="W229" s="600"/>
      <c r="X229" s="600"/>
      <c r="Y229" s="600"/>
      <c r="Z229" s="600"/>
      <c r="AA229" s="482"/>
      <c r="AB229" s="482"/>
      <c r="AC229" s="482"/>
      <c r="AD229" s="600">
        <v>218</v>
      </c>
      <c r="AE229" s="482"/>
      <c r="AF229" s="600"/>
      <c r="AG229" s="600"/>
      <c r="AH229" s="600"/>
      <c r="AI229" s="600"/>
      <c r="AJ229" s="600"/>
      <c r="AK229" s="600"/>
      <c r="AL229" s="600"/>
      <c r="AM229" s="600"/>
      <c r="AN229" s="600"/>
      <c r="AO229" s="600"/>
      <c r="AP229" s="600"/>
      <c r="AQ229" s="600"/>
      <c r="AR229" s="600"/>
      <c r="AS229" s="600"/>
      <c r="AT229" s="600"/>
      <c r="AU229" s="600"/>
      <c r="AV229" s="600"/>
      <c r="AW229" s="482"/>
      <c r="AX229" s="482"/>
      <c r="AY229" s="482"/>
      <c r="AZ229" s="482"/>
      <c r="BA229" s="343"/>
      <c r="BB229" s="343"/>
      <c r="BC229" s="343"/>
      <c r="BD229" s="343"/>
      <c r="BE229" s="343"/>
      <c r="BF229" s="343"/>
      <c r="BG229" s="343"/>
      <c r="BH229" s="343"/>
      <c r="BI229" s="343"/>
      <c r="BJ229" s="343"/>
      <c r="BK229" s="343"/>
      <c r="BL229" s="343"/>
      <c r="BM229" s="343"/>
      <c r="BN229" s="343"/>
      <c r="BO229" s="343"/>
      <c r="BP229" s="343"/>
      <c r="BQ229" s="343"/>
      <c r="BR229" s="343"/>
      <c r="BS229" s="343"/>
      <c r="BT229" s="343"/>
      <c r="BU229" s="343"/>
      <c r="BV229" s="343"/>
      <c r="BW229" s="343"/>
      <c r="BX229" s="343"/>
    </row>
    <row r="230" spans="1:76" s="25" customFormat="1">
      <c r="A230" s="343"/>
      <c r="B230" s="343"/>
      <c r="C230" s="115"/>
      <c r="D230" s="123"/>
      <c r="E230" s="232"/>
      <c r="F230" s="232"/>
      <c r="G230" s="115"/>
      <c r="H230" s="115"/>
      <c r="I230" s="115"/>
      <c r="J230" s="115"/>
      <c r="K230" s="232"/>
      <c r="L230" s="232"/>
      <c r="M230" s="660"/>
      <c r="N230" s="355"/>
      <c r="O230" s="355"/>
      <c r="P230" s="355"/>
      <c r="Q230" s="355"/>
      <c r="R230" s="600"/>
      <c r="S230" s="600"/>
      <c r="T230" s="600"/>
      <c r="U230" s="600"/>
      <c r="V230" s="600"/>
      <c r="W230" s="600"/>
      <c r="X230" s="600"/>
      <c r="Y230" s="600"/>
      <c r="Z230" s="600"/>
      <c r="AA230" s="482"/>
      <c r="AB230" s="482"/>
      <c r="AC230" s="482"/>
      <c r="AD230" s="600">
        <v>219</v>
      </c>
      <c r="AE230" s="482"/>
      <c r="AF230" s="600"/>
      <c r="AG230" s="600"/>
      <c r="AH230" s="600"/>
      <c r="AI230" s="600"/>
      <c r="AJ230" s="600"/>
      <c r="AK230" s="600"/>
      <c r="AL230" s="600"/>
      <c r="AM230" s="600"/>
      <c r="AN230" s="600"/>
      <c r="AO230" s="600"/>
      <c r="AP230" s="600"/>
      <c r="AQ230" s="600"/>
      <c r="AR230" s="600"/>
      <c r="AS230" s="600"/>
      <c r="AT230" s="600"/>
      <c r="AU230" s="600"/>
      <c r="AV230" s="600"/>
      <c r="AW230" s="482"/>
      <c r="AX230" s="482"/>
      <c r="AY230" s="482"/>
      <c r="AZ230" s="482"/>
      <c r="BA230" s="343"/>
      <c r="BB230" s="343"/>
      <c r="BC230" s="343"/>
      <c r="BD230" s="343"/>
      <c r="BE230" s="343"/>
      <c r="BF230" s="343"/>
      <c r="BG230" s="343"/>
      <c r="BH230" s="343"/>
      <c r="BI230" s="343"/>
      <c r="BJ230" s="343"/>
      <c r="BK230" s="343"/>
      <c r="BL230" s="343"/>
      <c r="BM230" s="343"/>
      <c r="BN230" s="343"/>
      <c r="BO230" s="343"/>
      <c r="BP230" s="343"/>
      <c r="BQ230" s="343"/>
      <c r="BR230" s="343"/>
      <c r="BS230" s="343"/>
      <c r="BT230" s="343"/>
      <c r="BU230" s="343"/>
      <c r="BV230" s="343"/>
      <c r="BW230" s="343"/>
      <c r="BX230" s="343"/>
    </row>
    <row r="231" spans="1:76" s="25" customFormat="1">
      <c r="A231" s="343"/>
      <c r="B231" s="343"/>
      <c r="C231" s="115"/>
      <c r="D231" s="123"/>
      <c r="E231" s="232"/>
      <c r="F231" s="232"/>
      <c r="G231" s="115"/>
      <c r="H231" s="115"/>
      <c r="I231" s="115"/>
      <c r="J231" s="115"/>
      <c r="K231" s="232"/>
      <c r="L231" s="232"/>
      <c r="M231" s="660"/>
      <c r="N231" s="355"/>
      <c r="O231" s="355"/>
      <c r="P231" s="355"/>
      <c r="Q231" s="355"/>
      <c r="R231" s="600"/>
      <c r="S231" s="600"/>
      <c r="T231" s="600"/>
      <c r="U231" s="600"/>
      <c r="V231" s="600"/>
      <c r="W231" s="600"/>
      <c r="X231" s="600"/>
      <c r="Y231" s="600"/>
      <c r="Z231" s="600"/>
      <c r="AA231" s="482"/>
      <c r="AB231" s="482"/>
      <c r="AC231" s="482"/>
      <c r="AD231" s="600">
        <v>220</v>
      </c>
      <c r="AE231" s="482"/>
      <c r="AF231" s="600"/>
      <c r="AG231" s="600"/>
      <c r="AH231" s="600"/>
      <c r="AI231" s="600"/>
      <c r="AJ231" s="600"/>
      <c r="AK231" s="600"/>
      <c r="AL231" s="600"/>
      <c r="AM231" s="600"/>
      <c r="AN231" s="600"/>
      <c r="AO231" s="600"/>
      <c r="AP231" s="600"/>
      <c r="AQ231" s="600"/>
      <c r="AR231" s="600"/>
      <c r="AS231" s="600"/>
      <c r="AT231" s="600"/>
      <c r="AU231" s="600"/>
      <c r="AV231" s="600"/>
      <c r="AW231" s="482"/>
      <c r="AX231" s="482"/>
      <c r="AY231" s="482"/>
      <c r="AZ231" s="482"/>
      <c r="BA231" s="343"/>
      <c r="BB231" s="343"/>
      <c r="BC231" s="343"/>
      <c r="BD231" s="343"/>
      <c r="BE231" s="343"/>
      <c r="BF231" s="343"/>
      <c r="BG231" s="343"/>
      <c r="BH231" s="343"/>
      <c r="BI231" s="343"/>
      <c r="BJ231" s="343"/>
      <c r="BK231" s="343"/>
      <c r="BL231" s="343"/>
      <c r="BM231" s="343"/>
      <c r="BN231" s="343"/>
      <c r="BO231" s="343"/>
      <c r="BP231" s="343"/>
      <c r="BQ231" s="343"/>
      <c r="BR231" s="343"/>
      <c r="BS231" s="343"/>
      <c r="BT231" s="343"/>
      <c r="BU231" s="343"/>
      <c r="BV231" s="343"/>
      <c r="BW231" s="343"/>
      <c r="BX231" s="343"/>
    </row>
    <row r="232" spans="1:76" s="25" customFormat="1">
      <c r="A232" s="343"/>
      <c r="B232" s="343"/>
      <c r="C232" s="115"/>
      <c r="D232" s="123"/>
      <c r="E232" s="232"/>
      <c r="F232" s="232"/>
      <c r="G232" s="115"/>
      <c r="H232" s="115"/>
      <c r="I232" s="115"/>
      <c r="J232" s="115"/>
      <c r="K232" s="232"/>
      <c r="L232" s="232"/>
      <c r="M232" s="660"/>
      <c r="N232" s="355"/>
      <c r="O232" s="355"/>
      <c r="P232" s="355"/>
      <c r="Q232" s="355"/>
      <c r="R232" s="600"/>
      <c r="S232" s="600"/>
      <c r="T232" s="600"/>
      <c r="U232" s="600"/>
      <c r="V232" s="600"/>
      <c r="W232" s="600"/>
      <c r="X232" s="600"/>
      <c r="Y232" s="600"/>
      <c r="Z232" s="600"/>
      <c r="AA232" s="482"/>
      <c r="AB232" s="482"/>
      <c r="AC232" s="482"/>
      <c r="AD232" s="600">
        <v>221</v>
      </c>
      <c r="AE232" s="482"/>
      <c r="AF232" s="600"/>
      <c r="AG232" s="600"/>
      <c r="AH232" s="600"/>
      <c r="AI232" s="600"/>
      <c r="AJ232" s="600"/>
      <c r="AK232" s="600"/>
      <c r="AL232" s="600"/>
      <c r="AM232" s="600"/>
      <c r="AN232" s="600"/>
      <c r="AO232" s="600"/>
      <c r="AP232" s="600"/>
      <c r="AQ232" s="600"/>
      <c r="AR232" s="600"/>
      <c r="AS232" s="600"/>
      <c r="AT232" s="600"/>
      <c r="AU232" s="600"/>
      <c r="AV232" s="600"/>
      <c r="AW232" s="482"/>
      <c r="AX232" s="482"/>
      <c r="AY232" s="482"/>
      <c r="AZ232" s="482"/>
      <c r="BA232" s="343"/>
      <c r="BB232" s="343"/>
      <c r="BC232" s="343"/>
      <c r="BD232" s="343"/>
      <c r="BE232" s="343"/>
      <c r="BF232" s="343"/>
      <c r="BG232" s="343"/>
      <c r="BH232" s="343"/>
      <c r="BI232" s="343"/>
      <c r="BJ232" s="343"/>
      <c r="BK232" s="343"/>
      <c r="BL232" s="343"/>
      <c r="BM232" s="343"/>
      <c r="BN232" s="343"/>
      <c r="BO232" s="343"/>
      <c r="BP232" s="343"/>
      <c r="BQ232" s="343"/>
      <c r="BR232" s="343"/>
      <c r="BS232" s="343"/>
      <c r="BT232" s="343"/>
      <c r="BU232" s="343"/>
      <c r="BV232" s="343"/>
      <c r="BW232" s="343"/>
      <c r="BX232" s="343"/>
    </row>
    <row r="233" spans="1:76" s="25" customFormat="1">
      <c r="A233" s="343"/>
      <c r="B233" s="343"/>
      <c r="C233" s="115"/>
      <c r="D233" s="123"/>
      <c r="E233" s="232"/>
      <c r="F233" s="232"/>
      <c r="G233" s="115"/>
      <c r="H233" s="115"/>
      <c r="I233" s="115"/>
      <c r="J233" s="115"/>
      <c r="K233" s="232"/>
      <c r="L233" s="232"/>
      <c r="M233" s="660"/>
      <c r="N233" s="355"/>
      <c r="O233" s="355"/>
      <c r="P233" s="355"/>
      <c r="Q233" s="355"/>
      <c r="R233" s="600"/>
      <c r="S233" s="600"/>
      <c r="T233" s="600"/>
      <c r="U233" s="600"/>
      <c r="V233" s="600"/>
      <c r="W233" s="600"/>
      <c r="X233" s="600"/>
      <c r="Y233" s="600"/>
      <c r="Z233" s="600"/>
      <c r="AA233" s="482"/>
      <c r="AB233" s="482"/>
      <c r="AC233" s="482"/>
      <c r="AD233" s="600">
        <v>222</v>
      </c>
      <c r="AE233" s="482"/>
      <c r="AF233" s="600"/>
      <c r="AG233" s="600"/>
      <c r="AH233" s="600"/>
      <c r="AI233" s="600"/>
      <c r="AJ233" s="600"/>
      <c r="AK233" s="600"/>
      <c r="AL233" s="600"/>
      <c r="AM233" s="600"/>
      <c r="AN233" s="600"/>
      <c r="AO233" s="600"/>
      <c r="AP233" s="600"/>
      <c r="AQ233" s="600"/>
      <c r="AR233" s="600"/>
      <c r="AS233" s="600"/>
      <c r="AT233" s="600"/>
      <c r="AU233" s="600"/>
      <c r="AV233" s="600"/>
      <c r="AW233" s="482"/>
      <c r="AX233" s="482"/>
      <c r="AY233" s="482"/>
      <c r="AZ233" s="482"/>
      <c r="BA233" s="343"/>
      <c r="BB233" s="343"/>
      <c r="BC233" s="343"/>
      <c r="BD233" s="343"/>
      <c r="BE233" s="343"/>
      <c r="BF233" s="343"/>
      <c r="BG233" s="343"/>
      <c r="BH233" s="343"/>
      <c r="BI233" s="343"/>
      <c r="BJ233" s="343"/>
      <c r="BK233" s="343"/>
      <c r="BL233" s="343"/>
      <c r="BM233" s="343"/>
      <c r="BN233" s="343"/>
      <c r="BO233" s="343"/>
      <c r="BP233" s="343"/>
      <c r="BQ233" s="343"/>
      <c r="BR233" s="343"/>
      <c r="BS233" s="343"/>
      <c r="BT233" s="343"/>
      <c r="BU233" s="343"/>
      <c r="BV233" s="343"/>
      <c r="BW233" s="343"/>
      <c r="BX233" s="343"/>
    </row>
    <row r="234" spans="1:76" s="25" customFormat="1">
      <c r="A234" s="343"/>
      <c r="B234" s="343"/>
      <c r="C234" s="115"/>
      <c r="D234" s="123"/>
      <c r="E234" s="232"/>
      <c r="F234" s="232"/>
      <c r="G234" s="115"/>
      <c r="H234" s="115"/>
      <c r="I234" s="115"/>
      <c r="J234" s="115"/>
      <c r="K234" s="232"/>
      <c r="L234" s="232"/>
      <c r="M234" s="660"/>
      <c r="N234" s="355"/>
      <c r="O234" s="355"/>
      <c r="P234" s="355"/>
      <c r="Q234" s="355"/>
      <c r="R234" s="600"/>
      <c r="S234" s="600"/>
      <c r="T234" s="600"/>
      <c r="U234" s="600"/>
      <c r="V234" s="600"/>
      <c r="W234" s="600"/>
      <c r="X234" s="600"/>
      <c r="Y234" s="600"/>
      <c r="Z234" s="600"/>
      <c r="AA234" s="482"/>
      <c r="AB234" s="482"/>
      <c r="AC234" s="482"/>
      <c r="AD234" s="600">
        <v>223</v>
      </c>
      <c r="AE234" s="482"/>
      <c r="AF234" s="600"/>
      <c r="AG234" s="600"/>
      <c r="AH234" s="600"/>
      <c r="AI234" s="600"/>
      <c r="AJ234" s="600"/>
      <c r="AK234" s="600"/>
      <c r="AL234" s="600"/>
      <c r="AM234" s="600"/>
      <c r="AN234" s="600"/>
      <c r="AO234" s="600"/>
      <c r="AP234" s="600"/>
      <c r="AQ234" s="600"/>
      <c r="AR234" s="600"/>
      <c r="AS234" s="600"/>
      <c r="AT234" s="600"/>
      <c r="AU234" s="600"/>
      <c r="AV234" s="600"/>
      <c r="AW234" s="482"/>
      <c r="AX234" s="482"/>
      <c r="AY234" s="482"/>
      <c r="AZ234" s="482"/>
      <c r="BA234" s="343"/>
      <c r="BB234" s="343"/>
      <c r="BC234" s="343"/>
      <c r="BD234" s="343"/>
      <c r="BE234" s="343"/>
      <c r="BF234" s="343"/>
      <c r="BG234" s="343"/>
      <c r="BH234" s="343"/>
      <c r="BI234" s="343"/>
      <c r="BJ234" s="343"/>
      <c r="BK234" s="343"/>
      <c r="BL234" s="343"/>
      <c r="BM234" s="343"/>
      <c r="BN234" s="343"/>
      <c r="BO234" s="343"/>
      <c r="BP234" s="343"/>
      <c r="BQ234" s="343"/>
      <c r="BR234" s="343"/>
      <c r="BS234" s="343"/>
      <c r="BT234" s="343"/>
      <c r="BU234" s="343"/>
      <c r="BV234" s="343"/>
      <c r="BW234" s="343"/>
      <c r="BX234" s="343"/>
    </row>
    <row r="235" spans="1:76" s="25" customFormat="1">
      <c r="A235" s="343"/>
      <c r="B235" s="343"/>
      <c r="C235" s="115"/>
      <c r="D235" s="123"/>
      <c r="E235" s="232"/>
      <c r="F235" s="232"/>
      <c r="G235" s="115"/>
      <c r="H235" s="115"/>
      <c r="I235" s="115"/>
      <c r="J235" s="115"/>
      <c r="K235" s="232"/>
      <c r="L235" s="232"/>
      <c r="M235" s="660"/>
      <c r="N235" s="355"/>
      <c r="O235" s="355"/>
      <c r="P235" s="355"/>
      <c r="Q235" s="355"/>
      <c r="R235" s="600"/>
      <c r="S235" s="600"/>
      <c r="T235" s="600"/>
      <c r="U235" s="600"/>
      <c r="V235" s="600"/>
      <c r="W235" s="600"/>
      <c r="X235" s="600"/>
      <c r="Y235" s="600"/>
      <c r="Z235" s="600"/>
      <c r="AA235" s="482"/>
      <c r="AB235" s="482"/>
      <c r="AC235" s="482"/>
      <c r="AD235" s="600">
        <v>224</v>
      </c>
      <c r="AE235" s="482"/>
      <c r="AF235" s="600"/>
      <c r="AG235" s="600"/>
      <c r="AH235" s="600"/>
      <c r="AI235" s="600"/>
      <c r="AJ235" s="600"/>
      <c r="AK235" s="600"/>
      <c r="AL235" s="600"/>
      <c r="AM235" s="600"/>
      <c r="AN235" s="600"/>
      <c r="AO235" s="600"/>
      <c r="AP235" s="600"/>
      <c r="AQ235" s="600"/>
      <c r="AR235" s="600"/>
      <c r="AS235" s="600"/>
      <c r="AT235" s="600"/>
      <c r="AU235" s="600"/>
      <c r="AV235" s="600"/>
      <c r="AW235" s="482"/>
      <c r="AX235" s="482"/>
      <c r="AY235" s="482"/>
      <c r="AZ235" s="482"/>
      <c r="BA235" s="343"/>
      <c r="BB235" s="343"/>
      <c r="BC235" s="343"/>
      <c r="BD235" s="343"/>
      <c r="BE235" s="343"/>
      <c r="BF235" s="343"/>
      <c r="BG235" s="343"/>
      <c r="BH235" s="343"/>
      <c r="BI235" s="343"/>
      <c r="BJ235" s="343"/>
      <c r="BK235" s="343"/>
      <c r="BL235" s="343"/>
      <c r="BM235" s="343"/>
      <c r="BN235" s="343"/>
      <c r="BO235" s="343"/>
      <c r="BP235" s="343"/>
      <c r="BQ235" s="343"/>
      <c r="BR235" s="343"/>
      <c r="BS235" s="343"/>
      <c r="BT235" s="343"/>
      <c r="BU235" s="343"/>
      <c r="BV235" s="343"/>
      <c r="BW235" s="343"/>
      <c r="BX235" s="343"/>
    </row>
    <row r="236" spans="1:76" s="25" customFormat="1">
      <c r="A236" s="343"/>
      <c r="B236" s="343"/>
      <c r="C236" s="115"/>
      <c r="D236" s="123"/>
      <c r="E236" s="232"/>
      <c r="F236" s="232"/>
      <c r="G236" s="115"/>
      <c r="H236" s="115"/>
      <c r="I236" s="115"/>
      <c r="J236" s="115"/>
      <c r="K236" s="232"/>
      <c r="L236" s="232"/>
      <c r="M236" s="660"/>
      <c r="N236" s="355"/>
      <c r="O236" s="355"/>
      <c r="P236" s="355"/>
      <c r="Q236" s="355"/>
      <c r="R236" s="600"/>
      <c r="S236" s="600"/>
      <c r="T236" s="600"/>
      <c r="U236" s="600"/>
      <c r="V236" s="600"/>
      <c r="W236" s="600"/>
      <c r="X236" s="600"/>
      <c r="Y236" s="600"/>
      <c r="Z236" s="600"/>
      <c r="AA236" s="482"/>
      <c r="AB236" s="482"/>
      <c r="AC236" s="482"/>
      <c r="AD236" s="600">
        <v>225</v>
      </c>
      <c r="AE236" s="482"/>
      <c r="AF236" s="600"/>
      <c r="AG236" s="600"/>
      <c r="AH236" s="600"/>
      <c r="AI236" s="600"/>
      <c r="AJ236" s="600"/>
      <c r="AK236" s="600"/>
      <c r="AL236" s="600"/>
      <c r="AM236" s="600"/>
      <c r="AN236" s="600"/>
      <c r="AO236" s="600"/>
      <c r="AP236" s="600"/>
      <c r="AQ236" s="600"/>
      <c r="AR236" s="600"/>
      <c r="AS236" s="600"/>
      <c r="AT236" s="600"/>
      <c r="AU236" s="600"/>
      <c r="AV236" s="600"/>
      <c r="AW236" s="482"/>
      <c r="AX236" s="482"/>
      <c r="AY236" s="482"/>
      <c r="AZ236" s="482"/>
      <c r="BA236" s="343"/>
      <c r="BB236" s="343"/>
      <c r="BC236" s="343"/>
      <c r="BD236" s="343"/>
      <c r="BE236" s="343"/>
      <c r="BF236" s="343"/>
      <c r="BG236" s="343"/>
      <c r="BH236" s="343"/>
      <c r="BI236" s="343"/>
      <c r="BJ236" s="343"/>
      <c r="BK236" s="343"/>
      <c r="BL236" s="343"/>
      <c r="BM236" s="343"/>
      <c r="BN236" s="343"/>
      <c r="BO236" s="343"/>
      <c r="BP236" s="343"/>
      <c r="BQ236" s="343"/>
      <c r="BR236" s="343"/>
      <c r="BS236" s="343"/>
      <c r="BT236" s="343"/>
      <c r="BU236" s="343"/>
      <c r="BV236" s="343"/>
      <c r="BW236" s="343"/>
      <c r="BX236" s="343"/>
    </row>
    <row r="237" spans="1:76" s="25" customFormat="1">
      <c r="A237" s="343"/>
      <c r="B237" s="343"/>
      <c r="C237" s="115"/>
      <c r="D237" s="123"/>
      <c r="E237" s="232"/>
      <c r="F237" s="232"/>
      <c r="G237" s="115"/>
      <c r="H237" s="115"/>
      <c r="I237" s="115"/>
      <c r="J237" s="115"/>
      <c r="K237" s="232"/>
      <c r="L237" s="232"/>
      <c r="M237" s="660"/>
      <c r="N237" s="355"/>
      <c r="O237" s="355"/>
      <c r="P237" s="355"/>
      <c r="Q237" s="355"/>
      <c r="R237" s="600"/>
      <c r="S237" s="600"/>
      <c r="T237" s="600"/>
      <c r="U237" s="600"/>
      <c r="V237" s="600"/>
      <c r="W237" s="600"/>
      <c r="X237" s="600"/>
      <c r="Y237" s="600"/>
      <c r="Z237" s="600"/>
      <c r="AA237" s="482"/>
      <c r="AB237" s="482"/>
      <c r="AC237" s="482"/>
      <c r="AD237" s="600">
        <v>226</v>
      </c>
      <c r="AE237" s="482"/>
      <c r="AF237" s="600"/>
      <c r="AG237" s="600"/>
      <c r="AH237" s="600"/>
      <c r="AI237" s="600"/>
      <c r="AJ237" s="600"/>
      <c r="AK237" s="600"/>
      <c r="AL237" s="600"/>
      <c r="AM237" s="600"/>
      <c r="AN237" s="600"/>
      <c r="AO237" s="600"/>
      <c r="AP237" s="600"/>
      <c r="AQ237" s="600"/>
      <c r="AR237" s="600"/>
      <c r="AS237" s="600"/>
      <c r="AT237" s="600"/>
      <c r="AU237" s="600"/>
      <c r="AV237" s="600"/>
      <c r="AW237" s="482"/>
      <c r="AX237" s="482"/>
      <c r="AY237" s="482"/>
      <c r="AZ237" s="482"/>
      <c r="BA237" s="343"/>
      <c r="BB237" s="343"/>
      <c r="BC237" s="343"/>
      <c r="BD237" s="343"/>
      <c r="BE237" s="343"/>
      <c r="BF237" s="343"/>
      <c r="BG237" s="343"/>
      <c r="BH237" s="343"/>
      <c r="BI237" s="343"/>
      <c r="BJ237" s="343"/>
      <c r="BK237" s="343"/>
      <c r="BL237" s="343"/>
      <c r="BM237" s="343"/>
      <c r="BN237" s="343"/>
      <c r="BO237" s="343"/>
      <c r="BP237" s="343"/>
      <c r="BQ237" s="343"/>
      <c r="BR237" s="343"/>
      <c r="BS237" s="343"/>
      <c r="BT237" s="343"/>
      <c r="BU237" s="343"/>
      <c r="BV237" s="343"/>
      <c r="BW237" s="343"/>
      <c r="BX237" s="343"/>
    </row>
    <row r="238" spans="1:76" s="25" customFormat="1">
      <c r="A238" s="343"/>
      <c r="B238" s="343"/>
      <c r="C238" s="115"/>
      <c r="D238" s="123"/>
      <c r="E238" s="232"/>
      <c r="F238" s="232"/>
      <c r="G238" s="115"/>
      <c r="H238" s="115"/>
      <c r="I238" s="115"/>
      <c r="J238" s="115"/>
      <c r="K238" s="232"/>
      <c r="L238" s="232"/>
      <c r="M238" s="660"/>
      <c r="N238" s="355"/>
      <c r="O238" s="355"/>
      <c r="P238" s="355"/>
      <c r="Q238" s="355"/>
      <c r="R238" s="600"/>
      <c r="S238" s="600"/>
      <c r="T238" s="600"/>
      <c r="U238" s="600"/>
      <c r="V238" s="600"/>
      <c r="W238" s="600"/>
      <c r="X238" s="600"/>
      <c r="Y238" s="600"/>
      <c r="Z238" s="600"/>
      <c r="AA238" s="482"/>
      <c r="AB238" s="482"/>
      <c r="AC238" s="482"/>
      <c r="AD238" s="600">
        <v>227</v>
      </c>
      <c r="AE238" s="482"/>
      <c r="AF238" s="600"/>
      <c r="AG238" s="600"/>
      <c r="AH238" s="600"/>
      <c r="AI238" s="600"/>
      <c r="AJ238" s="600"/>
      <c r="AK238" s="600"/>
      <c r="AL238" s="600"/>
      <c r="AM238" s="600"/>
      <c r="AN238" s="600"/>
      <c r="AO238" s="600"/>
      <c r="AP238" s="600"/>
      <c r="AQ238" s="600"/>
      <c r="AR238" s="600"/>
      <c r="AS238" s="600"/>
      <c r="AT238" s="600"/>
      <c r="AU238" s="600"/>
      <c r="AV238" s="600"/>
      <c r="AW238" s="482"/>
      <c r="AX238" s="482"/>
      <c r="AY238" s="482"/>
      <c r="AZ238" s="482"/>
      <c r="BA238" s="343"/>
      <c r="BB238" s="343"/>
      <c r="BC238" s="343"/>
      <c r="BD238" s="343"/>
      <c r="BE238" s="343"/>
      <c r="BF238" s="343"/>
      <c r="BG238" s="343"/>
      <c r="BH238" s="343"/>
      <c r="BI238" s="343"/>
      <c r="BJ238" s="343"/>
      <c r="BK238" s="343"/>
      <c r="BL238" s="343"/>
      <c r="BM238" s="343"/>
      <c r="BN238" s="343"/>
      <c r="BO238" s="343"/>
      <c r="BP238" s="343"/>
      <c r="BQ238" s="343"/>
      <c r="BR238" s="343"/>
      <c r="BS238" s="343"/>
      <c r="BT238" s="343"/>
      <c r="BU238" s="343"/>
      <c r="BV238" s="343"/>
      <c r="BW238" s="343"/>
      <c r="BX238" s="343"/>
    </row>
    <row r="239" spans="1:76" s="25" customFormat="1">
      <c r="A239" s="343"/>
      <c r="B239" s="343"/>
      <c r="C239" s="115"/>
      <c r="D239" s="123"/>
      <c r="E239" s="232"/>
      <c r="F239" s="232"/>
      <c r="G239" s="115"/>
      <c r="H239" s="115"/>
      <c r="I239" s="115"/>
      <c r="J239" s="115"/>
      <c r="K239" s="232"/>
      <c r="L239" s="232"/>
      <c r="M239" s="660"/>
      <c r="N239" s="355"/>
      <c r="O239" s="355"/>
      <c r="P239" s="355"/>
      <c r="Q239" s="355"/>
      <c r="R239" s="600"/>
      <c r="S239" s="600"/>
      <c r="T239" s="600"/>
      <c r="U239" s="600"/>
      <c r="V239" s="600"/>
      <c r="W239" s="600"/>
      <c r="X239" s="600"/>
      <c r="Y239" s="600"/>
      <c r="Z239" s="600"/>
      <c r="AA239" s="482"/>
      <c r="AB239" s="482"/>
      <c r="AC239" s="482"/>
      <c r="AD239" s="600">
        <v>228</v>
      </c>
      <c r="AE239" s="482"/>
      <c r="AF239" s="600"/>
      <c r="AG239" s="600"/>
      <c r="AH239" s="600"/>
      <c r="AI239" s="600"/>
      <c r="AJ239" s="600"/>
      <c r="AK239" s="600"/>
      <c r="AL239" s="600"/>
      <c r="AM239" s="600"/>
      <c r="AN239" s="600"/>
      <c r="AO239" s="600"/>
      <c r="AP239" s="600"/>
      <c r="AQ239" s="600"/>
      <c r="AR239" s="600"/>
      <c r="AS239" s="600"/>
      <c r="AT239" s="600"/>
      <c r="AU239" s="600"/>
      <c r="AV239" s="600"/>
      <c r="AW239" s="482"/>
      <c r="AX239" s="482"/>
      <c r="AY239" s="482"/>
      <c r="AZ239" s="482"/>
      <c r="BA239" s="343"/>
      <c r="BB239" s="343"/>
      <c r="BC239" s="343"/>
      <c r="BD239" s="343"/>
      <c r="BE239" s="343"/>
      <c r="BF239" s="343"/>
      <c r="BG239" s="343"/>
      <c r="BH239" s="343"/>
      <c r="BI239" s="343"/>
      <c r="BJ239" s="343"/>
      <c r="BK239" s="343"/>
      <c r="BL239" s="343"/>
      <c r="BM239" s="343"/>
      <c r="BN239" s="343"/>
      <c r="BO239" s="343"/>
      <c r="BP239" s="343"/>
      <c r="BQ239" s="343"/>
      <c r="BR239" s="343"/>
      <c r="BS239" s="343"/>
      <c r="BT239" s="343"/>
      <c r="BU239" s="343"/>
      <c r="BV239" s="343"/>
      <c r="BW239" s="343"/>
      <c r="BX239" s="343"/>
    </row>
    <row r="240" spans="1:76" s="25" customFormat="1">
      <c r="A240" s="343"/>
      <c r="B240" s="343"/>
      <c r="C240" s="115"/>
      <c r="D240" s="123"/>
      <c r="E240" s="232"/>
      <c r="F240" s="232"/>
      <c r="G240" s="115"/>
      <c r="H240" s="115"/>
      <c r="I240" s="115"/>
      <c r="J240" s="115"/>
      <c r="K240" s="232"/>
      <c r="L240" s="232"/>
      <c r="M240" s="660"/>
      <c r="N240" s="355"/>
      <c r="O240" s="355"/>
      <c r="P240" s="355"/>
      <c r="Q240" s="355"/>
      <c r="R240" s="600"/>
      <c r="S240" s="600"/>
      <c r="T240" s="600"/>
      <c r="U240" s="600"/>
      <c r="V240" s="600"/>
      <c r="W240" s="600"/>
      <c r="X240" s="600"/>
      <c r="Y240" s="600"/>
      <c r="Z240" s="600"/>
      <c r="AA240" s="482"/>
      <c r="AB240" s="482"/>
      <c r="AC240" s="482"/>
      <c r="AD240" s="600">
        <v>229</v>
      </c>
      <c r="AE240" s="482"/>
      <c r="AF240" s="600"/>
      <c r="AG240" s="600"/>
      <c r="AH240" s="600"/>
      <c r="AI240" s="600"/>
      <c r="AJ240" s="600"/>
      <c r="AK240" s="600"/>
      <c r="AL240" s="600"/>
      <c r="AM240" s="600"/>
      <c r="AN240" s="600"/>
      <c r="AO240" s="600"/>
      <c r="AP240" s="600"/>
      <c r="AQ240" s="600"/>
      <c r="AR240" s="600"/>
      <c r="AS240" s="600"/>
      <c r="AT240" s="600"/>
      <c r="AU240" s="600"/>
      <c r="AV240" s="600"/>
      <c r="AW240" s="482"/>
      <c r="AX240" s="482"/>
      <c r="AY240" s="482"/>
      <c r="AZ240" s="482"/>
      <c r="BA240" s="343"/>
      <c r="BB240" s="343"/>
      <c r="BC240" s="343"/>
      <c r="BD240" s="343"/>
      <c r="BE240" s="343"/>
      <c r="BF240" s="343"/>
      <c r="BG240" s="343"/>
      <c r="BH240" s="343"/>
      <c r="BI240" s="343"/>
      <c r="BJ240" s="343"/>
      <c r="BK240" s="343"/>
      <c r="BL240" s="343"/>
      <c r="BM240" s="343"/>
      <c r="BN240" s="343"/>
      <c r="BO240" s="343"/>
      <c r="BP240" s="343"/>
      <c r="BQ240" s="343"/>
      <c r="BR240" s="343"/>
      <c r="BS240" s="343"/>
      <c r="BT240" s="343"/>
      <c r="BU240" s="343"/>
      <c r="BV240" s="343"/>
      <c r="BW240" s="343"/>
      <c r="BX240" s="343"/>
    </row>
    <row r="241" spans="1:76" s="25" customFormat="1">
      <c r="A241" s="343"/>
      <c r="B241" s="343"/>
      <c r="C241" s="115"/>
      <c r="D241" s="123"/>
      <c r="E241" s="232"/>
      <c r="F241" s="232"/>
      <c r="G241" s="115"/>
      <c r="H241" s="115"/>
      <c r="I241" s="115"/>
      <c r="J241" s="115"/>
      <c r="K241" s="232"/>
      <c r="L241" s="232"/>
      <c r="M241" s="660"/>
      <c r="N241" s="355"/>
      <c r="O241" s="355"/>
      <c r="P241" s="355"/>
      <c r="Q241" s="355"/>
      <c r="R241" s="600"/>
      <c r="S241" s="600"/>
      <c r="T241" s="600"/>
      <c r="U241" s="600"/>
      <c r="V241" s="600"/>
      <c r="W241" s="600"/>
      <c r="X241" s="600"/>
      <c r="Y241" s="600"/>
      <c r="Z241" s="600"/>
      <c r="AA241" s="482"/>
      <c r="AB241" s="482"/>
      <c r="AC241" s="482"/>
      <c r="AD241" s="600">
        <v>230</v>
      </c>
      <c r="AE241" s="482"/>
      <c r="AF241" s="600"/>
      <c r="AG241" s="600"/>
      <c r="AH241" s="600"/>
      <c r="AI241" s="600"/>
      <c r="AJ241" s="600"/>
      <c r="AK241" s="600"/>
      <c r="AL241" s="600"/>
      <c r="AM241" s="600"/>
      <c r="AN241" s="600"/>
      <c r="AO241" s="600"/>
      <c r="AP241" s="600"/>
      <c r="AQ241" s="600"/>
      <c r="AR241" s="600"/>
      <c r="AS241" s="600"/>
      <c r="AT241" s="600"/>
      <c r="AU241" s="600"/>
      <c r="AV241" s="600"/>
      <c r="AW241" s="482"/>
      <c r="AX241" s="482"/>
      <c r="AY241" s="482"/>
      <c r="AZ241" s="482"/>
      <c r="BA241" s="343"/>
      <c r="BB241" s="343"/>
      <c r="BC241" s="343"/>
      <c r="BD241" s="343"/>
      <c r="BE241" s="343"/>
      <c r="BF241" s="343"/>
      <c r="BG241" s="343"/>
      <c r="BH241" s="343"/>
      <c r="BI241" s="343"/>
      <c r="BJ241" s="343"/>
      <c r="BK241" s="343"/>
      <c r="BL241" s="343"/>
      <c r="BM241" s="343"/>
      <c r="BN241" s="343"/>
      <c r="BO241" s="343"/>
      <c r="BP241" s="343"/>
      <c r="BQ241" s="343"/>
      <c r="BR241" s="343"/>
      <c r="BS241" s="343"/>
      <c r="BT241" s="343"/>
      <c r="BU241" s="343"/>
      <c r="BV241" s="343"/>
      <c r="BW241" s="343"/>
      <c r="BX241" s="343"/>
    </row>
    <row r="242" spans="1:76" s="25" customFormat="1">
      <c r="A242" s="343"/>
      <c r="B242" s="343"/>
      <c r="C242" s="115"/>
      <c r="D242" s="123"/>
      <c r="E242" s="232"/>
      <c r="F242" s="232"/>
      <c r="G242" s="115"/>
      <c r="H242" s="115"/>
      <c r="I242" s="115"/>
      <c r="J242" s="115"/>
      <c r="K242" s="232"/>
      <c r="L242" s="232"/>
      <c r="M242" s="660"/>
      <c r="N242" s="355"/>
      <c r="O242" s="355"/>
      <c r="P242" s="355"/>
      <c r="Q242" s="355"/>
      <c r="R242" s="600"/>
      <c r="S242" s="600"/>
      <c r="T242" s="600"/>
      <c r="U242" s="600"/>
      <c r="V242" s="600"/>
      <c r="W242" s="600"/>
      <c r="X242" s="600"/>
      <c r="Y242" s="600"/>
      <c r="Z242" s="600"/>
      <c r="AA242" s="482"/>
      <c r="AB242" s="482"/>
      <c r="AC242" s="482"/>
      <c r="AD242" s="600">
        <v>231</v>
      </c>
      <c r="AE242" s="482"/>
      <c r="AF242" s="600"/>
      <c r="AG242" s="600"/>
      <c r="AH242" s="600"/>
      <c r="AI242" s="600"/>
      <c r="AJ242" s="600"/>
      <c r="AK242" s="600"/>
      <c r="AL242" s="600"/>
      <c r="AM242" s="600"/>
      <c r="AN242" s="600"/>
      <c r="AO242" s="600"/>
      <c r="AP242" s="600"/>
      <c r="AQ242" s="600"/>
      <c r="AR242" s="600"/>
      <c r="AS242" s="600"/>
      <c r="AT242" s="600"/>
      <c r="AU242" s="600"/>
      <c r="AV242" s="600"/>
      <c r="AW242" s="482"/>
      <c r="AX242" s="482"/>
      <c r="AY242" s="482"/>
      <c r="AZ242" s="482"/>
      <c r="BA242" s="343"/>
      <c r="BB242" s="343"/>
      <c r="BC242" s="343"/>
      <c r="BD242" s="343"/>
      <c r="BE242" s="343"/>
      <c r="BF242" s="343"/>
      <c r="BG242" s="343"/>
      <c r="BH242" s="343"/>
      <c r="BI242" s="343"/>
      <c r="BJ242" s="343"/>
      <c r="BK242" s="343"/>
      <c r="BL242" s="343"/>
      <c r="BM242" s="343"/>
      <c r="BN242" s="343"/>
      <c r="BO242" s="343"/>
      <c r="BP242" s="343"/>
      <c r="BQ242" s="343"/>
      <c r="BR242" s="343"/>
      <c r="BS242" s="343"/>
      <c r="BT242" s="343"/>
      <c r="BU242" s="343"/>
      <c r="BV242" s="343"/>
      <c r="BW242" s="343"/>
      <c r="BX242" s="343"/>
    </row>
    <row r="243" spans="1:76" s="25" customFormat="1">
      <c r="A243" s="343"/>
      <c r="B243" s="343"/>
      <c r="C243" s="115"/>
      <c r="D243" s="123"/>
      <c r="E243" s="232"/>
      <c r="F243" s="232"/>
      <c r="G243" s="115"/>
      <c r="H243" s="115"/>
      <c r="I243" s="115"/>
      <c r="J243" s="115"/>
      <c r="K243" s="232"/>
      <c r="L243" s="232"/>
      <c r="M243" s="660"/>
      <c r="N243" s="355"/>
      <c r="O243" s="355"/>
      <c r="P243" s="355"/>
      <c r="Q243" s="355"/>
      <c r="R243" s="600"/>
      <c r="S243" s="600"/>
      <c r="T243" s="600"/>
      <c r="U243" s="600"/>
      <c r="V243" s="600"/>
      <c r="W243" s="600"/>
      <c r="X243" s="600"/>
      <c r="Y243" s="600"/>
      <c r="Z243" s="600"/>
      <c r="AA243" s="482"/>
      <c r="AB243" s="482"/>
      <c r="AC243" s="482"/>
      <c r="AD243" s="600">
        <v>232</v>
      </c>
      <c r="AE243" s="482"/>
      <c r="AF243" s="600"/>
      <c r="AG243" s="600"/>
      <c r="AH243" s="600"/>
      <c r="AI243" s="600"/>
      <c r="AJ243" s="600"/>
      <c r="AK243" s="600"/>
      <c r="AL243" s="600"/>
      <c r="AM243" s="600"/>
      <c r="AN243" s="600"/>
      <c r="AO243" s="600"/>
      <c r="AP243" s="600"/>
      <c r="AQ243" s="600"/>
      <c r="AR243" s="600"/>
      <c r="AS243" s="600"/>
      <c r="AT243" s="600"/>
      <c r="AU243" s="600"/>
      <c r="AV243" s="600"/>
      <c r="AW243" s="482"/>
      <c r="AX243" s="482"/>
      <c r="AY243" s="482"/>
      <c r="AZ243" s="482"/>
      <c r="BA243" s="343"/>
      <c r="BB243" s="343"/>
      <c r="BC243" s="343"/>
      <c r="BD243" s="343"/>
      <c r="BE243" s="343"/>
      <c r="BF243" s="343"/>
      <c r="BG243" s="343"/>
      <c r="BH243" s="343"/>
      <c r="BI243" s="343"/>
      <c r="BJ243" s="343"/>
      <c r="BK243" s="343"/>
      <c r="BL243" s="343"/>
      <c r="BM243" s="343"/>
      <c r="BN243" s="343"/>
      <c r="BO243" s="343"/>
      <c r="BP243" s="343"/>
      <c r="BQ243" s="343"/>
      <c r="BR243" s="343"/>
      <c r="BS243" s="343"/>
      <c r="BT243" s="343"/>
      <c r="BU243" s="343"/>
      <c r="BV243" s="343"/>
      <c r="BW243" s="343"/>
      <c r="BX243" s="343"/>
    </row>
    <row r="244" spans="1:76" s="25" customFormat="1">
      <c r="A244" s="343"/>
      <c r="B244" s="343"/>
      <c r="C244" s="115"/>
      <c r="D244" s="123"/>
      <c r="E244" s="232"/>
      <c r="F244" s="232"/>
      <c r="G244" s="115"/>
      <c r="H244" s="115"/>
      <c r="I244" s="115"/>
      <c r="J244" s="115"/>
      <c r="K244" s="232"/>
      <c r="L244" s="232"/>
      <c r="M244" s="660"/>
      <c r="N244" s="355"/>
      <c r="O244" s="355"/>
      <c r="P244" s="355"/>
      <c r="Q244" s="355"/>
      <c r="R244" s="600"/>
      <c r="S244" s="600"/>
      <c r="T244" s="600"/>
      <c r="U244" s="600"/>
      <c r="V244" s="600"/>
      <c r="W244" s="600"/>
      <c r="X244" s="600"/>
      <c r="Y244" s="600"/>
      <c r="Z244" s="600"/>
      <c r="AA244" s="482"/>
      <c r="AB244" s="482"/>
      <c r="AC244" s="482"/>
      <c r="AD244" s="600">
        <v>233</v>
      </c>
      <c r="AE244" s="482"/>
      <c r="AF244" s="600"/>
      <c r="AG244" s="600"/>
      <c r="AH244" s="600"/>
      <c r="AI244" s="600"/>
      <c r="AJ244" s="600"/>
      <c r="AK244" s="600"/>
      <c r="AL244" s="600"/>
      <c r="AM244" s="600"/>
      <c r="AN244" s="600"/>
      <c r="AO244" s="600"/>
      <c r="AP244" s="600"/>
      <c r="AQ244" s="600"/>
      <c r="AR244" s="600"/>
      <c r="AS244" s="600"/>
      <c r="AT244" s="600"/>
      <c r="AU244" s="600"/>
      <c r="AV244" s="600"/>
      <c r="AW244" s="482"/>
      <c r="AX244" s="482"/>
      <c r="AY244" s="482"/>
      <c r="AZ244" s="482"/>
      <c r="BA244" s="343"/>
      <c r="BB244" s="343"/>
      <c r="BC244" s="343"/>
      <c r="BD244" s="343"/>
      <c r="BE244" s="343"/>
      <c r="BF244" s="343"/>
      <c r="BG244" s="343"/>
      <c r="BH244" s="343"/>
      <c r="BI244" s="343"/>
      <c r="BJ244" s="343"/>
      <c r="BK244" s="343"/>
      <c r="BL244" s="343"/>
      <c r="BM244" s="343"/>
      <c r="BN244" s="343"/>
      <c r="BO244" s="343"/>
      <c r="BP244" s="343"/>
      <c r="BQ244" s="343"/>
      <c r="BR244" s="343"/>
      <c r="BS244" s="343"/>
      <c r="BT244" s="343"/>
      <c r="BU244" s="343"/>
      <c r="BV244" s="343"/>
      <c r="BW244" s="343"/>
      <c r="BX244" s="343"/>
    </row>
    <row r="245" spans="1:76" s="25" customFormat="1">
      <c r="A245" s="343"/>
      <c r="B245" s="343"/>
      <c r="C245" s="115"/>
      <c r="D245" s="123"/>
      <c r="E245" s="232"/>
      <c r="F245" s="232"/>
      <c r="G245" s="115"/>
      <c r="H245" s="115"/>
      <c r="I245" s="115"/>
      <c r="J245" s="115"/>
      <c r="K245" s="232"/>
      <c r="L245" s="232"/>
      <c r="M245" s="660"/>
      <c r="N245" s="355"/>
      <c r="O245" s="355"/>
      <c r="P245" s="355"/>
      <c r="Q245" s="355"/>
      <c r="R245" s="600"/>
      <c r="S245" s="600"/>
      <c r="T245" s="600"/>
      <c r="U245" s="600"/>
      <c r="V245" s="600"/>
      <c r="W245" s="600"/>
      <c r="X245" s="600"/>
      <c r="Y245" s="600"/>
      <c r="Z245" s="600"/>
      <c r="AA245" s="482"/>
      <c r="AB245" s="482"/>
      <c r="AC245" s="482"/>
      <c r="AD245" s="600">
        <v>234</v>
      </c>
      <c r="AE245" s="482"/>
      <c r="AF245" s="600"/>
      <c r="AG245" s="600"/>
      <c r="AH245" s="600"/>
      <c r="AI245" s="600"/>
      <c r="AJ245" s="600"/>
      <c r="AK245" s="600"/>
      <c r="AL245" s="600"/>
      <c r="AM245" s="600"/>
      <c r="AN245" s="600"/>
      <c r="AO245" s="600"/>
      <c r="AP245" s="600"/>
      <c r="AQ245" s="600"/>
      <c r="AR245" s="600"/>
      <c r="AS245" s="600"/>
      <c r="AT245" s="600"/>
      <c r="AU245" s="600"/>
      <c r="AV245" s="600"/>
      <c r="AW245" s="482"/>
      <c r="AX245" s="482"/>
      <c r="AY245" s="482"/>
      <c r="AZ245" s="482"/>
      <c r="BA245" s="343"/>
      <c r="BB245" s="343"/>
      <c r="BC245" s="343"/>
      <c r="BD245" s="343"/>
      <c r="BE245" s="343"/>
      <c r="BF245" s="343"/>
      <c r="BG245" s="343"/>
      <c r="BH245" s="343"/>
      <c r="BI245" s="343"/>
      <c r="BJ245" s="343"/>
      <c r="BK245" s="343"/>
      <c r="BL245" s="343"/>
      <c r="BM245" s="343"/>
      <c r="BN245" s="343"/>
      <c r="BO245" s="343"/>
      <c r="BP245" s="343"/>
      <c r="BQ245" s="343"/>
      <c r="BR245" s="343"/>
      <c r="BS245" s="343"/>
      <c r="BT245" s="343"/>
      <c r="BU245" s="343"/>
      <c r="BV245" s="343"/>
      <c r="BW245" s="343"/>
      <c r="BX245" s="343"/>
    </row>
    <row r="246" spans="1:76" s="25" customFormat="1">
      <c r="A246" s="343"/>
      <c r="B246" s="343"/>
      <c r="C246" s="115"/>
      <c r="D246" s="123"/>
      <c r="E246" s="232"/>
      <c r="F246" s="232"/>
      <c r="G246" s="115"/>
      <c r="H246" s="115"/>
      <c r="I246" s="115"/>
      <c r="J246" s="115"/>
      <c r="K246" s="232"/>
      <c r="L246" s="232"/>
      <c r="M246" s="660"/>
      <c r="N246" s="355"/>
      <c r="O246" s="355"/>
      <c r="P246" s="355"/>
      <c r="Q246" s="355"/>
      <c r="R246" s="600"/>
      <c r="S246" s="600"/>
      <c r="T246" s="600"/>
      <c r="U246" s="600"/>
      <c r="V246" s="600"/>
      <c r="W246" s="600"/>
      <c r="X246" s="600"/>
      <c r="Y246" s="600"/>
      <c r="Z246" s="600"/>
      <c r="AA246" s="482"/>
      <c r="AB246" s="482"/>
      <c r="AC246" s="482"/>
      <c r="AD246" s="600">
        <v>235</v>
      </c>
      <c r="AE246" s="482"/>
      <c r="AF246" s="600"/>
      <c r="AG246" s="600"/>
      <c r="AH246" s="600"/>
      <c r="AI246" s="600"/>
      <c r="AJ246" s="600"/>
      <c r="AK246" s="600"/>
      <c r="AL246" s="600"/>
      <c r="AM246" s="600"/>
      <c r="AN246" s="600"/>
      <c r="AO246" s="600"/>
      <c r="AP246" s="600"/>
      <c r="AQ246" s="600"/>
      <c r="AR246" s="600"/>
      <c r="AS246" s="600"/>
      <c r="AT246" s="600"/>
      <c r="AU246" s="600"/>
      <c r="AV246" s="600"/>
      <c r="AW246" s="482"/>
      <c r="AX246" s="482"/>
      <c r="AY246" s="482"/>
      <c r="AZ246" s="482"/>
      <c r="BA246" s="343"/>
      <c r="BB246" s="343"/>
      <c r="BC246" s="343"/>
      <c r="BD246" s="343"/>
      <c r="BE246" s="343"/>
      <c r="BF246" s="343"/>
      <c r="BG246" s="343"/>
      <c r="BH246" s="343"/>
      <c r="BI246" s="343"/>
      <c r="BJ246" s="343"/>
      <c r="BK246" s="343"/>
      <c r="BL246" s="343"/>
      <c r="BM246" s="343"/>
      <c r="BN246" s="343"/>
      <c r="BO246" s="343"/>
      <c r="BP246" s="343"/>
      <c r="BQ246" s="343"/>
      <c r="BR246" s="343"/>
      <c r="BS246" s="343"/>
      <c r="BT246" s="343"/>
      <c r="BU246" s="343"/>
      <c r="BV246" s="343"/>
      <c r="BW246" s="343"/>
      <c r="BX246" s="343"/>
    </row>
    <row r="247" spans="1:76" s="25" customFormat="1">
      <c r="A247" s="343"/>
      <c r="B247" s="343"/>
      <c r="C247" s="115"/>
      <c r="D247" s="123"/>
      <c r="E247" s="232"/>
      <c r="F247" s="232"/>
      <c r="G247" s="115"/>
      <c r="H247" s="115"/>
      <c r="I247" s="115"/>
      <c r="J247" s="115"/>
      <c r="K247" s="232"/>
      <c r="L247" s="232"/>
      <c r="M247" s="660"/>
      <c r="N247" s="355"/>
      <c r="O247" s="355"/>
      <c r="P247" s="355"/>
      <c r="Q247" s="355"/>
      <c r="R247" s="600"/>
      <c r="S247" s="600"/>
      <c r="T247" s="600"/>
      <c r="U247" s="600"/>
      <c r="V247" s="600"/>
      <c r="W247" s="600"/>
      <c r="X247" s="600"/>
      <c r="Y247" s="600"/>
      <c r="Z247" s="600"/>
      <c r="AA247" s="482"/>
      <c r="AB247" s="482"/>
      <c r="AC247" s="482"/>
      <c r="AD247" s="600">
        <v>236</v>
      </c>
      <c r="AE247" s="482"/>
      <c r="AF247" s="600"/>
      <c r="AG247" s="600"/>
      <c r="AH247" s="600"/>
      <c r="AI247" s="600"/>
      <c r="AJ247" s="600"/>
      <c r="AK247" s="600"/>
      <c r="AL247" s="600"/>
      <c r="AM247" s="600"/>
      <c r="AN247" s="600"/>
      <c r="AO247" s="600"/>
      <c r="AP247" s="600"/>
      <c r="AQ247" s="600"/>
      <c r="AR247" s="600"/>
      <c r="AS247" s="600"/>
      <c r="AT247" s="600"/>
      <c r="AU247" s="600"/>
      <c r="AV247" s="600"/>
      <c r="AW247" s="482"/>
      <c r="AX247" s="482"/>
      <c r="AY247" s="482"/>
      <c r="AZ247" s="482"/>
      <c r="BA247" s="343"/>
      <c r="BB247" s="343"/>
      <c r="BC247" s="343"/>
      <c r="BD247" s="343"/>
      <c r="BE247" s="343"/>
      <c r="BF247" s="343"/>
      <c r="BG247" s="343"/>
      <c r="BH247" s="343"/>
      <c r="BI247" s="343"/>
      <c r="BJ247" s="343"/>
      <c r="BK247" s="343"/>
      <c r="BL247" s="343"/>
      <c r="BM247" s="343"/>
      <c r="BN247" s="343"/>
      <c r="BO247" s="343"/>
      <c r="BP247" s="343"/>
      <c r="BQ247" s="343"/>
      <c r="BR247" s="343"/>
      <c r="BS247" s="343"/>
      <c r="BT247" s="343"/>
      <c r="BU247" s="343"/>
      <c r="BV247" s="343"/>
      <c r="BW247" s="343"/>
      <c r="BX247" s="343"/>
    </row>
    <row r="248" spans="1:76" s="25" customFormat="1">
      <c r="A248" s="343"/>
      <c r="B248" s="343"/>
      <c r="C248" s="115"/>
      <c r="D248" s="123"/>
      <c r="E248" s="232"/>
      <c r="F248" s="232"/>
      <c r="G248" s="115"/>
      <c r="H248" s="115"/>
      <c r="I248" s="115"/>
      <c r="J248" s="115"/>
      <c r="K248" s="232"/>
      <c r="L248" s="232"/>
      <c r="M248" s="660"/>
      <c r="N248" s="355"/>
      <c r="O248" s="355"/>
      <c r="P248" s="355"/>
      <c r="Q248" s="355"/>
      <c r="R248" s="600"/>
      <c r="S248" s="600"/>
      <c r="T248" s="600"/>
      <c r="U248" s="600"/>
      <c r="V248" s="600"/>
      <c r="W248" s="600"/>
      <c r="X248" s="600"/>
      <c r="Y248" s="600"/>
      <c r="Z248" s="600"/>
      <c r="AA248" s="482"/>
      <c r="AB248" s="482"/>
      <c r="AC248" s="482"/>
      <c r="AD248" s="600">
        <v>237</v>
      </c>
      <c r="AE248" s="482"/>
      <c r="AF248" s="600"/>
      <c r="AG248" s="600"/>
      <c r="AH248" s="600"/>
      <c r="AI248" s="600"/>
      <c r="AJ248" s="600"/>
      <c r="AK248" s="600"/>
      <c r="AL248" s="600"/>
      <c r="AM248" s="600"/>
      <c r="AN248" s="600"/>
      <c r="AO248" s="600"/>
      <c r="AP248" s="600"/>
      <c r="AQ248" s="600"/>
      <c r="AR248" s="600"/>
      <c r="AS248" s="600"/>
      <c r="AT248" s="600"/>
      <c r="AU248" s="600"/>
      <c r="AV248" s="600"/>
      <c r="AW248" s="482"/>
      <c r="AX248" s="482"/>
      <c r="AY248" s="482"/>
      <c r="AZ248" s="482"/>
      <c r="BA248" s="343"/>
      <c r="BB248" s="343"/>
      <c r="BC248" s="343"/>
      <c r="BD248" s="343"/>
      <c r="BE248" s="343"/>
      <c r="BF248" s="343"/>
      <c r="BG248" s="343"/>
      <c r="BH248" s="343"/>
      <c r="BI248" s="343"/>
      <c r="BJ248" s="343"/>
      <c r="BK248" s="343"/>
      <c r="BL248" s="343"/>
      <c r="BM248" s="343"/>
      <c r="BN248" s="343"/>
      <c r="BO248" s="343"/>
      <c r="BP248" s="343"/>
      <c r="BQ248" s="343"/>
      <c r="BR248" s="343"/>
      <c r="BS248" s="343"/>
      <c r="BT248" s="343"/>
      <c r="BU248" s="343"/>
      <c r="BV248" s="343"/>
      <c r="BW248" s="343"/>
      <c r="BX248" s="343"/>
    </row>
    <row r="249" spans="1:76" s="25" customFormat="1">
      <c r="A249" s="343"/>
      <c r="B249" s="343"/>
      <c r="C249" s="115"/>
      <c r="D249" s="123"/>
      <c r="E249" s="232"/>
      <c r="F249" s="232"/>
      <c r="G249" s="115"/>
      <c r="H249" s="115"/>
      <c r="I249" s="115"/>
      <c r="J249" s="115"/>
      <c r="K249" s="232"/>
      <c r="L249" s="232"/>
      <c r="M249" s="660"/>
      <c r="N249" s="355"/>
      <c r="O249" s="355"/>
      <c r="P249" s="355"/>
      <c r="Q249" s="355"/>
      <c r="R249" s="600"/>
      <c r="S249" s="600"/>
      <c r="T249" s="600"/>
      <c r="U249" s="600"/>
      <c r="V249" s="600"/>
      <c r="W249" s="600"/>
      <c r="X249" s="600"/>
      <c r="Y249" s="600"/>
      <c r="Z249" s="600"/>
      <c r="AA249" s="482"/>
      <c r="AB249" s="482"/>
      <c r="AC249" s="482"/>
      <c r="AD249" s="600">
        <v>238</v>
      </c>
      <c r="AE249" s="482"/>
      <c r="AF249" s="600"/>
      <c r="AG249" s="600"/>
      <c r="AH249" s="600"/>
      <c r="AI249" s="600"/>
      <c r="AJ249" s="600"/>
      <c r="AK249" s="600"/>
      <c r="AL249" s="600"/>
      <c r="AM249" s="600"/>
      <c r="AN249" s="600"/>
      <c r="AO249" s="600"/>
      <c r="AP249" s="600"/>
      <c r="AQ249" s="600"/>
      <c r="AR249" s="600"/>
      <c r="AS249" s="600"/>
      <c r="AT249" s="600"/>
      <c r="AU249" s="600"/>
      <c r="AV249" s="600"/>
      <c r="AW249" s="482"/>
      <c r="AX249" s="482"/>
      <c r="AY249" s="482"/>
      <c r="AZ249" s="482"/>
      <c r="BA249" s="343"/>
      <c r="BB249" s="343"/>
      <c r="BC249" s="343"/>
      <c r="BD249" s="343"/>
      <c r="BE249" s="343"/>
      <c r="BF249" s="343"/>
      <c r="BG249" s="343"/>
      <c r="BH249" s="343"/>
      <c r="BI249" s="343"/>
      <c r="BJ249" s="343"/>
      <c r="BK249" s="343"/>
      <c r="BL249" s="343"/>
      <c r="BM249" s="343"/>
      <c r="BN249" s="343"/>
      <c r="BO249" s="343"/>
      <c r="BP249" s="343"/>
      <c r="BQ249" s="343"/>
      <c r="BR249" s="343"/>
      <c r="BS249" s="343"/>
      <c r="BT249" s="343"/>
      <c r="BU249" s="343"/>
      <c r="BV249" s="343"/>
      <c r="BW249" s="343"/>
      <c r="BX249" s="343"/>
    </row>
    <row r="250" spans="1:76" s="25" customFormat="1">
      <c r="A250" s="343"/>
      <c r="B250" s="343"/>
      <c r="C250" s="115"/>
      <c r="D250" s="123"/>
      <c r="E250" s="232"/>
      <c r="F250" s="232"/>
      <c r="G250" s="115"/>
      <c r="H250" s="115"/>
      <c r="I250" s="115"/>
      <c r="J250" s="115"/>
      <c r="K250" s="232"/>
      <c r="L250" s="232"/>
      <c r="M250" s="660"/>
      <c r="N250" s="355"/>
      <c r="O250" s="355"/>
      <c r="P250" s="355"/>
      <c r="Q250" s="355"/>
      <c r="R250" s="600"/>
      <c r="S250" s="600"/>
      <c r="T250" s="600"/>
      <c r="U250" s="600"/>
      <c r="V250" s="600"/>
      <c r="W250" s="600"/>
      <c r="X250" s="600"/>
      <c r="Y250" s="600"/>
      <c r="Z250" s="600"/>
      <c r="AA250" s="482"/>
      <c r="AB250" s="482"/>
      <c r="AC250" s="482"/>
      <c r="AD250" s="600">
        <v>239</v>
      </c>
      <c r="AE250" s="482"/>
      <c r="AF250" s="600"/>
      <c r="AG250" s="600"/>
      <c r="AH250" s="600"/>
      <c r="AI250" s="600"/>
      <c r="AJ250" s="600"/>
      <c r="AK250" s="600"/>
      <c r="AL250" s="600"/>
      <c r="AM250" s="600"/>
      <c r="AN250" s="600"/>
      <c r="AO250" s="600"/>
      <c r="AP250" s="600"/>
      <c r="AQ250" s="600"/>
      <c r="AR250" s="600"/>
      <c r="AS250" s="600"/>
      <c r="AT250" s="600"/>
      <c r="AU250" s="600"/>
      <c r="AV250" s="600"/>
      <c r="AW250" s="482"/>
      <c r="AX250" s="482"/>
      <c r="AY250" s="482"/>
      <c r="AZ250" s="482"/>
      <c r="BA250" s="343"/>
      <c r="BB250" s="343"/>
      <c r="BC250" s="343"/>
      <c r="BD250" s="343"/>
      <c r="BE250" s="343"/>
      <c r="BF250" s="343"/>
      <c r="BG250" s="343"/>
      <c r="BH250" s="343"/>
      <c r="BI250" s="343"/>
      <c r="BJ250" s="343"/>
      <c r="BK250" s="343"/>
      <c r="BL250" s="343"/>
      <c r="BM250" s="343"/>
      <c r="BN250" s="343"/>
      <c r="BO250" s="343"/>
      <c r="BP250" s="343"/>
      <c r="BQ250" s="343"/>
      <c r="BR250" s="343"/>
      <c r="BS250" s="343"/>
      <c r="BT250" s="343"/>
      <c r="BU250" s="343"/>
      <c r="BV250" s="343"/>
      <c r="BW250" s="343"/>
      <c r="BX250" s="343"/>
    </row>
    <row r="251" spans="1:76" s="25" customFormat="1">
      <c r="A251" s="343"/>
      <c r="B251" s="343"/>
      <c r="C251" s="115"/>
      <c r="D251" s="123"/>
      <c r="E251" s="232"/>
      <c r="F251" s="232"/>
      <c r="G251" s="115"/>
      <c r="H251" s="115"/>
      <c r="I251" s="115"/>
      <c r="J251" s="115"/>
      <c r="K251" s="232"/>
      <c r="L251" s="232"/>
      <c r="M251" s="660"/>
      <c r="N251" s="355"/>
      <c r="O251" s="355"/>
      <c r="P251" s="355"/>
      <c r="Q251" s="355"/>
      <c r="R251" s="600"/>
      <c r="S251" s="600"/>
      <c r="T251" s="600"/>
      <c r="U251" s="600"/>
      <c r="V251" s="600"/>
      <c r="W251" s="600"/>
      <c r="X251" s="600"/>
      <c r="Y251" s="600"/>
      <c r="Z251" s="600"/>
      <c r="AA251" s="482"/>
      <c r="AB251" s="482"/>
      <c r="AC251" s="482"/>
      <c r="AD251" s="600">
        <v>240</v>
      </c>
      <c r="AE251" s="482"/>
      <c r="AF251" s="600"/>
      <c r="AG251" s="600"/>
      <c r="AH251" s="600"/>
      <c r="AI251" s="600"/>
      <c r="AJ251" s="600"/>
      <c r="AK251" s="600"/>
      <c r="AL251" s="600"/>
      <c r="AM251" s="600"/>
      <c r="AN251" s="600"/>
      <c r="AO251" s="600"/>
      <c r="AP251" s="600"/>
      <c r="AQ251" s="600"/>
      <c r="AR251" s="600"/>
      <c r="AS251" s="600"/>
      <c r="AT251" s="600"/>
      <c r="AU251" s="600"/>
      <c r="AV251" s="600"/>
      <c r="AW251" s="482"/>
      <c r="AX251" s="482"/>
      <c r="AY251" s="482"/>
      <c r="AZ251" s="482"/>
      <c r="BA251" s="343"/>
      <c r="BB251" s="343"/>
      <c r="BC251" s="343"/>
      <c r="BD251" s="343"/>
      <c r="BE251" s="343"/>
      <c r="BF251" s="343"/>
      <c r="BG251" s="343"/>
      <c r="BH251" s="343"/>
      <c r="BI251" s="343"/>
      <c r="BJ251" s="343"/>
      <c r="BK251" s="343"/>
      <c r="BL251" s="343"/>
      <c r="BM251" s="343"/>
      <c r="BN251" s="343"/>
      <c r="BO251" s="343"/>
      <c r="BP251" s="343"/>
      <c r="BQ251" s="343"/>
      <c r="BR251" s="343"/>
      <c r="BS251" s="343"/>
      <c r="BT251" s="343"/>
      <c r="BU251" s="343"/>
      <c r="BV251" s="343"/>
      <c r="BW251" s="343"/>
      <c r="BX251" s="343"/>
    </row>
    <row r="252" spans="1:76" s="25" customFormat="1">
      <c r="A252" s="343"/>
      <c r="B252" s="343"/>
      <c r="C252" s="115"/>
      <c r="D252" s="123"/>
      <c r="E252" s="232"/>
      <c r="F252" s="232"/>
      <c r="G252" s="115"/>
      <c r="H252" s="115"/>
      <c r="I252" s="115"/>
      <c r="J252" s="115"/>
      <c r="K252" s="232"/>
      <c r="L252" s="232"/>
      <c r="M252" s="660"/>
      <c r="N252" s="355"/>
      <c r="O252" s="355"/>
      <c r="P252" s="355"/>
      <c r="Q252" s="355"/>
      <c r="R252" s="600"/>
      <c r="S252" s="600"/>
      <c r="T252" s="600"/>
      <c r="U252" s="600"/>
      <c r="V252" s="600"/>
      <c r="W252" s="600"/>
      <c r="X252" s="600"/>
      <c r="Y252" s="600"/>
      <c r="Z252" s="600"/>
      <c r="AA252" s="482"/>
      <c r="AB252" s="482"/>
      <c r="AC252" s="482"/>
      <c r="AD252" s="600">
        <v>241</v>
      </c>
      <c r="AE252" s="482"/>
      <c r="AF252" s="600"/>
      <c r="AG252" s="600"/>
      <c r="AH252" s="600"/>
      <c r="AI252" s="600"/>
      <c r="AJ252" s="600"/>
      <c r="AK252" s="600"/>
      <c r="AL252" s="600"/>
      <c r="AM252" s="600"/>
      <c r="AN252" s="600"/>
      <c r="AO252" s="600"/>
      <c r="AP252" s="600"/>
      <c r="AQ252" s="600"/>
      <c r="AR252" s="600"/>
      <c r="AS252" s="600"/>
      <c r="AT252" s="600"/>
      <c r="AU252" s="600"/>
      <c r="AV252" s="600"/>
      <c r="AW252" s="482"/>
      <c r="AX252" s="482"/>
      <c r="AY252" s="482"/>
      <c r="AZ252" s="482"/>
      <c r="BA252" s="343"/>
      <c r="BB252" s="343"/>
      <c r="BC252" s="343"/>
      <c r="BD252" s="343"/>
      <c r="BE252" s="343"/>
      <c r="BF252" s="343"/>
      <c r="BG252" s="343"/>
      <c r="BH252" s="343"/>
      <c r="BI252" s="343"/>
      <c r="BJ252" s="343"/>
      <c r="BK252" s="343"/>
      <c r="BL252" s="343"/>
      <c r="BM252" s="343"/>
      <c r="BN252" s="343"/>
      <c r="BO252" s="343"/>
      <c r="BP252" s="343"/>
      <c r="BQ252" s="343"/>
      <c r="BR252" s="343"/>
      <c r="BS252" s="343"/>
      <c r="BT252" s="343"/>
      <c r="BU252" s="343"/>
      <c r="BV252" s="343"/>
      <c r="BW252" s="343"/>
      <c r="BX252" s="343"/>
    </row>
    <row r="253" spans="1:76" s="25" customFormat="1">
      <c r="A253" s="343"/>
      <c r="B253" s="343"/>
      <c r="C253" s="115"/>
      <c r="D253" s="123"/>
      <c r="E253" s="232"/>
      <c r="F253" s="232"/>
      <c r="G253" s="115"/>
      <c r="H253" s="115"/>
      <c r="I253" s="115"/>
      <c r="J253" s="115"/>
      <c r="K253" s="232"/>
      <c r="L253" s="232"/>
      <c r="M253" s="660"/>
      <c r="N253" s="355"/>
      <c r="O253" s="355"/>
      <c r="P253" s="355"/>
      <c r="Q253" s="355"/>
      <c r="R253" s="600"/>
      <c r="S253" s="600"/>
      <c r="T253" s="600"/>
      <c r="U253" s="600"/>
      <c r="V253" s="600"/>
      <c r="W253" s="600"/>
      <c r="X253" s="600"/>
      <c r="Y253" s="600"/>
      <c r="Z253" s="600"/>
      <c r="AA253" s="482"/>
      <c r="AB253" s="482"/>
      <c r="AC253" s="482"/>
      <c r="AD253" s="600">
        <v>242</v>
      </c>
      <c r="AE253" s="482"/>
      <c r="AF253" s="600"/>
      <c r="AG253" s="600"/>
      <c r="AH253" s="600"/>
      <c r="AI253" s="600"/>
      <c r="AJ253" s="600"/>
      <c r="AK253" s="600"/>
      <c r="AL253" s="600"/>
      <c r="AM253" s="600"/>
      <c r="AN253" s="600"/>
      <c r="AO253" s="600"/>
      <c r="AP253" s="600"/>
      <c r="AQ253" s="600"/>
      <c r="AR253" s="600"/>
      <c r="AS253" s="600"/>
      <c r="AT253" s="600"/>
      <c r="AU253" s="600"/>
      <c r="AV253" s="600"/>
      <c r="AW253" s="482"/>
      <c r="AX253" s="482"/>
      <c r="AY253" s="482"/>
      <c r="AZ253" s="482"/>
      <c r="BA253" s="343"/>
      <c r="BB253" s="343"/>
      <c r="BC253" s="343"/>
      <c r="BD253" s="343"/>
      <c r="BE253" s="343"/>
      <c r="BF253" s="343"/>
      <c r="BG253" s="343"/>
      <c r="BH253" s="343"/>
      <c r="BI253" s="343"/>
      <c r="BJ253" s="343"/>
      <c r="BK253" s="343"/>
      <c r="BL253" s="343"/>
      <c r="BM253" s="343"/>
      <c r="BN253" s="343"/>
      <c r="BO253" s="343"/>
      <c r="BP253" s="343"/>
      <c r="BQ253" s="343"/>
      <c r="BR253" s="343"/>
      <c r="BS253" s="343"/>
      <c r="BT253" s="343"/>
      <c r="BU253" s="343"/>
      <c r="BV253" s="343"/>
      <c r="BW253" s="343"/>
      <c r="BX253" s="343"/>
    </row>
    <row r="254" spans="1:76" s="25" customFormat="1">
      <c r="A254" s="343"/>
      <c r="B254" s="343"/>
      <c r="C254" s="115"/>
      <c r="D254" s="123"/>
      <c r="E254" s="232"/>
      <c r="F254" s="232"/>
      <c r="G254" s="115"/>
      <c r="H254" s="115"/>
      <c r="I254" s="115"/>
      <c r="J254" s="115"/>
      <c r="K254" s="232"/>
      <c r="L254" s="232"/>
      <c r="M254" s="660"/>
      <c r="N254" s="355"/>
      <c r="O254" s="355"/>
      <c r="P254" s="355"/>
      <c r="Q254" s="355"/>
      <c r="R254" s="600"/>
      <c r="S254" s="600"/>
      <c r="T254" s="600"/>
      <c r="U254" s="600"/>
      <c r="V254" s="600"/>
      <c r="W254" s="600"/>
      <c r="X254" s="600"/>
      <c r="Y254" s="600"/>
      <c r="Z254" s="600"/>
      <c r="AA254" s="482"/>
      <c r="AB254" s="482"/>
      <c r="AC254" s="482"/>
      <c r="AD254" s="600">
        <v>243</v>
      </c>
      <c r="AE254" s="482"/>
      <c r="AF254" s="600"/>
      <c r="AG254" s="600"/>
      <c r="AH254" s="600"/>
      <c r="AI254" s="600"/>
      <c r="AJ254" s="600"/>
      <c r="AK254" s="600"/>
      <c r="AL254" s="600"/>
      <c r="AM254" s="600"/>
      <c r="AN254" s="600"/>
      <c r="AO254" s="600"/>
      <c r="AP254" s="600"/>
      <c r="AQ254" s="600"/>
      <c r="AR254" s="600"/>
      <c r="AS254" s="600"/>
      <c r="AT254" s="600"/>
      <c r="AU254" s="600"/>
      <c r="AV254" s="600"/>
      <c r="AW254" s="482"/>
      <c r="AX254" s="482"/>
      <c r="AY254" s="482"/>
      <c r="AZ254" s="482"/>
      <c r="BA254" s="343"/>
      <c r="BB254" s="343"/>
      <c r="BC254" s="343"/>
      <c r="BD254" s="343"/>
      <c r="BE254" s="343"/>
      <c r="BF254" s="343"/>
      <c r="BG254" s="343"/>
      <c r="BH254" s="343"/>
      <c r="BI254" s="343"/>
      <c r="BJ254" s="343"/>
      <c r="BK254" s="343"/>
      <c r="BL254" s="343"/>
      <c r="BM254" s="343"/>
      <c r="BN254" s="343"/>
      <c r="BO254" s="343"/>
      <c r="BP254" s="343"/>
      <c r="BQ254" s="343"/>
      <c r="BR254" s="343"/>
      <c r="BS254" s="343"/>
      <c r="BT254" s="343"/>
      <c r="BU254" s="343"/>
      <c r="BV254" s="343"/>
      <c r="BW254" s="343"/>
      <c r="BX254" s="343"/>
    </row>
    <row r="255" spans="1:76" s="25" customFormat="1">
      <c r="A255" s="343"/>
      <c r="B255" s="343"/>
      <c r="C255" s="115"/>
      <c r="D255" s="123"/>
      <c r="E255" s="232"/>
      <c r="F255" s="232"/>
      <c r="G255" s="115"/>
      <c r="H255" s="115"/>
      <c r="I255" s="115"/>
      <c r="J255" s="115"/>
      <c r="K255" s="232"/>
      <c r="L255" s="232"/>
      <c r="M255" s="660"/>
      <c r="N255" s="355"/>
      <c r="O255" s="355"/>
      <c r="P255" s="355"/>
      <c r="Q255" s="355"/>
      <c r="R255" s="600"/>
      <c r="S255" s="600"/>
      <c r="T255" s="600"/>
      <c r="U255" s="600"/>
      <c r="V255" s="600"/>
      <c r="W255" s="600"/>
      <c r="X255" s="600"/>
      <c r="Y255" s="600"/>
      <c r="Z255" s="600"/>
      <c r="AA255" s="482"/>
      <c r="AB255" s="482"/>
      <c r="AC255" s="482"/>
      <c r="AD255" s="600">
        <v>244</v>
      </c>
      <c r="AE255" s="482"/>
      <c r="AF255" s="600"/>
      <c r="AG255" s="600"/>
      <c r="AH255" s="600"/>
      <c r="AI255" s="600"/>
      <c r="AJ255" s="600"/>
      <c r="AK255" s="600"/>
      <c r="AL255" s="600"/>
      <c r="AM255" s="600"/>
      <c r="AN255" s="600"/>
      <c r="AO255" s="600"/>
      <c r="AP255" s="600"/>
      <c r="AQ255" s="600"/>
      <c r="AR255" s="600"/>
      <c r="AS255" s="600"/>
      <c r="AT255" s="600"/>
      <c r="AU255" s="600"/>
      <c r="AV255" s="600"/>
      <c r="AW255" s="482"/>
      <c r="AX255" s="482"/>
      <c r="AY255" s="482"/>
      <c r="AZ255" s="482"/>
      <c r="BA255" s="343"/>
      <c r="BB255" s="343"/>
      <c r="BC255" s="343"/>
      <c r="BD255" s="343"/>
      <c r="BE255" s="343"/>
      <c r="BF255" s="343"/>
      <c r="BG255" s="343"/>
      <c r="BH255" s="343"/>
      <c r="BI255" s="343"/>
      <c r="BJ255" s="343"/>
      <c r="BK255" s="343"/>
      <c r="BL255" s="343"/>
      <c r="BM255" s="343"/>
      <c r="BN255" s="343"/>
      <c r="BO255" s="343"/>
      <c r="BP255" s="343"/>
      <c r="BQ255" s="343"/>
      <c r="BR255" s="343"/>
      <c r="BS255" s="343"/>
      <c r="BT255" s="343"/>
      <c r="BU255" s="343"/>
      <c r="BV255" s="343"/>
      <c r="BW255" s="343"/>
      <c r="BX255" s="343"/>
    </row>
    <row r="256" spans="1:76" s="25" customFormat="1">
      <c r="A256" s="343"/>
      <c r="B256" s="343"/>
      <c r="C256" s="115"/>
      <c r="D256" s="123"/>
      <c r="E256" s="232"/>
      <c r="F256" s="232"/>
      <c r="G256" s="115"/>
      <c r="H256" s="115"/>
      <c r="I256" s="115"/>
      <c r="J256" s="115"/>
      <c r="K256" s="232"/>
      <c r="L256" s="232"/>
      <c r="M256" s="660"/>
      <c r="N256" s="355"/>
      <c r="O256" s="355"/>
      <c r="P256" s="355"/>
      <c r="Q256" s="355"/>
      <c r="R256" s="600"/>
      <c r="S256" s="600"/>
      <c r="T256" s="600"/>
      <c r="U256" s="600"/>
      <c r="V256" s="600"/>
      <c r="W256" s="600"/>
      <c r="X256" s="600"/>
      <c r="Y256" s="600"/>
      <c r="Z256" s="600"/>
      <c r="AA256" s="482"/>
      <c r="AB256" s="482"/>
      <c r="AC256" s="482"/>
      <c r="AD256" s="600">
        <v>245</v>
      </c>
      <c r="AE256" s="482"/>
      <c r="AF256" s="600"/>
      <c r="AG256" s="600"/>
      <c r="AH256" s="600"/>
      <c r="AI256" s="600"/>
      <c r="AJ256" s="600"/>
      <c r="AK256" s="600"/>
      <c r="AL256" s="600"/>
      <c r="AM256" s="600"/>
      <c r="AN256" s="600"/>
      <c r="AO256" s="600"/>
      <c r="AP256" s="600"/>
      <c r="AQ256" s="600"/>
      <c r="AR256" s="600"/>
      <c r="AS256" s="600"/>
      <c r="AT256" s="600"/>
      <c r="AU256" s="600"/>
      <c r="AV256" s="600"/>
      <c r="AW256" s="482"/>
      <c r="AX256" s="482"/>
      <c r="AY256" s="482"/>
      <c r="AZ256" s="482"/>
      <c r="BA256" s="343"/>
      <c r="BB256" s="343"/>
      <c r="BC256" s="343"/>
      <c r="BD256" s="343"/>
      <c r="BE256" s="343"/>
      <c r="BF256" s="343"/>
      <c r="BG256" s="343"/>
      <c r="BH256" s="343"/>
      <c r="BI256" s="343"/>
      <c r="BJ256" s="343"/>
      <c r="BK256" s="343"/>
      <c r="BL256" s="343"/>
      <c r="BM256" s="343"/>
      <c r="BN256" s="343"/>
      <c r="BO256" s="343"/>
      <c r="BP256" s="343"/>
      <c r="BQ256" s="343"/>
      <c r="BR256" s="343"/>
      <c r="BS256" s="343"/>
      <c r="BT256" s="343"/>
      <c r="BU256" s="343"/>
      <c r="BV256" s="343"/>
      <c r="BW256" s="343"/>
      <c r="BX256" s="343"/>
    </row>
    <row r="257" spans="1:76" s="25" customFormat="1">
      <c r="A257" s="343"/>
      <c r="B257" s="343"/>
      <c r="C257" s="115"/>
      <c r="D257" s="123"/>
      <c r="E257" s="232"/>
      <c r="F257" s="232"/>
      <c r="G257" s="115"/>
      <c r="H257" s="115"/>
      <c r="I257" s="115"/>
      <c r="J257" s="115"/>
      <c r="K257" s="232"/>
      <c r="L257" s="232"/>
      <c r="M257" s="660"/>
      <c r="N257" s="355"/>
      <c r="O257" s="355"/>
      <c r="P257" s="355"/>
      <c r="Q257" s="355"/>
      <c r="R257" s="600"/>
      <c r="S257" s="600"/>
      <c r="T257" s="600"/>
      <c r="U257" s="600"/>
      <c r="V257" s="600"/>
      <c r="W257" s="600"/>
      <c r="X257" s="600"/>
      <c r="Y257" s="600"/>
      <c r="Z257" s="600"/>
      <c r="AA257" s="482"/>
      <c r="AB257" s="482"/>
      <c r="AC257" s="482"/>
      <c r="AD257" s="600">
        <v>246</v>
      </c>
      <c r="AE257" s="482"/>
      <c r="AF257" s="600"/>
      <c r="AG257" s="600"/>
      <c r="AH257" s="600"/>
      <c r="AI257" s="600"/>
      <c r="AJ257" s="600"/>
      <c r="AK257" s="600"/>
      <c r="AL257" s="600"/>
      <c r="AM257" s="600"/>
      <c r="AN257" s="600"/>
      <c r="AO257" s="600"/>
      <c r="AP257" s="600"/>
      <c r="AQ257" s="600"/>
      <c r="AR257" s="600"/>
      <c r="AS257" s="600"/>
      <c r="AT257" s="600"/>
      <c r="AU257" s="600"/>
      <c r="AV257" s="600"/>
      <c r="AW257" s="482"/>
      <c r="AX257" s="482"/>
      <c r="AY257" s="482"/>
      <c r="AZ257" s="482"/>
      <c r="BA257" s="343"/>
      <c r="BB257" s="343"/>
      <c r="BC257" s="343"/>
      <c r="BD257" s="343"/>
      <c r="BE257" s="343"/>
      <c r="BF257" s="343"/>
      <c r="BG257" s="343"/>
      <c r="BH257" s="343"/>
      <c r="BI257" s="343"/>
      <c r="BJ257" s="343"/>
      <c r="BK257" s="343"/>
      <c r="BL257" s="343"/>
      <c r="BM257" s="343"/>
      <c r="BN257" s="343"/>
      <c r="BO257" s="343"/>
      <c r="BP257" s="343"/>
      <c r="BQ257" s="343"/>
      <c r="BR257" s="343"/>
      <c r="BS257" s="343"/>
      <c r="BT257" s="343"/>
      <c r="BU257" s="343"/>
      <c r="BV257" s="343"/>
      <c r="BW257" s="343"/>
      <c r="BX257" s="343"/>
    </row>
    <row r="258" spans="1:76" s="25" customFormat="1">
      <c r="A258" s="343"/>
      <c r="B258" s="343"/>
      <c r="C258" s="115"/>
      <c r="D258" s="123"/>
      <c r="E258" s="232"/>
      <c r="F258" s="232"/>
      <c r="G258" s="115"/>
      <c r="H258" s="115"/>
      <c r="I258" s="115"/>
      <c r="J258" s="115"/>
      <c r="K258" s="232"/>
      <c r="L258" s="232"/>
      <c r="M258" s="660"/>
      <c r="N258" s="355"/>
      <c r="O258" s="355"/>
      <c r="P258" s="355"/>
      <c r="Q258" s="355"/>
      <c r="R258" s="600"/>
      <c r="S258" s="600"/>
      <c r="T258" s="600"/>
      <c r="U258" s="600"/>
      <c r="V258" s="600"/>
      <c r="W258" s="600"/>
      <c r="X258" s="600"/>
      <c r="Y258" s="600"/>
      <c r="Z258" s="600"/>
      <c r="AA258" s="482"/>
      <c r="AB258" s="482"/>
      <c r="AC258" s="482"/>
      <c r="AD258" s="600">
        <v>247</v>
      </c>
      <c r="AE258" s="482"/>
      <c r="AF258" s="600"/>
      <c r="AG258" s="600"/>
      <c r="AH258" s="600"/>
      <c r="AI258" s="600"/>
      <c r="AJ258" s="600"/>
      <c r="AK258" s="600"/>
      <c r="AL258" s="600"/>
      <c r="AM258" s="600"/>
      <c r="AN258" s="600"/>
      <c r="AO258" s="600"/>
      <c r="AP258" s="600"/>
      <c r="AQ258" s="600"/>
      <c r="AR258" s="600"/>
      <c r="AS258" s="600"/>
      <c r="AT258" s="600"/>
      <c r="AU258" s="600"/>
      <c r="AV258" s="600"/>
      <c r="AW258" s="482"/>
      <c r="AX258" s="482"/>
      <c r="AY258" s="482"/>
      <c r="AZ258" s="482"/>
      <c r="BA258" s="343"/>
      <c r="BB258" s="343"/>
      <c r="BC258" s="343"/>
      <c r="BD258" s="343"/>
      <c r="BE258" s="343"/>
      <c r="BF258" s="343"/>
      <c r="BG258" s="343"/>
      <c r="BH258" s="343"/>
      <c r="BI258" s="343"/>
      <c r="BJ258" s="343"/>
      <c r="BK258" s="343"/>
      <c r="BL258" s="343"/>
      <c r="BM258" s="343"/>
      <c r="BN258" s="343"/>
      <c r="BO258" s="343"/>
      <c r="BP258" s="343"/>
      <c r="BQ258" s="343"/>
      <c r="BR258" s="343"/>
      <c r="BS258" s="343"/>
      <c r="BT258" s="343"/>
      <c r="BU258" s="343"/>
      <c r="BV258" s="343"/>
      <c r="BW258" s="343"/>
      <c r="BX258" s="343"/>
    </row>
    <row r="259" spans="1:76" s="25" customFormat="1">
      <c r="A259" s="343"/>
      <c r="B259" s="343"/>
      <c r="C259" s="115"/>
      <c r="D259" s="123"/>
      <c r="E259" s="232"/>
      <c r="F259" s="232"/>
      <c r="G259" s="115"/>
      <c r="H259" s="115"/>
      <c r="I259" s="115"/>
      <c r="J259" s="115"/>
      <c r="K259" s="232"/>
      <c r="L259" s="232"/>
      <c r="M259" s="660"/>
      <c r="N259" s="355"/>
      <c r="O259" s="355"/>
      <c r="P259" s="355"/>
      <c r="Q259" s="355"/>
      <c r="R259" s="600"/>
      <c r="S259" s="600"/>
      <c r="T259" s="600"/>
      <c r="U259" s="600"/>
      <c r="V259" s="600"/>
      <c r="W259" s="600"/>
      <c r="X259" s="600"/>
      <c r="Y259" s="600"/>
      <c r="Z259" s="600"/>
      <c r="AA259" s="482"/>
      <c r="AB259" s="482"/>
      <c r="AC259" s="482"/>
      <c r="AD259" s="600">
        <v>248</v>
      </c>
      <c r="AE259" s="482"/>
      <c r="AF259" s="600"/>
      <c r="AG259" s="600"/>
      <c r="AH259" s="600"/>
      <c r="AI259" s="600"/>
      <c r="AJ259" s="600"/>
      <c r="AK259" s="600"/>
      <c r="AL259" s="600"/>
      <c r="AM259" s="600"/>
      <c r="AN259" s="600"/>
      <c r="AO259" s="600"/>
      <c r="AP259" s="600"/>
      <c r="AQ259" s="600"/>
      <c r="AR259" s="600"/>
      <c r="AS259" s="600"/>
      <c r="AT259" s="600"/>
      <c r="AU259" s="600"/>
      <c r="AV259" s="600"/>
      <c r="AW259" s="482"/>
      <c r="AX259" s="482"/>
      <c r="AY259" s="482"/>
      <c r="AZ259" s="482"/>
      <c r="BA259" s="343"/>
      <c r="BB259" s="343"/>
      <c r="BC259" s="343"/>
      <c r="BD259" s="343"/>
      <c r="BE259" s="343"/>
      <c r="BF259" s="343"/>
      <c r="BG259" s="343"/>
      <c r="BH259" s="343"/>
      <c r="BI259" s="343"/>
      <c r="BJ259" s="343"/>
      <c r="BK259" s="343"/>
      <c r="BL259" s="343"/>
      <c r="BM259" s="343"/>
      <c r="BN259" s="343"/>
      <c r="BO259" s="343"/>
      <c r="BP259" s="343"/>
      <c r="BQ259" s="343"/>
      <c r="BR259" s="343"/>
      <c r="BS259" s="343"/>
      <c r="BT259" s="343"/>
      <c r="BU259" s="343"/>
      <c r="BV259" s="343"/>
      <c r="BW259" s="343"/>
      <c r="BX259" s="343"/>
    </row>
    <row r="260" spans="1:76" s="25" customFormat="1">
      <c r="A260" s="343"/>
      <c r="B260" s="343"/>
      <c r="C260" s="115"/>
      <c r="D260" s="123"/>
      <c r="E260" s="232"/>
      <c r="F260" s="232"/>
      <c r="G260" s="115"/>
      <c r="H260" s="115"/>
      <c r="I260" s="115"/>
      <c r="J260" s="115"/>
      <c r="K260" s="232"/>
      <c r="L260" s="232"/>
      <c r="M260" s="660"/>
      <c r="N260" s="355"/>
      <c r="O260" s="355"/>
      <c r="P260" s="355"/>
      <c r="Q260" s="355"/>
      <c r="R260" s="600"/>
      <c r="S260" s="600"/>
      <c r="T260" s="600"/>
      <c r="U260" s="600"/>
      <c r="V260" s="600"/>
      <c r="W260" s="600"/>
      <c r="X260" s="600"/>
      <c r="Y260" s="600"/>
      <c r="Z260" s="600"/>
      <c r="AA260" s="482"/>
      <c r="AB260" s="482"/>
      <c r="AC260" s="482"/>
      <c r="AD260" s="600">
        <v>249</v>
      </c>
      <c r="AE260" s="482"/>
      <c r="AF260" s="600"/>
      <c r="AG260" s="600"/>
      <c r="AH260" s="600"/>
      <c r="AI260" s="600"/>
      <c r="AJ260" s="600"/>
      <c r="AK260" s="600"/>
      <c r="AL260" s="600"/>
      <c r="AM260" s="600"/>
      <c r="AN260" s="600"/>
      <c r="AO260" s="600"/>
      <c r="AP260" s="600"/>
      <c r="AQ260" s="600"/>
      <c r="AR260" s="600"/>
      <c r="AS260" s="600"/>
      <c r="AT260" s="600"/>
      <c r="AU260" s="600"/>
      <c r="AV260" s="600"/>
      <c r="AW260" s="482"/>
      <c r="AX260" s="482"/>
      <c r="AY260" s="482"/>
      <c r="AZ260" s="482"/>
      <c r="BA260" s="343"/>
      <c r="BB260" s="343"/>
      <c r="BC260" s="343"/>
      <c r="BD260" s="343"/>
      <c r="BE260" s="343"/>
      <c r="BF260" s="343"/>
      <c r="BG260" s="343"/>
      <c r="BH260" s="343"/>
      <c r="BI260" s="343"/>
      <c r="BJ260" s="343"/>
      <c r="BK260" s="343"/>
      <c r="BL260" s="343"/>
      <c r="BM260" s="343"/>
      <c r="BN260" s="343"/>
      <c r="BO260" s="343"/>
      <c r="BP260" s="343"/>
      <c r="BQ260" s="343"/>
      <c r="BR260" s="343"/>
      <c r="BS260" s="343"/>
      <c r="BT260" s="343"/>
      <c r="BU260" s="343"/>
      <c r="BV260" s="343"/>
      <c r="BW260" s="343"/>
      <c r="BX260" s="343"/>
    </row>
    <row r="261" spans="1:76" s="25" customFormat="1">
      <c r="A261" s="343"/>
      <c r="B261" s="343"/>
      <c r="C261" s="115"/>
      <c r="D261" s="123"/>
      <c r="E261" s="232"/>
      <c r="F261" s="232"/>
      <c r="G261" s="115"/>
      <c r="H261" s="115"/>
      <c r="I261" s="115"/>
      <c r="J261" s="115"/>
      <c r="K261" s="232"/>
      <c r="L261" s="232"/>
      <c r="M261" s="660"/>
      <c r="N261" s="355"/>
      <c r="O261" s="355"/>
      <c r="P261" s="355"/>
      <c r="Q261" s="355"/>
      <c r="R261" s="600"/>
      <c r="S261" s="600"/>
      <c r="T261" s="600"/>
      <c r="U261" s="600"/>
      <c r="V261" s="600"/>
      <c r="W261" s="600"/>
      <c r="X261" s="600"/>
      <c r="Y261" s="600"/>
      <c r="Z261" s="600"/>
      <c r="AA261" s="482"/>
      <c r="AB261" s="482"/>
      <c r="AC261" s="482"/>
      <c r="AD261" s="600">
        <v>250</v>
      </c>
      <c r="AE261" s="482"/>
      <c r="AF261" s="600"/>
      <c r="AG261" s="600"/>
      <c r="AH261" s="600"/>
      <c r="AI261" s="600"/>
      <c r="AJ261" s="600"/>
      <c r="AK261" s="600"/>
      <c r="AL261" s="600"/>
      <c r="AM261" s="600"/>
      <c r="AN261" s="600"/>
      <c r="AO261" s="600"/>
      <c r="AP261" s="600"/>
      <c r="AQ261" s="600"/>
      <c r="AR261" s="600"/>
      <c r="AS261" s="600"/>
      <c r="AT261" s="600"/>
      <c r="AU261" s="600"/>
      <c r="AV261" s="600"/>
      <c r="AW261" s="482"/>
      <c r="AX261" s="482"/>
      <c r="AY261" s="482"/>
      <c r="AZ261" s="482"/>
      <c r="BA261" s="343"/>
      <c r="BB261" s="343"/>
      <c r="BC261" s="343"/>
      <c r="BD261" s="343"/>
      <c r="BE261" s="343"/>
      <c r="BF261" s="343"/>
      <c r="BG261" s="343"/>
      <c r="BH261" s="343"/>
      <c r="BI261" s="343"/>
      <c r="BJ261" s="343"/>
      <c r="BK261" s="343"/>
      <c r="BL261" s="343"/>
      <c r="BM261" s="343"/>
      <c r="BN261" s="343"/>
      <c r="BO261" s="343"/>
      <c r="BP261" s="343"/>
      <c r="BQ261" s="343"/>
      <c r="BR261" s="343"/>
      <c r="BS261" s="343"/>
      <c r="BT261" s="343"/>
      <c r="BU261" s="343"/>
      <c r="BV261" s="343"/>
      <c r="BW261" s="343"/>
      <c r="BX261" s="343"/>
    </row>
    <row r="262" spans="1:76" s="25" customFormat="1">
      <c r="A262" s="343"/>
      <c r="B262" s="343"/>
      <c r="C262" s="115"/>
      <c r="D262" s="123"/>
      <c r="E262" s="232"/>
      <c r="F262" s="232"/>
      <c r="G262" s="115"/>
      <c r="H262" s="115"/>
      <c r="I262" s="115"/>
      <c r="J262" s="115"/>
      <c r="K262" s="232"/>
      <c r="L262" s="232"/>
      <c r="M262" s="660"/>
      <c r="N262" s="355"/>
      <c r="O262" s="355"/>
      <c r="P262" s="355"/>
      <c r="Q262" s="355"/>
      <c r="R262" s="600"/>
      <c r="S262" s="600"/>
      <c r="T262" s="600"/>
      <c r="U262" s="600"/>
      <c r="V262" s="600"/>
      <c r="W262" s="600"/>
      <c r="X262" s="600"/>
      <c r="Y262" s="600"/>
      <c r="Z262" s="600"/>
      <c r="AA262" s="482"/>
      <c r="AB262" s="482"/>
      <c r="AC262" s="482"/>
      <c r="AD262" s="600">
        <v>251</v>
      </c>
      <c r="AE262" s="482"/>
      <c r="AF262" s="600"/>
      <c r="AG262" s="600"/>
      <c r="AH262" s="600"/>
      <c r="AI262" s="600"/>
      <c r="AJ262" s="600"/>
      <c r="AK262" s="600"/>
      <c r="AL262" s="600"/>
      <c r="AM262" s="600"/>
      <c r="AN262" s="600"/>
      <c r="AO262" s="600"/>
      <c r="AP262" s="600"/>
      <c r="AQ262" s="600"/>
      <c r="AR262" s="600"/>
      <c r="AS262" s="600"/>
      <c r="AT262" s="600"/>
      <c r="AU262" s="600"/>
      <c r="AV262" s="600"/>
      <c r="AW262" s="482"/>
      <c r="AX262" s="482"/>
      <c r="AY262" s="482"/>
      <c r="AZ262" s="482"/>
      <c r="BA262" s="343"/>
      <c r="BB262" s="343"/>
      <c r="BC262" s="343"/>
      <c r="BD262" s="343"/>
      <c r="BE262" s="343"/>
      <c r="BF262" s="343"/>
      <c r="BG262" s="343"/>
      <c r="BH262" s="343"/>
      <c r="BI262" s="343"/>
      <c r="BJ262" s="343"/>
      <c r="BK262" s="343"/>
      <c r="BL262" s="343"/>
      <c r="BM262" s="343"/>
      <c r="BN262" s="343"/>
      <c r="BO262" s="343"/>
      <c r="BP262" s="343"/>
      <c r="BQ262" s="343"/>
      <c r="BR262" s="343"/>
      <c r="BS262" s="343"/>
      <c r="BT262" s="343"/>
      <c r="BU262" s="343"/>
      <c r="BV262" s="343"/>
      <c r="BW262" s="343"/>
      <c r="BX262" s="343"/>
    </row>
    <row r="263" spans="1:76" s="25" customFormat="1">
      <c r="A263" s="343"/>
      <c r="B263" s="343"/>
      <c r="C263" s="115"/>
      <c r="D263" s="123"/>
      <c r="E263" s="232"/>
      <c r="F263" s="232"/>
      <c r="G263" s="115"/>
      <c r="H263" s="115"/>
      <c r="I263" s="115"/>
      <c r="J263" s="115"/>
      <c r="K263" s="232"/>
      <c r="L263" s="232"/>
      <c r="M263" s="660"/>
      <c r="N263" s="355"/>
      <c r="O263" s="355"/>
      <c r="P263" s="355"/>
      <c r="Q263" s="355"/>
      <c r="R263" s="600"/>
      <c r="S263" s="600"/>
      <c r="T263" s="600"/>
      <c r="U263" s="600"/>
      <c r="V263" s="600"/>
      <c r="W263" s="600"/>
      <c r="X263" s="600"/>
      <c r="Y263" s="600"/>
      <c r="Z263" s="600"/>
      <c r="AA263" s="482"/>
      <c r="AB263" s="482"/>
      <c r="AC263" s="482"/>
      <c r="AD263" s="600">
        <v>252</v>
      </c>
      <c r="AE263" s="482"/>
      <c r="AF263" s="600"/>
      <c r="AG263" s="600"/>
      <c r="AH263" s="600"/>
      <c r="AI263" s="600"/>
      <c r="AJ263" s="600"/>
      <c r="AK263" s="600"/>
      <c r="AL263" s="600"/>
      <c r="AM263" s="600"/>
      <c r="AN263" s="600"/>
      <c r="AO263" s="600"/>
      <c r="AP263" s="600"/>
      <c r="AQ263" s="600"/>
      <c r="AR263" s="600"/>
      <c r="AS263" s="600"/>
      <c r="AT263" s="600"/>
      <c r="AU263" s="600"/>
      <c r="AV263" s="600"/>
      <c r="AW263" s="482"/>
      <c r="AX263" s="482"/>
      <c r="AY263" s="482"/>
      <c r="AZ263" s="482"/>
      <c r="BA263" s="343"/>
      <c r="BB263" s="343"/>
      <c r="BC263" s="343"/>
      <c r="BD263" s="343"/>
      <c r="BE263" s="343"/>
      <c r="BF263" s="343"/>
      <c r="BG263" s="343"/>
      <c r="BH263" s="343"/>
      <c r="BI263" s="343"/>
      <c r="BJ263" s="343"/>
      <c r="BK263" s="343"/>
      <c r="BL263" s="343"/>
      <c r="BM263" s="343"/>
      <c r="BN263" s="343"/>
      <c r="BO263" s="343"/>
      <c r="BP263" s="343"/>
      <c r="BQ263" s="343"/>
      <c r="BR263" s="343"/>
      <c r="BS263" s="343"/>
      <c r="BT263" s="343"/>
      <c r="BU263" s="343"/>
      <c r="BV263" s="343"/>
      <c r="BW263" s="343"/>
      <c r="BX263" s="343"/>
    </row>
    <row r="264" spans="1:76" s="25" customFormat="1">
      <c r="A264" s="343"/>
      <c r="B264" s="343"/>
      <c r="C264" s="115"/>
      <c r="D264" s="123"/>
      <c r="E264" s="232"/>
      <c r="F264" s="232"/>
      <c r="G264" s="115"/>
      <c r="H264" s="115"/>
      <c r="I264" s="115"/>
      <c r="J264" s="115"/>
      <c r="K264" s="232"/>
      <c r="L264" s="232"/>
      <c r="M264" s="660"/>
      <c r="N264" s="355"/>
      <c r="O264" s="355"/>
      <c r="P264" s="355"/>
      <c r="Q264" s="355"/>
      <c r="R264" s="600"/>
      <c r="S264" s="600"/>
      <c r="T264" s="600"/>
      <c r="U264" s="600"/>
      <c r="V264" s="600"/>
      <c r="W264" s="600"/>
      <c r="X264" s="600"/>
      <c r="Y264" s="600"/>
      <c r="Z264" s="600"/>
      <c r="AA264" s="482"/>
      <c r="AB264" s="482"/>
      <c r="AC264" s="482"/>
      <c r="AD264" s="600">
        <v>253</v>
      </c>
      <c r="AE264" s="482"/>
      <c r="AF264" s="600"/>
      <c r="AG264" s="600"/>
      <c r="AH264" s="600"/>
      <c r="AI264" s="600"/>
      <c r="AJ264" s="600"/>
      <c r="AK264" s="600"/>
      <c r="AL264" s="600"/>
      <c r="AM264" s="600"/>
      <c r="AN264" s="600"/>
      <c r="AO264" s="600"/>
      <c r="AP264" s="600"/>
      <c r="AQ264" s="600"/>
      <c r="AR264" s="600"/>
      <c r="AS264" s="600"/>
      <c r="AT264" s="600"/>
      <c r="AU264" s="600"/>
      <c r="AV264" s="600"/>
      <c r="AW264" s="482"/>
      <c r="AX264" s="482"/>
      <c r="AY264" s="482"/>
      <c r="AZ264" s="482"/>
      <c r="BA264" s="343"/>
      <c r="BB264" s="343"/>
      <c r="BC264" s="343"/>
      <c r="BD264" s="343"/>
      <c r="BE264" s="343"/>
      <c r="BF264" s="343"/>
      <c r="BG264" s="343"/>
      <c r="BH264" s="343"/>
      <c r="BI264" s="343"/>
      <c r="BJ264" s="343"/>
      <c r="BK264" s="343"/>
      <c r="BL264" s="343"/>
      <c r="BM264" s="343"/>
      <c r="BN264" s="343"/>
      <c r="BO264" s="343"/>
      <c r="BP264" s="343"/>
      <c r="BQ264" s="343"/>
      <c r="BR264" s="343"/>
      <c r="BS264" s="343"/>
      <c r="BT264" s="343"/>
      <c r="BU264" s="343"/>
      <c r="BV264" s="343"/>
      <c r="BW264" s="343"/>
      <c r="BX264" s="343"/>
    </row>
    <row r="265" spans="1:76" s="25" customFormat="1">
      <c r="A265" s="343"/>
      <c r="B265" s="343"/>
      <c r="C265" s="115"/>
      <c r="D265" s="123"/>
      <c r="E265" s="232"/>
      <c r="F265" s="232"/>
      <c r="G265" s="115"/>
      <c r="H265" s="115"/>
      <c r="I265" s="115"/>
      <c r="J265" s="115"/>
      <c r="K265" s="232"/>
      <c r="L265" s="232"/>
      <c r="M265" s="660"/>
      <c r="N265" s="355"/>
      <c r="O265" s="355"/>
      <c r="P265" s="355"/>
      <c r="Q265" s="355"/>
      <c r="R265" s="600"/>
      <c r="S265" s="600"/>
      <c r="T265" s="600"/>
      <c r="U265" s="600"/>
      <c r="V265" s="600"/>
      <c r="W265" s="600"/>
      <c r="X265" s="600"/>
      <c r="Y265" s="600"/>
      <c r="Z265" s="600"/>
      <c r="AA265" s="482"/>
      <c r="AB265" s="482"/>
      <c r="AC265" s="482"/>
      <c r="AD265" s="600">
        <v>254</v>
      </c>
      <c r="AE265" s="482"/>
      <c r="AF265" s="600"/>
      <c r="AG265" s="600"/>
      <c r="AH265" s="600"/>
      <c r="AI265" s="600"/>
      <c r="AJ265" s="600"/>
      <c r="AK265" s="600"/>
      <c r="AL265" s="600"/>
      <c r="AM265" s="600"/>
      <c r="AN265" s="600"/>
      <c r="AO265" s="600"/>
      <c r="AP265" s="600"/>
      <c r="AQ265" s="600"/>
      <c r="AR265" s="600"/>
      <c r="AS265" s="600"/>
      <c r="AT265" s="600"/>
      <c r="AU265" s="600"/>
      <c r="AV265" s="600"/>
      <c r="AW265" s="482"/>
      <c r="AX265" s="482"/>
      <c r="AY265" s="482"/>
      <c r="AZ265" s="482"/>
      <c r="BA265" s="343"/>
      <c r="BB265" s="343"/>
      <c r="BC265" s="343"/>
      <c r="BD265" s="343"/>
      <c r="BE265" s="343"/>
      <c r="BF265" s="343"/>
      <c r="BG265" s="343"/>
      <c r="BH265" s="343"/>
      <c r="BI265" s="343"/>
      <c r="BJ265" s="343"/>
      <c r="BK265" s="343"/>
      <c r="BL265" s="343"/>
      <c r="BM265" s="343"/>
      <c r="BN265" s="343"/>
      <c r="BO265" s="343"/>
      <c r="BP265" s="343"/>
      <c r="BQ265" s="343"/>
      <c r="BR265" s="343"/>
      <c r="BS265" s="343"/>
      <c r="BT265" s="343"/>
      <c r="BU265" s="343"/>
      <c r="BV265" s="343"/>
      <c r="BW265" s="343"/>
      <c r="BX265" s="343"/>
    </row>
    <row r="266" spans="1:76" s="25" customFormat="1">
      <c r="A266" s="343"/>
      <c r="B266" s="343"/>
      <c r="C266" s="115"/>
      <c r="D266" s="123"/>
      <c r="E266" s="232"/>
      <c r="F266" s="232"/>
      <c r="G266" s="115"/>
      <c r="H266" s="115"/>
      <c r="I266" s="115"/>
      <c r="J266" s="115"/>
      <c r="K266" s="232"/>
      <c r="L266" s="232"/>
      <c r="M266" s="660"/>
      <c r="N266" s="355"/>
      <c r="O266" s="355"/>
      <c r="P266" s="355"/>
      <c r="Q266" s="355"/>
      <c r="R266" s="600"/>
      <c r="S266" s="600"/>
      <c r="T266" s="600"/>
      <c r="U266" s="600"/>
      <c r="V266" s="600"/>
      <c r="W266" s="600"/>
      <c r="X266" s="600"/>
      <c r="Y266" s="600"/>
      <c r="Z266" s="600"/>
      <c r="AA266" s="482"/>
      <c r="AB266" s="482"/>
      <c r="AC266" s="482"/>
      <c r="AD266" s="600">
        <v>255</v>
      </c>
      <c r="AE266" s="482"/>
      <c r="AF266" s="600"/>
      <c r="AG266" s="600"/>
      <c r="AH266" s="600"/>
      <c r="AI266" s="600"/>
      <c r="AJ266" s="600"/>
      <c r="AK266" s="600"/>
      <c r="AL266" s="600"/>
      <c r="AM266" s="600"/>
      <c r="AN266" s="600"/>
      <c r="AO266" s="600"/>
      <c r="AP266" s="600"/>
      <c r="AQ266" s="600"/>
      <c r="AR266" s="600"/>
      <c r="AS266" s="600"/>
      <c r="AT266" s="600"/>
      <c r="AU266" s="600"/>
      <c r="AV266" s="600"/>
      <c r="AW266" s="482"/>
      <c r="AX266" s="482"/>
      <c r="AY266" s="482"/>
      <c r="AZ266" s="482"/>
      <c r="BA266" s="343"/>
      <c r="BB266" s="343"/>
      <c r="BC266" s="343"/>
      <c r="BD266" s="343"/>
      <c r="BE266" s="343"/>
      <c r="BF266" s="343"/>
      <c r="BG266" s="343"/>
      <c r="BH266" s="343"/>
      <c r="BI266" s="343"/>
      <c r="BJ266" s="343"/>
      <c r="BK266" s="343"/>
      <c r="BL266" s="343"/>
      <c r="BM266" s="343"/>
      <c r="BN266" s="343"/>
      <c r="BO266" s="343"/>
      <c r="BP266" s="343"/>
      <c r="BQ266" s="343"/>
      <c r="BR266" s="343"/>
      <c r="BS266" s="343"/>
      <c r="BT266" s="343"/>
      <c r="BU266" s="343"/>
      <c r="BV266" s="343"/>
      <c r="BW266" s="343"/>
      <c r="BX266" s="343"/>
    </row>
    <row r="267" spans="1:76" s="25" customFormat="1">
      <c r="A267" s="343"/>
      <c r="B267" s="343"/>
      <c r="C267" s="115"/>
      <c r="D267" s="123"/>
      <c r="E267" s="232"/>
      <c r="F267" s="232"/>
      <c r="G267" s="115"/>
      <c r="H267" s="115"/>
      <c r="I267" s="115"/>
      <c r="J267" s="115"/>
      <c r="K267" s="232"/>
      <c r="L267" s="232"/>
      <c r="M267" s="660"/>
      <c r="N267" s="355"/>
      <c r="O267" s="355"/>
      <c r="P267" s="355"/>
      <c r="Q267" s="355"/>
      <c r="R267" s="600"/>
      <c r="S267" s="600"/>
      <c r="T267" s="600"/>
      <c r="U267" s="600"/>
      <c r="V267" s="600"/>
      <c r="W267" s="600"/>
      <c r="X267" s="600"/>
      <c r="Y267" s="600"/>
      <c r="Z267" s="600"/>
      <c r="AA267" s="482"/>
      <c r="AB267" s="482"/>
      <c r="AC267" s="482"/>
      <c r="AD267" s="600">
        <v>256</v>
      </c>
      <c r="AE267" s="482"/>
      <c r="AF267" s="600"/>
      <c r="AG267" s="600"/>
      <c r="AH267" s="600"/>
      <c r="AI267" s="600"/>
      <c r="AJ267" s="600"/>
      <c r="AK267" s="600"/>
      <c r="AL267" s="600"/>
      <c r="AM267" s="600"/>
      <c r="AN267" s="600"/>
      <c r="AO267" s="600"/>
      <c r="AP267" s="600"/>
      <c r="AQ267" s="600"/>
      <c r="AR267" s="600"/>
      <c r="AS267" s="600"/>
      <c r="AT267" s="600"/>
      <c r="AU267" s="600"/>
      <c r="AV267" s="600"/>
      <c r="AW267" s="482"/>
      <c r="AX267" s="482"/>
      <c r="AY267" s="482"/>
      <c r="AZ267" s="482"/>
      <c r="BA267" s="343"/>
      <c r="BB267" s="343"/>
      <c r="BC267" s="343"/>
      <c r="BD267" s="343"/>
      <c r="BE267" s="343"/>
      <c r="BF267" s="343"/>
      <c r="BG267" s="343"/>
      <c r="BH267" s="343"/>
      <c r="BI267" s="343"/>
      <c r="BJ267" s="343"/>
      <c r="BK267" s="343"/>
      <c r="BL267" s="343"/>
      <c r="BM267" s="343"/>
      <c r="BN267" s="343"/>
      <c r="BO267" s="343"/>
      <c r="BP267" s="343"/>
      <c r="BQ267" s="343"/>
      <c r="BR267" s="343"/>
      <c r="BS267" s="343"/>
      <c r="BT267" s="343"/>
      <c r="BU267" s="343"/>
      <c r="BV267" s="343"/>
      <c r="BW267" s="343"/>
      <c r="BX267" s="343"/>
    </row>
    <row r="268" spans="1:76" s="25" customFormat="1">
      <c r="A268" s="343"/>
      <c r="B268" s="343"/>
      <c r="C268" s="115"/>
      <c r="D268" s="123"/>
      <c r="E268" s="232"/>
      <c r="F268" s="232"/>
      <c r="G268" s="115"/>
      <c r="H268" s="115"/>
      <c r="I268" s="115"/>
      <c r="J268" s="115"/>
      <c r="K268" s="232"/>
      <c r="L268" s="232"/>
      <c r="M268" s="660"/>
      <c r="N268" s="355"/>
      <c r="O268" s="355"/>
      <c r="P268" s="355"/>
      <c r="Q268" s="355"/>
      <c r="R268" s="600"/>
      <c r="S268" s="600"/>
      <c r="T268" s="600"/>
      <c r="U268" s="600"/>
      <c r="V268" s="600"/>
      <c r="W268" s="600"/>
      <c r="X268" s="600"/>
      <c r="Y268" s="600"/>
      <c r="Z268" s="600"/>
      <c r="AA268" s="482"/>
      <c r="AB268" s="482"/>
      <c r="AC268" s="482"/>
      <c r="AD268" s="600">
        <v>257</v>
      </c>
      <c r="AE268" s="482"/>
      <c r="AF268" s="600"/>
      <c r="AG268" s="600"/>
      <c r="AH268" s="600"/>
      <c r="AI268" s="600"/>
      <c r="AJ268" s="600"/>
      <c r="AK268" s="600"/>
      <c r="AL268" s="600"/>
      <c r="AM268" s="600"/>
      <c r="AN268" s="600"/>
      <c r="AO268" s="600"/>
      <c r="AP268" s="600"/>
      <c r="AQ268" s="600"/>
      <c r="AR268" s="600"/>
      <c r="AS268" s="600"/>
      <c r="AT268" s="600"/>
      <c r="AU268" s="600"/>
      <c r="AV268" s="600"/>
      <c r="AW268" s="482"/>
      <c r="AX268" s="482"/>
      <c r="AY268" s="482"/>
      <c r="AZ268" s="482"/>
      <c r="BA268" s="343"/>
      <c r="BB268" s="343"/>
      <c r="BC268" s="343"/>
      <c r="BD268" s="343"/>
      <c r="BE268" s="343"/>
      <c r="BF268" s="343"/>
      <c r="BG268" s="343"/>
      <c r="BH268" s="343"/>
      <c r="BI268" s="343"/>
      <c r="BJ268" s="343"/>
      <c r="BK268" s="343"/>
      <c r="BL268" s="343"/>
      <c r="BM268" s="343"/>
      <c r="BN268" s="343"/>
      <c r="BO268" s="343"/>
      <c r="BP268" s="343"/>
      <c r="BQ268" s="343"/>
      <c r="BR268" s="343"/>
      <c r="BS268" s="343"/>
      <c r="BT268" s="343"/>
      <c r="BU268" s="343"/>
      <c r="BV268" s="343"/>
      <c r="BW268" s="343"/>
      <c r="BX268" s="343"/>
    </row>
    <row r="269" spans="1:76" s="25" customFormat="1">
      <c r="A269" s="343"/>
      <c r="B269" s="343"/>
      <c r="C269" s="115"/>
      <c r="D269" s="123"/>
      <c r="E269" s="232"/>
      <c r="F269" s="232"/>
      <c r="G269" s="115"/>
      <c r="H269" s="115"/>
      <c r="I269" s="115"/>
      <c r="J269" s="115"/>
      <c r="K269" s="232"/>
      <c r="L269" s="232"/>
      <c r="M269" s="660"/>
      <c r="N269" s="355"/>
      <c r="O269" s="355"/>
      <c r="P269" s="355"/>
      <c r="Q269" s="355"/>
      <c r="R269" s="600"/>
      <c r="S269" s="600"/>
      <c r="T269" s="600"/>
      <c r="U269" s="600"/>
      <c r="V269" s="600"/>
      <c r="W269" s="600"/>
      <c r="X269" s="600"/>
      <c r="Y269" s="600"/>
      <c r="Z269" s="600"/>
      <c r="AA269" s="482"/>
      <c r="AB269" s="482"/>
      <c r="AC269" s="482"/>
      <c r="AD269" s="600">
        <v>258</v>
      </c>
      <c r="AE269" s="482"/>
      <c r="AF269" s="600"/>
      <c r="AG269" s="600"/>
      <c r="AH269" s="600"/>
      <c r="AI269" s="600"/>
      <c r="AJ269" s="600"/>
      <c r="AK269" s="600"/>
      <c r="AL269" s="600"/>
      <c r="AM269" s="600"/>
      <c r="AN269" s="600"/>
      <c r="AO269" s="600"/>
      <c r="AP269" s="600"/>
      <c r="AQ269" s="600"/>
      <c r="AR269" s="600"/>
      <c r="AS269" s="600"/>
      <c r="AT269" s="600"/>
      <c r="AU269" s="600"/>
      <c r="AV269" s="600"/>
      <c r="AW269" s="482"/>
      <c r="AX269" s="482"/>
      <c r="AY269" s="482"/>
      <c r="AZ269" s="482"/>
      <c r="BA269" s="343"/>
      <c r="BB269" s="343"/>
      <c r="BC269" s="343"/>
      <c r="BD269" s="343"/>
      <c r="BE269" s="343"/>
      <c r="BF269" s="343"/>
      <c r="BG269" s="343"/>
      <c r="BH269" s="343"/>
      <c r="BI269" s="343"/>
      <c r="BJ269" s="343"/>
      <c r="BK269" s="343"/>
      <c r="BL269" s="343"/>
      <c r="BM269" s="343"/>
      <c r="BN269" s="343"/>
      <c r="BO269" s="343"/>
      <c r="BP269" s="343"/>
      <c r="BQ269" s="343"/>
      <c r="BR269" s="343"/>
      <c r="BS269" s="343"/>
      <c r="BT269" s="343"/>
      <c r="BU269" s="343"/>
      <c r="BV269" s="343"/>
      <c r="BW269" s="343"/>
      <c r="BX269" s="343"/>
    </row>
    <row r="270" spans="1:76" s="25" customFormat="1">
      <c r="A270" s="343"/>
      <c r="B270" s="343"/>
      <c r="C270" s="115"/>
      <c r="D270" s="123"/>
      <c r="E270" s="232"/>
      <c r="F270" s="232"/>
      <c r="G270" s="115"/>
      <c r="H270" s="115"/>
      <c r="I270" s="115"/>
      <c r="J270" s="115"/>
      <c r="K270" s="232"/>
      <c r="L270" s="232"/>
      <c r="M270" s="660"/>
      <c r="N270" s="355"/>
      <c r="O270" s="355"/>
      <c r="P270" s="355"/>
      <c r="Q270" s="355"/>
      <c r="R270" s="600"/>
      <c r="S270" s="600"/>
      <c r="T270" s="600"/>
      <c r="U270" s="600"/>
      <c r="V270" s="600"/>
      <c r="W270" s="600"/>
      <c r="X270" s="600"/>
      <c r="Y270" s="600"/>
      <c r="Z270" s="600"/>
      <c r="AA270" s="482"/>
      <c r="AB270" s="482"/>
      <c r="AC270" s="482"/>
      <c r="AD270" s="600">
        <v>259</v>
      </c>
      <c r="AE270" s="482"/>
      <c r="AF270" s="600"/>
      <c r="AG270" s="600"/>
      <c r="AH270" s="600"/>
      <c r="AI270" s="600"/>
      <c r="AJ270" s="600"/>
      <c r="AK270" s="600"/>
      <c r="AL270" s="600"/>
      <c r="AM270" s="600"/>
      <c r="AN270" s="600"/>
      <c r="AO270" s="600"/>
      <c r="AP270" s="600"/>
      <c r="AQ270" s="600"/>
      <c r="AR270" s="600"/>
      <c r="AS270" s="600"/>
      <c r="AT270" s="600"/>
      <c r="AU270" s="600"/>
      <c r="AV270" s="600"/>
      <c r="AW270" s="482"/>
      <c r="AX270" s="482"/>
      <c r="AY270" s="482"/>
      <c r="AZ270" s="482"/>
      <c r="BA270" s="343"/>
      <c r="BB270" s="343"/>
      <c r="BC270" s="343"/>
      <c r="BD270" s="343"/>
      <c r="BE270" s="343"/>
      <c r="BF270" s="343"/>
      <c r="BG270" s="343"/>
      <c r="BH270" s="343"/>
      <c r="BI270" s="343"/>
      <c r="BJ270" s="343"/>
      <c r="BK270" s="343"/>
      <c r="BL270" s="343"/>
      <c r="BM270" s="343"/>
      <c r="BN270" s="343"/>
      <c r="BO270" s="343"/>
      <c r="BP270" s="343"/>
      <c r="BQ270" s="343"/>
      <c r="BR270" s="343"/>
      <c r="BS270" s="343"/>
      <c r="BT270" s="343"/>
      <c r="BU270" s="343"/>
      <c r="BV270" s="343"/>
      <c r="BW270" s="343"/>
      <c r="BX270" s="343"/>
    </row>
    <row r="271" spans="1:76" s="25" customFormat="1">
      <c r="A271" s="343"/>
      <c r="B271" s="343"/>
      <c r="C271" s="115"/>
      <c r="D271" s="123"/>
      <c r="E271" s="232"/>
      <c r="F271" s="232"/>
      <c r="G271" s="115"/>
      <c r="H271" s="115"/>
      <c r="I271" s="115"/>
      <c r="J271" s="115"/>
      <c r="K271" s="232"/>
      <c r="L271" s="232"/>
      <c r="M271" s="660"/>
      <c r="N271" s="355"/>
      <c r="O271" s="355"/>
      <c r="P271" s="355"/>
      <c r="Q271" s="355"/>
      <c r="R271" s="600"/>
      <c r="S271" s="600"/>
      <c r="T271" s="600"/>
      <c r="U271" s="600"/>
      <c r="V271" s="600"/>
      <c r="W271" s="600"/>
      <c r="X271" s="600"/>
      <c r="Y271" s="600"/>
      <c r="Z271" s="600"/>
      <c r="AA271" s="482"/>
      <c r="AB271" s="482"/>
      <c r="AC271" s="482"/>
      <c r="AD271" s="600">
        <v>260</v>
      </c>
      <c r="AE271" s="482"/>
      <c r="AF271" s="600"/>
      <c r="AG271" s="600"/>
      <c r="AH271" s="600"/>
      <c r="AI271" s="600"/>
      <c r="AJ271" s="600"/>
      <c r="AK271" s="600"/>
      <c r="AL271" s="600"/>
      <c r="AM271" s="600"/>
      <c r="AN271" s="600"/>
      <c r="AO271" s="600"/>
      <c r="AP271" s="600"/>
      <c r="AQ271" s="600"/>
      <c r="AR271" s="600"/>
      <c r="AS271" s="600"/>
      <c r="AT271" s="600"/>
      <c r="AU271" s="600"/>
      <c r="AV271" s="600"/>
      <c r="AW271" s="482"/>
      <c r="AX271" s="482"/>
      <c r="AY271" s="482"/>
      <c r="AZ271" s="482"/>
      <c r="BA271" s="343"/>
      <c r="BB271" s="343"/>
      <c r="BC271" s="343"/>
      <c r="BD271" s="343"/>
      <c r="BE271" s="343"/>
      <c r="BF271" s="343"/>
      <c r="BG271" s="343"/>
      <c r="BH271" s="343"/>
      <c r="BI271" s="343"/>
      <c r="BJ271" s="343"/>
      <c r="BK271" s="343"/>
      <c r="BL271" s="343"/>
      <c r="BM271" s="343"/>
      <c r="BN271" s="343"/>
      <c r="BO271" s="343"/>
      <c r="BP271" s="343"/>
      <c r="BQ271" s="343"/>
      <c r="BR271" s="343"/>
      <c r="BS271" s="343"/>
      <c r="BT271" s="343"/>
      <c r="BU271" s="343"/>
      <c r="BV271" s="343"/>
      <c r="BW271" s="343"/>
      <c r="BX271" s="343"/>
    </row>
    <row r="272" spans="1:76" s="25" customFormat="1">
      <c r="A272" s="343"/>
      <c r="B272" s="343"/>
      <c r="C272" s="115"/>
      <c r="D272" s="123"/>
      <c r="E272" s="232"/>
      <c r="F272" s="232"/>
      <c r="G272" s="115"/>
      <c r="H272" s="115"/>
      <c r="I272" s="115"/>
      <c r="J272" s="115"/>
      <c r="K272" s="232"/>
      <c r="L272" s="232"/>
      <c r="M272" s="660"/>
      <c r="N272" s="355"/>
      <c r="O272" s="355"/>
      <c r="P272" s="355"/>
      <c r="Q272" s="355"/>
      <c r="R272" s="600"/>
      <c r="S272" s="600"/>
      <c r="T272" s="600"/>
      <c r="U272" s="600"/>
      <c r="V272" s="600"/>
      <c r="W272" s="600"/>
      <c r="X272" s="600"/>
      <c r="Y272" s="600"/>
      <c r="Z272" s="600"/>
      <c r="AA272" s="482"/>
      <c r="AB272" s="482"/>
      <c r="AC272" s="482"/>
      <c r="AD272" s="600">
        <v>261</v>
      </c>
      <c r="AE272" s="482"/>
      <c r="AF272" s="600"/>
      <c r="AG272" s="600"/>
      <c r="AH272" s="600"/>
      <c r="AI272" s="600"/>
      <c r="AJ272" s="600"/>
      <c r="AK272" s="600"/>
      <c r="AL272" s="600"/>
      <c r="AM272" s="600"/>
      <c r="AN272" s="600"/>
      <c r="AO272" s="600"/>
      <c r="AP272" s="600"/>
      <c r="AQ272" s="600"/>
      <c r="AR272" s="600"/>
      <c r="AS272" s="600"/>
      <c r="AT272" s="600"/>
      <c r="AU272" s="600"/>
      <c r="AV272" s="600"/>
      <c r="AW272" s="482"/>
      <c r="AX272" s="482"/>
      <c r="AY272" s="482"/>
      <c r="AZ272" s="482"/>
      <c r="BA272" s="343"/>
      <c r="BB272" s="343"/>
      <c r="BC272" s="343"/>
      <c r="BD272" s="343"/>
      <c r="BE272" s="343"/>
      <c r="BF272" s="343"/>
      <c r="BG272" s="343"/>
      <c r="BH272" s="343"/>
      <c r="BI272" s="343"/>
      <c r="BJ272" s="343"/>
      <c r="BK272" s="343"/>
      <c r="BL272" s="343"/>
      <c r="BM272" s="343"/>
      <c r="BN272" s="343"/>
      <c r="BO272" s="343"/>
      <c r="BP272" s="343"/>
      <c r="BQ272" s="343"/>
      <c r="BR272" s="343"/>
      <c r="BS272" s="343"/>
      <c r="BT272" s="343"/>
      <c r="BU272" s="343"/>
      <c r="BV272" s="343"/>
      <c r="BW272" s="343"/>
      <c r="BX272" s="343"/>
    </row>
    <row r="273" spans="1:76" s="25" customFormat="1">
      <c r="A273" s="343"/>
      <c r="B273" s="343"/>
      <c r="C273" s="115"/>
      <c r="D273" s="123"/>
      <c r="E273" s="232"/>
      <c r="F273" s="232"/>
      <c r="G273" s="115"/>
      <c r="H273" s="115"/>
      <c r="I273" s="115"/>
      <c r="J273" s="115"/>
      <c r="K273" s="232"/>
      <c r="L273" s="232"/>
      <c r="M273" s="660"/>
      <c r="N273" s="355"/>
      <c r="O273" s="355"/>
      <c r="P273" s="355"/>
      <c r="Q273" s="355"/>
      <c r="R273" s="600"/>
      <c r="S273" s="600"/>
      <c r="T273" s="600"/>
      <c r="U273" s="600"/>
      <c r="V273" s="600"/>
      <c r="W273" s="600"/>
      <c r="X273" s="600"/>
      <c r="Y273" s="600"/>
      <c r="Z273" s="600"/>
      <c r="AA273" s="482"/>
      <c r="AB273" s="482"/>
      <c r="AC273" s="482"/>
      <c r="AD273" s="600">
        <v>262</v>
      </c>
      <c r="AE273" s="482"/>
      <c r="AF273" s="600"/>
      <c r="AG273" s="600"/>
      <c r="AH273" s="600"/>
      <c r="AI273" s="600"/>
      <c r="AJ273" s="600"/>
      <c r="AK273" s="600"/>
      <c r="AL273" s="600"/>
      <c r="AM273" s="600"/>
      <c r="AN273" s="600"/>
      <c r="AO273" s="600"/>
      <c r="AP273" s="600"/>
      <c r="AQ273" s="600"/>
      <c r="AR273" s="600"/>
      <c r="AS273" s="600"/>
      <c r="AT273" s="600"/>
      <c r="AU273" s="600"/>
      <c r="AV273" s="600"/>
      <c r="AW273" s="482"/>
      <c r="AX273" s="482"/>
      <c r="AY273" s="482"/>
      <c r="AZ273" s="482"/>
      <c r="BA273" s="343"/>
      <c r="BB273" s="343"/>
      <c r="BC273" s="343"/>
      <c r="BD273" s="343"/>
      <c r="BE273" s="343"/>
      <c r="BF273" s="343"/>
      <c r="BG273" s="343"/>
      <c r="BH273" s="343"/>
      <c r="BI273" s="343"/>
      <c r="BJ273" s="343"/>
      <c r="BK273" s="343"/>
      <c r="BL273" s="343"/>
      <c r="BM273" s="343"/>
      <c r="BN273" s="343"/>
      <c r="BO273" s="343"/>
      <c r="BP273" s="343"/>
      <c r="BQ273" s="343"/>
      <c r="BR273" s="343"/>
      <c r="BS273" s="343"/>
      <c r="BT273" s="343"/>
      <c r="BU273" s="343"/>
      <c r="BV273" s="343"/>
      <c r="BW273" s="343"/>
      <c r="BX273" s="343"/>
    </row>
    <row r="274" spans="1:76" s="25" customFormat="1">
      <c r="A274" s="343"/>
      <c r="B274" s="343"/>
      <c r="C274" s="115"/>
      <c r="D274" s="123"/>
      <c r="E274" s="232"/>
      <c r="F274" s="232"/>
      <c r="G274" s="115"/>
      <c r="H274" s="115"/>
      <c r="I274" s="115"/>
      <c r="J274" s="115"/>
      <c r="K274" s="232"/>
      <c r="L274" s="232"/>
      <c r="M274" s="660"/>
      <c r="N274" s="355"/>
      <c r="O274" s="355"/>
      <c r="P274" s="355"/>
      <c r="Q274" s="355"/>
      <c r="R274" s="600"/>
      <c r="S274" s="600"/>
      <c r="T274" s="600"/>
      <c r="U274" s="600"/>
      <c r="V274" s="600"/>
      <c r="W274" s="600"/>
      <c r="X274" s="600"/>
      <c r="Y274" s="600"/>
      <c r="Z274" s="600"/>
      <c r="AA274" s="482"/>
      <c r="AB274" s="482"/>
      <c r="AC274" s="482"/>
      <c r="AD274" s="600">
        <v>263</v>
      </c>
      <c r="AE274" s="482"/>
      <c r="AF274" s="600"/>
      <c r="AG274" s="600"/>
      <c r="AH274" s="600"/>
      <c r="AI274" s="600"/>
      <c r="AJ274" s="600"/>
      <c r="AK274" s="600"/>
      <c r="AL274" s="600"/>
      <c r="AM274" s="600"/>
      <c r="AN274" s="600"/>
      <c r="AO274" s="600"/>
      <c r="AP274" s="600"/>
      <c r="AQ274" s="600"/>
      <c r="AR274" s="600"/>
      <c r="AS274" s="600"/>
      <c r="AT274" s="600"/>
      <c r="AU274" s="600"/>
      <c r="AV274" s="600"/>
      <c r="AW274" s="482"/>
      <c r="AX274" s="482"/>
      <c r="AY274" s="482"/>
      <c r="AZ274" s="482"/>
      <c r="BA274" s="343"/>
      <c r="BB274" s="343"/>
      <c r="BC274" s="343"/>
      <c r="BD274" s="343"/>
      <c r="BE274" s="343"/>
      <c r="BF274" s="343"/>
      <c r="BG274" s="343"/>
      <c r="BH274" s="343"/>
      <c r="BI274" s="343"/>
      <c r="BJ274" s="343"/>
      <c r="BK274" s="343"/>
      <c r="BL274" s="343"/>
      <c r="BM274" s="343"/>
      <c r="BN274" s="343"/>
      <c r="BO274" s="343"/>
      <c r="BP274" s="343"/>
      <c r="BQ274" s="343"/>
      <c r="BR274" s="343"/>
      <c r="BS274" s="343"/>
      <c r="BT274" s="343"/>
      <c r="BU274" s="343"/>
      <c r="BV274" s="343"/>
      <c r="BW274" s="343"/>
      <c r="BX274" s="343"/>
    </row>
    <row r="275" spans="1:76" s="25" customFormat="1">
      <c r="A275" s="343"/>
      <c r="B275" s="343"/>
      <c r="C275" s="115"/>
      <c r="D275" s="123"/>
      <c r="E275" s="232"/>
      <c r="F275" s="232"/>
      <c r="G275" s="115"/>
      <c r="H275" s="115"/>
      <c r="I275" s="115"/>
      <c r="J275" s="115"/>
      <c r="K275" s="232"/>
      <c r="L275" s="232"/>
      <c r="M275" s="660"/>
      <c r="N275" s="355"/>
      <c r="O275" s="355"/>
      <c r="P275" s="355"/>
      <c r="Q275" s="355"/>
      <c r="R275" s="600"/>
      <c r="S275" s="600"/>
      <c r="T275" s="600"/>
      <c r="U275" s="600"/>
      <c r="V275" s="600"/>
      <c r="W275" s="600"/>
      <c r="X275" s="600"/>
      <c r="Y275" s="600"/>
      <c r="Z275" s="600"/>
      <c r="AA275" s="482"/>
      <c r="AB275" s="482"/>
      <c r="AC275" s="482"/>
      <c r="AD275" s="600">
        <v>264</v>
      </c>
      <c r="AE275" s="482"/>
      <c r="AF275" s="600"/>
      <c r="AG275" s="600"/>
      <c r="AH275" s="600"/>
      <c r="AI275" s="600"/>
      <c r="AJ275" s="600"/>
      <c r="AK275" s="600"/>
      <c r="AL275" s="600"/>
      <c r="AM275" s="600"/>
      <c r="AN275" s="600"/>
      <c r="AO275" s="600"/>
      <c r="AP275" s="600"/>
      <c r="AQ275" s="600"/>
      <c r="AR275" s="600"/>
      <c r="AS275" s="600"/>
      <c r="AT275" s="600"/>
      <c r="AU275" s="600"/>
      <c r="AV275" s="600"/>
      <c r="AW275" s="482"/>
      <c r="AX275" s="482"/>
      <c r="AY275" s="482"/>
      <c r="AZ275" s="482"/>
      <c r="BA275" s="343"/>
      <c r="BB275" s="343"/>
      <c r="BC275" s="343"/>
      <c r="BD275" s="343"/>
      <c r="BE275" s="343"/>
      <c r="BF275" s="343"/>
      <c r="BG275" s="343"/>
      <c r="BH275" s="343"/>
      <c r="BI275" s="343"/>
      <c r="BJ275" s="343"/>
      <c r="BK275" s="343"/>
      <c r="BL275" s="343"/>
      <c r="BM275" s="343"/>
      <c r="BN275" s="343"/>
      <c r="BO275" s="343"/>
      <c r="BP275" s="343"/>
      <c r="BQ275" s="343"/>
      <c r="BR275" s="343"/>
      <c r="BS275" s="343"/>
      <c r="BT275" s="343"/>
      <c r="BU275" s="343"/>
      <c r="BV275" s="343"/>
      <c r="BW275" s="343"/>
      <c r="BX275" s="343"/>
    </row>
    <row r="276" spans="1:76" s="25" customFormat="1">
      <c r="A276" s="343"/>
      <c r="B276" s="343"/>
      <c r="C276" s="115"/>
      <c r="D276" s="123"/>
      <c r="E276" s="232"/>
      <c r="F276" s="232"/>
      <c r="G276" s="115"/>
      <c r="H276" s="115"/>
      <c r="I276" s="115"/>
      <c r="J276" s="115"/>
      <c r="K276" s="232"/>
      <c r="L276" s="232"/>
      <c r="M276" s="660"/>
      <c r="N276" s="355"/>
      <c r="O276" s="355"/>
      <c r="P276" s="355"/>
      <c r="Q276" s="355"/>
      <c r="R276" s="600"/>
      <c r="S276" s="600"/>
      <c r="T276" s="600"/>
      <c r="U276" s="600"/>
      <c r="V276" s="600"/>
      <c r="W276" s="600"/>
      <c r="X276" s="600"/>
      <c r="Y276" s="600"/>
      <c r="Z276" s="600"/>
      <c r="AA276" s="482"/>
      <c r="AB276" s="482"/>
      <c r="AC276" s="482"/>
      <c r="AD276" s="600">
        <v>265</v>
      </c>
      <c r="AE276" s="482"/>
      <c r="AF276" s="600"/>
      <c r="AG276" s="600"/>
      <c r="AH276" s="600"/>
      <c r="AI276" s="600"/>
      <c r="AJ276" s="600"/>
      <c r="AK276" s="600"/>
      <c r="AL276" s="600"/>
      <c r="AM276" s="600"/>
      <c r="AN276" s="600"/>
      <c r="AO276" s="600"/>
      <c r="AP276" s="600"/>
      <c r="AQ276" s="600"/>
      <c r="AR276" s="600"/>
      <c r="AS276" s="600"/>
      <c r="AT276" s="600"/>
      <c r="AU276" s="600"/>
      <c r="AV276" s="600"/>
      <c r="AW276" s="482"/>
      <c r="AX276" s="482"/>
      <c r="AY276" s="482"/>
      <c r="AZ276" s="482"/>
      <c r="BA276" s="343"/>
      <c r="BB276" s="343"/>
      <c r="BC276" s="343"/>
      <c r="BD276" s="343"/>
      <c r="BE276" s="343"/>
      <c r="BF276" s="343"/>
      <c r="BG276" s="343"/>
      <c r="BH276" s="343"/>
      <c r="BI276" s="343"/>
      <c r="BJ276" s="343"/>
      <c r="BK276" s="343"/>
      <c r="BL276" s="343"/>
      <c r="BM276" s="343"/>
      <c r="BN276" s="343"/>
      <c r="BO276" s="343"/>
      <c r="BP276" s="343"/>
      <c r="BQ276" s="343"/>
      <c r="BR276" s="343"/>
      <c r="BS276" s="343"/>
      <c r="BT276" s="343"/>
      <c r="BU276" s="343"/>
      <c r="BV276" s="343"/>
      <c r="BW276" s="343"/>
      <c r="BX276" s="343"/>
    </row>
    <row r="277" spans="1:76" s="25" customFormat="1">
      <c r="A277" s="343"/>
      <c r="B277" s="343"/>
      <c r="C277" s="115"/>
      <c r="D277" s="123"/>
      <c r="E277" s="232"/>
      <c r="F277" s="232"/>
      <c r="G277" s="115"/>
      <c r="H277" s="115"/>
      <c r="I277" s="115"/>
      <c r="J277" s="115"/>
      <c r="K277" s="232"/>
      <c r="L277" s="232"/>
      <c r="M277" s="660"/>
      <c r="N277" s="355"/>
      <c r="O277" s="355"/>
      <c r="P277" s="355"/>
      <c r="Q277" s="355"/>
      <c r="R277" s="600"/>
      <c r="S277" s="600"/>
      <c r="T277" s="600"/>
      <c r="U277" s="600"/>
      <c r="V277" s="600"/>
      <c r="W277" s="600"/>
      <c r="X277" s="600"/>
      <c r="Y277" s="600"/>
      <c r="Z277" s="600"/>
      <c r="AA277" s="482"/>
      <c r="AB277" s="482"/>
      <c r="AC277" s="482"/>
      <c r="AD277" s="600">
        <v>266</v>
      </c>
      <c r="AE277" s="482"/>
      <c r="AF277" s="600"/>
      <c r="AG277" s="600"/>
      <c r="AH277" s="600"/>
      <c r="AI277" s="600"/>
      <c r="AJ277" s="600"/>
      <c r="AK277" s="600"/>
      <c r="AL277" s="600"/>
      <c r="AM277" s="600"/>
      <c r="AN277" s="600"/>
      <c r="AO277" s="600"/>
      <c r="AP277" s="600"/>
      <c r="AQ277" s="600"/>
      <c r="AR277" s="600"/>
      <c r="AS277" s="600"/>
      <c r="AT277" s="600"/>
      <c r="AU277" s="600"/>
      <c r="AV277" s="600"/>
      <c r="AW277" s="482"/>
      <c r="AX277" s="482"/>
      <c r="AY277" s="482"/>
      <c r="AZ277" s="482"/>
      <c r="BA277" s="343"/>
      <c r="BB277" s="343"/>
      <c r="BC277" s="343"/>
      <c r="BD277" s="343"/>
      <c r="BE277" s="343"/>
      <c r="BF277" s="343"/>
      <c r="BG277" s="343"/>
      <c r="BH277" s="343"/>
      <c r="BI277" s="343"/>
      <c r="BJ277" s="343"/>
      <c r="BK277" s="343"/>
      <c r="BL277" s="343"/>
      <c r="BM277" s="343"/>
      <c r="BN277" s="343"/>
      <c r="BO277" s="343"/>
      <c r="BP277" s="343"/>
      <c r="BQ277" s="343"/>
      <c r="BR277" s="343"/>
      <c r="BS277" s="343"/>
      <c r="BT277" s="343"/>
      <c r="BU277" s="343"/>
      <c r="BV277" s="343"/>
      <c r="BW277" s="343"/>
      <c r="BX277" s="343"/>
    </row>
    <row r="278" spans="1:76" s="25" customFormat="1">
      <c r="A278" s="343"/>
      <c r="B278" s="343"/>
      <c r="C278" s="115"/>
      <c r="D278" s="123"/>
      <c r="E278" s="232"/>
      <c r="F278" s="232"/>
      <c r="G278" s="115"/>
      <c r="H278" s="115"/>
      <c r="I278" s="115"/>
      <c r="J278" s="115"/>
      <c r="K278" s="232"/>
      <c r="L278" s="232"/>
      <c r="M278" s="660"/>
      <c r="N278" s="355"/>
      <c r="O278" s="355"/>
      <c r="P278" s="355"/>
      <c r="Q278" s="355"/>
      <c r="R278" s="600"/>
      <c r="S278" s="600"/>
      <c r="T278" s="600"/>
      <c r="U278" s="600"/>
      <c r="V278" s="600"/>
      <c r="W278" s="600"/>
      <c r="X278" s="600"/>
      <c r="Y278" s="600"/>
      <c r="Z278" s="600"/>
      <c r="AA278" s="482"/>
      <c r="AB278" s="482"/>
      <c r="AC278" s="482"/>
      <c r="AD278" s="600">
        <v>267</v>
      </c>
      <c r="AE278" s="482"/>
      <c r="AF278" s="600"/>
      <c r="AG278" s="600"/>
      <c r="AH278" s="600"/>
      <c r="AI278" s="600"/>
      <c r="AJ278" s="600"/>
      <c r="AK278" s="600"/>
      <c r="AL278" s="600"/>
      <c r="AM278" s="600"/>
      <c r="AN278" s="600"/>
      <c r="AO278" s="600"/>
      <c r="AP278" s="600"/>
      <c r="AQ278" s="600"/>
      <c r="AR278" s="600"/>
      <c r="AS278" s="600"/>
      <c r="AT278" s="600"/>
      <c r="AU278" s="600"/>
      <c r="AV278" s="600"/>
      <c r="AW278" s="482"/>
      <c r="AX278" s="482"/>
      <c r="AY278" s="482"/>
      <c r="AZ278" s="482"/>
      <c r="BA278" s="343"/>
      <c r="BB278" s="343"/>
      <c r="BC278" s="343"/>
      <c r="BD278" s="343"/>
      <c r="BE278" s="343"/>
      <c r="BF278" s="343"/>
      <c r="BG278" s="343"/>
      <c r="BH278" s="343"/>
      <c r="BI278" s="343"/>
      <c r="BJ278" s="343"/>
      <c r="BK278" s="343"/>
      <c r="BL278" s="343"/>
      <c r="BM278" s="343"/>
      <c r="BN278" s="343"/>
      <c r="BO278" s="343"/>
      <c r="BP278" s="343"/>
      <c r="BQ278" s="343"/>
      <c r="BR278" s="343"/>
      <c r="BS278" s="343"/>
      <c r="BT278" s="343"/>
      <c r="BU278" s="343"/>
      <c r="BV278" s="343"/>
      <c r="BW278" s="343"/>
      <c r="BX278" s="343"/>
    </row>
    <row r="279" spans="1:76" s="25" customFormat="1">
      <c r="A279" s="343"/>
      <c r="B279" s="343"/>
      <c r="C279" s="115"/>
      <c r="D279" s="123"/>
      <c r="E279" s="232"/>
      <c r="F279" s="232"/>
      <c r="G279" s="115"/>
      <c r="H279" s="115"/>
      <c r="I279" s="115"/>
      <c r="J279" s="115"/>
      <c r="K279" s="232"/>
      <c r="L279" s="232"/>
      <c r="M279" s="660"/>
      <c r="N279" s="355"/>
      <c r="O279" s="355"/>
      <c r="P279" s="355"/>
      <c r="Q279" s="355"/>
      <c r="R279" s="600"/>
      <c r="S279" s="600"/>
      <c r="T279" s="600"/>
      <c r="U279" s="600"/>
      <c r="V279" s="600"/>
      <c r="W279" s="600"/>
      <c r="X279" s="600"/>
      <c r="Y279" s="600"/>
      <c r="Z279" s="600"/>
      <c r="AA279" s="482"/>
      <c r="AB279" s="482"/>
      <c r="AC279" s="482"/>
      <c r="AD279" s="600">
        <v>268</v>
      </c>
      <c r="AE279" s="482"/>
      <c r="AF279" s="600"/>
      <c r="AG279" s="600"/>
      <c r="AH279" s="600"/>
      <c r="AI279" s="600"/>
      <c r="AJ279" s="600"/>
      <c r="AK279" s="600"/>
      <c r="AL279" s="600"/>
      <c r="AM279" s="600"/>
      <c r="AN279" s="600"/>
      <c r="AO279" s="600"/>
      <c r="AP279" s="600"/>
      <c r="AQ279" s="600"/>
      <c r="AR279" s="600"/>
      <c r="AS279" s="600"/>
      <c r="AT279" s="600"/>
      <c r="AU279" s="600"/>
      <c r="AV279" s="600"/>
      <c r="AW279" s="482"/>
      <c r="AX279" s="482"/>
      <c r="AY279" s="482"/>
      <c r="AZ279" s="482"/>
      <c r="BA279" s="343"/>
      <c r="BB279" s="343"/>
      <c r="BC279" s="343"/>
      <c r="BD279" s="343"/>
      <c r="BE279" s="343"/>
      <c r="BF279" s="343"/>
      <c r="BG279" s="343"/>
      <c r="BH279" s="343"/>
      <c r="BI279" s="343"/>
      <c r="BJ279" s="343"/>
      <c r="BK279" s="343"/>
      <c r="BL279" s="343"/>
      <c r="BM279" s="343"/>
      <c r="BN279" s="343"/>
      <c r="BO279" s="343"/>
      <c r="BP279" s="343"/>
      <c r="BQ279" s="343"/>
      <c r="BR279" s="343"/>
      <c r="BS279" s="343"/>
      <c r="BT279" s="343"/>
      <c r="BU279" s="343"/>
      <c r="BV279" s="343"/>
      <c r="BW279" s="343"/>
      <c r="BX279" s="343"/>
    </row>
    <row r="280" spans="1:76" s="25" customFormat="1">
      <c r="A280" s="343"/>
      <c r="B280" s="343"/>
      <c r="C280" s="115"/>
      <c r="D280" s="123"/>
      <c r="E280" s="232"/>
      <c r="F280" s="232"/>
      <c r="G280" s="115"/>
      <c r="H280" s="115"/>
      <c r="I280" s="115"/>
      <c r="J280" s="115"/>
      <c r="K280" s="232"/>
      <c r="L280" s="232"/>
      <c r="M280" s="660"/>
      <c r="N280" s="355"/>
      <c r="O280" s="355"/>
      <c r="P280" s="355"/>
      <c r="Q280" s="355"/>
      <c r="R280" s="600"/>
      <c r="S280" s="600"/>
      <c r="T280" s="600"/>
      <c r="U280" s="600"/>
      <c r="V280" s="600"/>
      <c r="W280" s="600"/>
      <c r="X280" s="600"/>
      <c r="Y280" s="600"/>
      <c r="Z280" s="600"/>
      <c r="AA280" s="482"/>
      <c r="AB280" s="482"/>
      <c r="AC280" s="482"/>
      <c r="AD280" s="600">
        <v>269</v>
      </c>
      <c r="AE280" s="482"/>
      <c r="AF280" s="600"/>
      <c r="AG280" s="600"/>
      <c r="AH280" s="600"/>
      <c r="AI280" s="600"/>
      <c r="AJ280" s="600"/>
      <c r="AK280" s="600"/>
      <c r="AL280" s="600"/>
      <c r="AM280" s="600"/>
      <c r="AN280" s="600"/>
      <c r="AO280" s="600"/>
      <c r="AP280" s="600"/>
      <c r="AQ280" s="600"/>
      <c r="AR280" s="600"/>
      <c r="AS280" s="600"/>
      <c r="AT280" s="600"/>
      <c r="AU280" s="600"/>
      <c r="AV280" s="600"/>
      <c r="AW280" s="482"/>
      <c r="AX280" s="482"/>
      <c r="AY280" s="482"/>
      <c r="AZ280" s="482"/>
      <c r="BA280" s="343"/>
      <c r="BB280" s="343"/>
      <c r="BC280" s="343"/>
      <c r="BD280" s="343"/>
      <c r="BE280" s="343"/>
      <c r="BF280" s="343"/>
      <c r="BG280" s="343"/>
      <c r="BH280" s="343"/>
      <c r="BI280" s="343"/>
      <c r="BJ280" s="343"/>
      <c r="BK280" s="343"/>
      <c r="BL280" s="343"/>
      <c r="BM280" s="343"/>
      <c r="BN280" s="343"/>
      <c r="BO280" s="343"/>
      <c r="BP280" s="343"/>
      <c r="BQ280" s="343"/>
      <c r="BR280" s="343"/>
      <c r="BS280" s="343"/>
      <c r="BT280" s="343"/>
      <c r="BU280" s="343"/>
      <c r="BV280" s="343"/>
      <c r="BW280" s="343"/>
      <c r="BX280" s="343"/>
    </row>
    <row r="281" spans="1:76" s="25" customFormat="1">
      <c r="A281" s="343"/>
      <c r="B281" s="343"/>
      <c r="C281" s="115"/>
      <c r="D281" s="123"/>
      <c r="E281" s="232"/>
      <c r="F281" s="232"/>
      <c r="G281" s="115"/>
      <c r="H281" s="115"/>
      <c r="I281" s="115"/>
      <c r="J281" s="115"/>
      <c r="K281" s="232"/>
      <c r="L281" s="232"/>
      <c r="M281" s="660"/>
      <c r="N281" s="355"/>
      <c r="O281" s="355"/>
      <c r="P281" s="355"/>
      <c r="Q281" s="355"/>
      <c r="R281" s="600"/>
      <c r="S281" s="600"/>
      <c r="T281" s="600"/>
      <c r="U281" s="600"/>
      <c r="V281" s="600"/>
      <c r="W281" s="600"/>
      <c r="X281" s="600"/>
      <c r="Y281" s="600"/>
      <c r="Z281" s="600"/>
      <c r="AA281" s="482"/>
      <c r="AB281" s="482"/>
      <c r="AC281" s="482"/>
      <c r="AD281" s="600">
        <v>270</v>
      </c>
      <c r="AE281" s="482"/>
      <c r="AF281" s="600"/>
      <c r="AG281" s="600"/>
      <c r="AH281" s="600"/>
      <c r="AI281" s="600"/>
      <c r="AJ281" s="600"/>
      <c r="AK281" s="600"/>
      <c r="AL281" s="600"/>
      <c r="AM281" s="600"/>
      <c r="AN281" s="600"/>
      <c r="AO281" s="600"/>
      <c r="AP281" s="600"/>
      <c r="AQ281" s="600"/>
      <c r="AR281" s="600"/>
      <c r="AS281" s="600"/>
      <c r="AT281" s="600"/>
      <c r="AU281" s="600"/>
      <c r="AV281" s="600"/>
      <c r="AW281" s="482"/>
      <c r="AX281" s="482"/>
      <c r="AY281" s="482"/>
      <c r="AZ281" s="482"/>
      <c r="BA281" s="343"/>
      <c r="BB281" s="343"/>
      <c r="BC281" s="343"/>
      <c r="BD281" s="343"/>
      <c r="BE281" s="343"/>
      <c r="BF281" s="343"/>
      <c r="BG281" s="343"/>
      <c r="BH281" s="343"/>
      <c r="BI281" s="343"/>
      <c r="BJ281" s="343"/>
      <c r="BK281" s="343"/>
      <c r="BL281" s="343"/>
      <c r="BM281" s="343"/>
      <c r="BN281" s="343"/>
      <c r="BO281" s="343"/>
      <c r="BP281" s="343"/>
      <c r="BQ281" s="343"/>
      <c r="BR281" s="343"/>
      <c r="BS281" s="343"/>
      <c r="BT281" s="343"/>
      <c r="BU281" s="343"/>
      <c r="BV281" s="343"/>
      <c r="BW281" s="343"/>
      <c r="BX281" s="343"/>
    </row>
    <row r="282" spans="1:76" s="25" customFormat="1">
      <c r="A282" s="343"/>
      <c r="B282" s="343"/>
      <c r="C282" s="115"/>
      <c r="D282" s="123"/>
      <c r="E282" s="232"/>
      <c r="F282" s="232"/>
      <c r="G282" s="115"/>
      <c r="H282" s="115"/>
      <c r="I282" s="115"/>
      <c r="J282" s="115"/>
      <c r="K282" s="232"/>
      <c r="L282" s="232"/>
      <c r="M282" s="660"/>
      <c r="N282" s="355"/>
      <c r="O282" s="355"/>
      <c r="P282" s="355"/>
      <c r="Q282" s="355"/>
      <c r="R282" s="600"/>
      <c r="S282" s="600"/>
      <c r="T282" s="600"/>
      <c r="U282" s="600"/>
      <c r="V282" s="600"/>
      <c r="W282" s="600"/>
      <c r="X282" s="600"/>
      <c r="Y282" s="600"/>
      <c r="Z282" s="600"/>
      <c r="AA282" s="482"/>
      <c r="AB282" s="482"/>
      <c r="AC282" s="482"/>
      <c r="AD282" s="600">
        <v>271</v>
      </c>
      <c r="AE282" s="482"/>
      <c r="AF282" s="600"/>
      <c r="AG282" s="600"/>
      <c r="AH282" s="600"/>
      <c r="AI282" s="600"/>
      <c r="AJ282" s="600"/>
      <c r="AK282" s="600"/>
      <c r="AL282" s="600"/>
      <c r="AM282" s="600"/>
      <c r="AN282" s="600"/>
      <c r="AO282" s="600"/>
      <c r="AP282" s="600"/>
      <c r="AQ282" s="600"/>
      <c r="AR282" s="600"/>
      <c r="AS282" s="600"/>
      <c r="AT282" s="600"/>
      <c r="AU282" s="600"/>
      <c r="AV282" s="600"/>
      <c r="AW282" s="482"/>
      <c r="AX282" s="482"/>
      <c r="AY282" s="482"/>
      <c r="AZ282" s="482"/>
      <c r="BA282" s="343"/>
      <c r="BB282" s="343"/>
      <c r="BC282" s="343"/>
      <c r="BD282" s="343"/>
      <c r="BE282" s="343"/>
      <c r="BF282" s="343"/>
      <c r="BG282" s="343"/>
      <c r="BH282" s="343"/>
      <c r="BI282" s="343"/>
      <c r="BJ282" s="343"/>
      <c r="BK282" s="343"/>
      <c r="BL282" s="343"/>
      <c r="BM282" s="343"/>
      <c r="BN282" s="343"/>
      <c r="BO282" s="343"/>
      <c r="BP282" s="343"/>
      <c r="BQ282" s="343"/>
      <c r="BR282" s="343"/>
      <c r="BS282" s="343"/>
      <c r="BT282" s="343"/>
      <c r="BU282" s="343"/>
      <c r="BV282" s="343"/>
      <c r="BW282" s="343"/>
      <c r="BX282" s="343"/>
    </row>
    <row r="283" spans="1:76" s="25" customFormat="1">
      <c r="A283" s="343"/>
      <c r="B283" s="343"/>
      <c r="C283" s="115"/>
      <c r="D283" s="123"/>
      <c r="E283" s="232"/>
      <c r="F283" s="232"/>
      <c r="G283" s="115"/>
      <c r="H283" s="115"/>
      <c r="I283" s="115"/>
      <c r="J283" s="115"/>
      <c r="K283" s="232"/>
      <c r="L283" s="232"/>
      <c r="M283" s="660"/>
      <c r="N283" s="355"/>
      <c r="O283" s="355"/>
      <c r="P283" s="355"/>
      <c r="Q283" s="355"/>
      <c r="R283" s="600"/>
      <c r="S283" s="600"/>
      <c r="T283" s="600"/>
      <c r="U283" s="600"/>
      <c r="V283" s="600"/>
      <c r="W283" s="600"/>
      <c r="X283" s="600"/>
      <c r="Y283" s="600"/>
      <c r="Z283" s="600"/>
      <c r="AA283" s="482"/>
      <c r="AB283" s="482"/>
      <c r="AC283" s="482"/>
      <c r="AD283" s="600">
        <v>272</v>
      </c>
      <c r="AE283" s="482"/>
      <c r="AF283" s="600"/>
      <c r="AG283" s="600"/>
      <c r="AH283" s="600"/>
      <c r="AI283" s="600"/>
      <c r="AJ283" s="600"/>
      <c r="AK283" s="600"/>
      <c r="AL283" s="600"/>
      <c r="AM283" s="600"/>
      <c r="AN283" s="600"/>
      <c r="AO283" s="600"/>
      <c r="AP283" s="600"/>
      <c r="AQ283" s="600"/>
      <c r="AR283" s="600"/>
      <c r="AS283" s="600"/>
      <c r="AT283" s="600"/>
      <c r="AU283" s="600"/>
      <c r="AV283" s="600"/>
      <c r="AW283" s="482"/>
      <c r="AX283" s="482"/>
      <c r="AY283" s="482"/>
      <c r="AZ283" s="482"/>
      <c r="BA283" s="343"/>
      <c r="BB283" s="343"/>
      <c r="BC283" s="343"/>
      <c r="BD283" s="343"/>
      <c r="BE283" s="343"/>
      <c r="BF283" s="343"/>
      <c r="BG283" s="343"/>
      <c r="BH283" s="343"/>
      <c r="BI283" s="343"/>
      <c r="BJ283" s="343"/>
      <c r="BK283" s="343"/>
      <c r="BL283" s="343"/>
      <c r="BM283" s="343"/>
      <c r="BN283" s="343"/>
      <c r="BO283" s="343"/>
      <c r="BP283" s="343"/>
      <c r="BQ283" s="343"/>
      <c r="BR283" s="343"/>
      <c r="BS283" s="343"/>
      <c r="BT283" s="343"/>
      <c r="BU283" s="343"/>
      <c r="BV283" s="343"/>
      <c r="BW283" s="343"/>
      <c r="BX283" s="343"/>
    </row>
    <row r="284" spans="1:76" s="25" customFormat="1">
      <c r="A284" s="343"/>
      <c r="B284" s="343"/>
      <c r="C284" s="115"/>
      <c r="D284" s="123"/>
      <c r="E284" s="232"/>
      <c r="F284" s="232"/>
      <c r="G284" s="115"/>
      <c r="H284" s="115"/>
      <c r="I284" s="115"/>
      <c r="J284" s="115"/>
      <c r="K284" s="232"/>
      <c r="L284" s="232"/>
      <c r="M284" s="660"/>
      <c r="N284" s="355"/>
      <c r="O284" s="355"/>
      <c r="P284" s="355"/>
      <c r="Q284" s="355"/>
      <c r="R284" s="600"/>
      <c r="S284" s="600"/>
      <c r="T284" s="600"/>
      <c r="U284" s="600"/>
      <c r="V284" s="600"/>
      <c r="W284" s="600"/>
      <c r="X284" s="600"/>
      <c r="Y284" s="600"/>
      <c r="Z284" s="600"/>
      <c r="AA284" s="482"/>
      <c r="AB284" s="482"/>
      <c r="AC284" s="482"/>
      <c r="AD284" s="600">
        <v>273</v>
      </c>
      <c r="AE284" s="482"/>
      <c r="AF284" s="600"/>
      <c r="AG284" s="600"/>
      <c r="AH284" s="600"/>
      <c r="AI284" s="600"/>
      <c r="AJ284" s="600"/>
      <c r="AK284" s="600"/>
      <c r="AL284" s="600"/>
      <c r="AM284" s="600"/>
      <c r="AN284" s="600"/>
      <c r="AO284" s="600"/>
      <c r="AP284" s="600"/>
      <c r="AQ284" s="600"/>
      <c r="AR284" s="600"/>
      <c r="AS284" s="600"/>
      <c r="AT284" s="600"/>
      <c r="AU284" s="600"/>
      <c r="AV284" s="600"/>
      <c r="AW284" s="482"/>
      <c r="AX284" s="482"/>
      <c r="AY284" s="482"/>
      <c r="AZ284" s="482"/>
      <c r="BA284" s="343"/>
      <c r="BB284" s="343"/>
      <c r="BC284" s="343"/>
      <c r="BD284" s="343"/>
      <c r="BE284" s="343"/>
      <c r="BF284" s="343"/>
      <c r="BG284" s="343"/>
      <c r="BH284" s="343"/>
      <c r="BI284" s="343"/>
      <c r="BJ284" s="343"/>
      <c r="BK284" s="343"/>
      <c r="BL284" s="343"/>
      <c r="BM284" s="343"/>
      <c r="BN284" s="343"/>
      <c r="BO284" s="343"/>
      <c r="BP284" s="343"/>
      <c r="BQ284" s="343"/>
      <c r="BR284" s="343"/>
      <c r="BS284" s="343"/>
      <c r="BT284" s="343"/>
      <c r="BU284" s="343"/>
      <c r="BV284" s="343"/>
      <c r="BW284" s="343"/>
      <c r="BX284" s="343"/>
    </row>
    <row r="285" spans="1:76" s="25" customFormat="1">
      <c r="A285" s="343"/>
      <c r="B285" s="343"/>
      <c r="C285" s="115"/>
      <c r="D285" s="123"/>
      <c r="E285" s="232"/>
      <c r="F285" s="232"/>
      <c r="G285" s="115"/>
      <c r="H285" s="115"/>
      <c r="I285" s="115"/>
      <c r="J285" s="115"/>
      <c r="K285" s="232"/>
      <c r="L285" s="232"/>
      <c r="M285" s="660"/>
      <c r="N285" s="355"/>
      <c r="O285" s="355"/>
      <c r="P285" s="355"/>
      <c r="Q285" s="355"/>
      <c r="R285" s="600"/>
      <c r="S285" s="600"/>
      <c r="T285" s="600"/>
      <c r="U285" s="600"/>
      <c r="V285" s="600"/>
      <c r="W285" s="600"/>
      <c r="X285" s="600"/>
      <c r="Y285" s="600"/>
      <c r="Z285" s="600"/>
      <c r="AA285" s="482"/>
      <c r="AB285" s="482"/>
      <c r="AC285" s="482"/>
      <c r="AD285" s="600">
        <v>274</v>
      </c>
      <c r="AE285" s="482"/>
      <c r="AF285" s="600"/>
      <c r="AG285" s="600"/>
      <c r="AH285" s="600"/>
      <c r="AI285" s="600"/>
      <c r="AJ285" s="600"/>
      <c r="AK285" s="600"/>
      <c r="AL285" s="600"/>
      <c r="AM285" s="600"/>
      <c r="AN285" s="600"/>
      <c r="AO285" s="600"/>
      <c r="AP285" s="600"/>
      <c r="AQ285" s="600"/>
      <c r="AR285" s="600"/>
      <c r="AS285" s="600"/>
      <c r="AT285" s="600"/>
      <c r="AU285" s="600"/>
      <c r="AV285" s="600"/>
      <c r="AW285" s="482"/>
      <c r="AX285" s="482"/>
      <c r="AY285" s="482"/>
      <c r="AZ285" s="482"/>
      <c r="BA285" s="343"/>
      <c r="BB285" s="343"/>
      <c r="BC285" s="343"/>
      <c r="BD285" s="343"/>
      <c r="BE285" s="343"/>
      <c r="BF285" s="343"/>
      <c r="BG285" s="343"/>
      <c r="BH285" s="343"/>
      <c r="BI285" s="343"/>
      <c r="BJ285" s="343"/>
      <c r="BK285" s="343"/>
      <c r="BL285" s="343"/>
      <c r="BM285" s="343"/>
      <c r="BN285" s="343"/>
      <c r="BO285" s="343"/>
      <c r="BP285" s="343"/>
      <c r="BQ285" s="343"/>
      <c r="BR285" s="343"/>
      <c r="BS285" s="343"/>
      <c r="BT285" s="343"/>
      <c r="BU285" s="343"/>
      <c r="BV285" s="343"/>
      <c r="BW285" s="343"/>
      <c r="BX285" s="343"/>
    </row>
    <row r="286" spans="1:76" s="25" customFormat="1">
      <c r="A286" s="343"/>
      <c r="B286" s="343"/>
      <c r="C286" s="115"/>
      <c r="D286" s="123"/>
      <c r="E286" s="232"/>
      <c r="F286" s="232"/>
      <c r="G286" s="115"/>
      <c r="H286" s="115"/>
      <c r="I286" s="115"/>
      <c r="J286" s="115"/>
      <c r="K286" s="232"/>
      <c r="L286" s="232"/>
      <c r="M286" s="660"/>
      <c r="N286" s="355"/>
      <c r="O286" s="355"/>
      <c r="P286" s="355"/>
      <c r="Q286" s="355"/>
      <c r="R286" s="600"/>
      <c r="S286" s="600"/>
      <c r="T286" s="600"/>
      <c r="U286" s="600"/>
      <c r="V286" s="600"/>
      <c r="W286" s="600"/>
      <c r="X286" s="600"/>
      <c r="Y286" s="600"/>
      <c r="Z286" s="600"/>
      <c r="AA286" s="482"/>
      <c r="AB286" s="482"/>
      <c r="AC286" s="482"/>
      <c r="AD286" s="600">
        <v>275</v>
      </c>
      <c r="AE286" s="482"/>
      <c r="AF286" s="600"/>
      <c r="AG286" s="600"/>
      <c r="AH286" s="600"/>
      <c r="AI286" s="600"/>
      <c r="AJ286" s="600"/>
      <c r="AK286" s="600"/>
      <c r="AL286" s="600"/>
      <c r="AM286" s="600"/>
      <c r="AN286" s="600"/>
      <c r="AO286" s="600"/>
      <c r="AP286" s="600"/>
      <c r="AQ286" s="600"/>
      <c r="AR286" s="600"/>
      <c r="AS286" s="600"/>
      <c r="AT286" s="600"/>
      <c r="AU286" s="600"/>
      <c r="AV286" s="600"/>
      <c r="AW286" s="482"/>
      <c r="AX286" s="482"/>
      <c r="AY286" s="482"/>
      <c r="AZ286" s="482"/>
      <c r="BA286" s="343"/>
      <c r="BB286" s="343"/>
      <c r="BC286" s="343"/>
      <c r="BD286" s="343"/>
      <c r="BE286" s="343"/>
      <c r="BF286" s="343"/>
      <c r="BG286" s="343"/>
      <c r="BH286" s="343"/>
      <c r="BI286" s="343"/>
      <c r="BJ286" s="343"/>
      <c r="BK286" s="343"/>
      <c r="BL286" s="343"/>
      <c r="BM286" s="343"/>
      <c r="BN286" s="343"/>
      <c r="BO286" s="343"/>
      <c r="BP286" s="343"/>
      <c r="BQ286" s="343"/>
      <c r="BR286" s="343"/>
      <c r="BS286" s="343"/>
      <c r="BT286" s="343"/>
      <c r="BU286" s="343"/>
      <c r="BV286" s="343"/>
      <c r="BW286" s="343"/>
      <c r="BX286" s="343"/>
    </row>
    <row r="287" spans="1:76" s="25" customFormat="1">
      <c r="A287" s="343"/>
      <c r="B287" s="343"/>
      <c r="C287" s="115"/>
      <c r="D287" s="123"/>
      <c r="E287" s="232"/>
      <c r="F287" s="232"/>
      <c r="G287" s="115"/>
      <c r="H287" s="115"/>
      <c r="I287" s="115"/>
      <c r="J287" s="115"/>
      <c r="K287" s="232"/>
      <c r="L287" s="232"/>
      <c r="M287" s="660"/>
      <c r="N287" s="355"/>
      <c r="O287" s="355"/>
      <c r="P287" s="355"/>
      <c r="Q287" s="355"/>
      <c r="R287" s="600"/>
      <c r="S287" s="600"/>
      <c r="T287" s="600"/>
      <c r="U287" s="600"/>
      <c r="V287" s="600"/>
      <c r="W287" s="600"/>
      <c r="X287" s="600"/>
      <c r="Y287" s="600"/>
      <c r="Z287" s="600"/>
      <c r="AA287" s="482"/>
      <c r="AB287" s="482"/>
      <c r="AC287" s="482"/>
      <c r="AD287" s="600">
        <v>276</v>
      </c>
      <c r="AE287" s="482"/>
      <c r="AF287" s="600"/>
      <c r="AG287" s="600"/>
      <c r="AH287" s="600"/>
      <c r="AI287" s="600"/>
      <c r="AJ287" s="600"/>
      <c r="AK287" s="600"/>
      <c r="AL287" s="600"/>
      <c r="AM287" s="600"/>
      <c r="AN287" s="600"/>
      <c r="AO287" s="600"/>
      <c r="AP287" s="600"/>
      <c r="AQ287" s="600"/>
      <c r="AR287" s="600"/>
      <c r="AS287" s="600"/>
      <c r="AT287" s="600"/>
      <c r="AU287" s="600"/>
      <c r="AV287" s="600"/>
      <c r="AW287" s="482"/>
      <c r="AX287" s="482"/>
      <c r="AY287" s="482"/>
      <c r="AZ287" s="482"/>
      <c r="BA287" s="343"/>
      <c r="BB287" s="343"/>
      <c r="BC287" s="343"/>
      <c r="BD287" s="343"/>
      <c r="BE287" s="343"/>
      <c r="BF287" s="343"/>
      <c r="BG287" s="343"/>
      <c r="BH287" s="343"/>
      <c r="BI287" s="343"/>
      <c r="BJ287" s="343"/>
      <c r="BK287" s="343"/>
      <c r="BL287" s="343"/>
      <c r="BM287" s="343"/>
      <c r="BN287" s="343"/>
      <c r="BO287" s="343"/>
      <c r="BP287" s="343"/>
      <c r="BQ287" s="343"/>
      <c r="BR287" s="343"/>
      <c r="BS287" s="343"/>
      <c r="BT287" s="343"/>
      <c r="BU287" s="343"/>
      <c r="BV287" s="343"/>
      <c r="BW287" s="343"/>
      <c r="BX287" s="343"/>
    </row>
    <row r="288" spans="1:76" s="25" customFormat="1">
      <c r="A288" s="343"/>
      <c r="B288" s="343"/>
      <c r="C288" s="115"/>
      <c r="D288" s="123"/>
      <c r="E288" s="232"/>
      <c r="F288" s="232"/>
      <c r="G288" s="115"/>
      <c r="H288" s="115"/>
      <c r="I288" s="115"/>
      <c r="J288" s="115"/>
      <c r="K288" s="232"/>
      <c r="L288" s="232"/>
      <c r="M288" s="660"/>
      <c r="N288" s="355"/>
      <c r="O288" s="355"/>
      <c r="P288" s="355"/>
      <c r="Q288" s="355"/>
      <c r="R288" s="600"/>
      <c r="S288" s="600"/>
      <c r="T288" s="600"/>
      <c r="U288" s="600"/>
      <c r="V288" s="600"/>
      <c r="W288" s="600"/>
      <c r="X288" s="600"/>
      <c r="Y288" s="600"/>
      <c r="Z288" s="600"/>
      <c r="AA288" s="482"/>
      <c r="AB288" s="482"/>
      <c r="AC288" s="482"/>
      <c r="AD288" s="600">
        <v>277</v>
      </c>
      <c r="AE288" s="482"/>
      <c r="AF288" s="600"/>
      <c r="AG288" s="600"/>
      <c r="AH288" s="600"/>
      <c r="AI288" s="600"/>
      <c r="AJ288" s="600"/>
      <c r="AK288" s="600"/>
      <c r="AL288" s="600"/>
      <c r="AM288" s="600"/>
      <c r="AN288" s="600"/>
      <c r="AO288" s="600"/>
      <c r="AP288" s="600"/>
      <c r="AQ288" s="600"/>
      <c r="AR288" s="600"/>
      <c r="AS288" s="600"/>
      <c r="AT288" s="600"/>
      <c r="AU288" s="600"/>
      <c r="AV288" s="600"/>
      <c r="AW288" s="482"/>
      <c r="AX288" s="482"/>
      <c r="AY288" s="482"/>
      <c r="AZ288" s="482"/>
      <c r="BA288" s="343"/>
      <c r="BB288" s="343"/>
      <c r="BC288" s="343"/>
      <c r="BD288" s="343"/>
      <c r="BE288" s="343"/>
      <c r="BF288" s="343"/>
      <c r="BG288" s="343"/>
      <c r="BH288" s="343"/>
      <c r="BI288" s="343"/>
      <c r="BJ288" s="343"/>
      <c r="BK288" s="343"/>
      <c r="BL288" s="343"/>
      <c r="BM288" s="343"/>
      <c r="BN288" s="343"/>
      <c r="BO288" s="343"/>
      <c r="BP288" s="343"/>
      <c r="BQ288" s="343"/>
      <c r="BR288" s="343"/>
      <c r="BS288" s="343"/>
      <c r="BT288" s="343"/>
      <c r="BU288" s="343"/>
      <c r="BV288" s="343"/>
      <c r="BW288" s="343"/>
      <c r="BX288" s="343"/>
    </row>
    <row r="289" spans="1:76" s="25" customFormat="1">
      <c r="A289" s="343"/>
      <c r="B289" s="343"/>
      <c r="C289" s="115"/>
      <c r="D289" s="123"/>
      <c r="E289" s="232"/>
      <c r="F289" s="232"/>
      <c r="G289" s="115"/>
      <c r="H289" s="115"/>
      <c r="I289" s="115"/>
      <c r="J289" s="115"/>
      <c r="K289" s="232"/>
      <c r="L289" s="232"/>
      <c r="M289" s="660"/>
      <c r="N289" s="355"/>
      <c r="O289" s="355"/>
      <c r="P289" s="355"/>
      <c r="Q289" s="355"/>
      <c r="R289" s="600"/>
      <c r="S289" s="600"/>
      <c r="T289" s="600"/>
      <c r="U289" s="600"/>
      <c r="V289" s="600"/>
      <c r="W289" s="600"/>
      <c r="X289" s="600"/>
      <c r="Y289" s="600"/>
      <c r="Z289" s="600"/>
      <c r="AA289" s="482"/>
      <c r="AB289" s="482"/>
      <c r="AC289" s="482"/>
      <c r="AD289" s="600">
        <v>278</v>
      </c>
      <c r="AE289" s="482"/>
      <c r="AF289" s="600"/>
      <c r="AG289" s="600"/>
      <c r="AH289" s="600"/>
      <c r="AI289" s="600"/>
      <c r="AJ289" s="600"/>
      <c r="AK289" s="600"/>
      <c r="AL289" s="600"/>
      <c r="AM289" s="600"/>
      <c r="AN289" s="600"/>
      <c r="AO289" s="600"/>
      <c r="AP289" s="600"/>
      <c r="AQ289" s="600"/>
      <c r="AR289" s="600"/>
      <c r="AS289" s="600"/>
      <c r="AT289" s="600"/>
      <c r="AU289" s="600"/>
      <c r="AV289" s="600"/>
      <c r="AW289" s="482"/>
      <c r="AX289" s="482"/>
      <c r="AY289" s="482"/>
      <c r="AZ289" s="482"/>
      <c r="BA289" s="343"/>
      <c r="BB289" s="343"/>
      <c r="BC289" s="343"/>
      <c r="BD289" s="343"/>
      <c r="BE289" s="343"/>
      <c r="BF289" s="343"/>
      <c r="BG289" s="343"/>
      <c r="BH289" s="343"/>
      <c r="BI289" s="343"/>
      <c r="BJ289" s="343"/>
      <c r="BK289" s="343"/>
      <c r="BL289" s="343"/>
      <c r="BM289" s="343"/>
      <c r="BN289" s="343"/>
      <c r="BO289" s="343"/>
      <c r="BP289" s="343"/>
      <c r="BQ289" s="343"/>
      <c r="BR289" s="343"/>
      <c r="BS289" s="343"/>
      <c r="BT289" s="343"/>
      <c r="BU289" s="343"/>
      <c r="BV289" s="343"/>
      <c r="BW289" s="343"/>
      <c r="BX289" s="343"/>
    </row>
    <row r="290" spans="1:76" s="25" customFormat="1">
      <c r="A290" s="343"/>
      <c r="B290" s="343"/>
      <c r="C290" s="115"/>
      <c r="D290" s="123"/>
      <c r="E290" s="232"/>
      <c r="F290" s="232"/>
      <c r="G290" s="115"/>
      <c r="H290" s="115"/>
      <c r="I290" s="115"/>
      <c r="J290" s="115"/>
      <c r="K290" s="232"/>
      <c r="L290" s="232"/>
      <c r="M290" s="660"/>
      <c r="N290" s="355"/>
      <c r="O290" s="355"/>
      <c r="P290" s="355"/>
      <c r="Q290" s="355"/>
      <c r="R290" s="600"/>
      <c r="S290" s="600"/>
      <c r="T290" s="600"/>
      <c r="U290" s="600"/>
      <c r="V290" s="600"/>
      <c r="W290" s="600"/>
      <c r="X290" s="600"/>
      <c r="Y290" s="600"/>
      <c r="Z290" s="600"/>
      <c r="AA290" s="482"/>
      <c r="AB290" s="482"/>
      <c r="AC290" s="482"/>
      <c r="AD290" s="600">
        <v>279</v>
      </c>
      <c r="AE290" s="482"/>
      <c r="AF290" s="600"/>
      <c r="AG290" s="600"/>
      <c r="AH290" s="600"/>
      <c r="AI290" s="600"/>
      <c r="AJ290" s="600"/>
      <c r="AK290" s="600"/>
      <c r="AL290" s="600"/>
      <c r="AM290" s="600"/>
      <c r="AN290" s="600"/>
      <c r="AO290" s="600"/>
      <c r="AP290" s="600"/>
      <c r="AQ290" s="600"/>
      <c r="AR290" s="600"/>
      <c r="AS290" s="600"/>
      <c r="AT290" s="600"/>
      <c r="AU290" s="600"/>
      <c r="AV290" s="600"/>
      <c r="AW290" s="482"/>
      <c r="AX290" s="482"/>
      <c r="AY290" s="482"/>
      <c r="AZ290" s="482"/>
      <c r="BA290" s="343"/>
      <c r="BB290" s="343"/>
      <c r="BC290" s="343"/>
      <c r="BD290" s="343"/>
      <c r="BE290" s="343"/>
      <c r="BF290" s="343"/>
      <c r="BG290" s="343"/>
      <c r="BH290" s="343"/>
      <c r="BI290" s="343"/>
      <c r="BJ290" s="343"/>
      <c r="BK290" s="343"/>
      <c r="BL290" s="343"/>
      <c r="BM290" s="343"/>
      <c r="BN290" s="343"/>
      <c r="BO290" s="343"/>
      <c r="BP290" s="343"/>
      <c r="BQ290" s="343"/>
      <c r="BR290" s="343"/>
      <c r="BS290" s="343"/>
      <c r="BT290" s="343"/>
      <c r="BU290" s="343"/>
      <c r="BV290" s="343"/>
      <c r="BW290" s="343"/>
      <c r="BX290" s="343"/>
    </row>
    <row r="291" spans="1:76" s="25" customFormat="1">
      <c r="A291" s="343"/>
      <c r="B291" s="343"/>
      <c r="C291" s="115"/>
      <c r="D291" s="123"/>
      <c r="E291" s="232"/>
      <c r="F291" s="232"/>
      <c r="G291" s="115"/>
      <c r="H291" s="115"/>
      <c r="I291" s="115"/>
      <c r="J291" s="115"/>
      <c r="K291" s="232"/>
      <c r="L291" s="232"/>
      <c r="M291" s="660"/>
      <c r="N291" s="355"/>
      <c r="O291" s="355"/>
      <c r="P291" s="355"/>
      <c r="Q291" s="355"/>
      <c r="R291" s="600"/>
      <c r="S291" s="600"/>
      <c r="T291" s="600"/>
      <c r="U291" s="600"/>
      <c r="V291" s="600"/>
      <c r="W291" s="600"/>
      <c r="X291" s="600"/>
      <c r="Y291" s="600"/>
      <c r="Z291" s="600"/>
      <c r="AA291" s="482"/>
      <c r="AB291" s="482"/>
      <c r="AC291" s="482"/>
      <c r="AD291" s="600">
        <v>280</v>
      </c>
      <c r="AE291" s="482"/>
      <c r="AF291" s="600"/>
      <c r="AG291" s="600"/>
      <c r="AH291" s="600"/>
      <c r="AI291" s="600"/>
      <c r="AJ291" s="600"/>
      <c r="AK291" s="600"/>
      <c r="AL291" s="600"/>
      <c r="AM291" s="600"/>
      <c r="AN291" s="600"/>
      <c r="AO291" s="600"/>
      <c r="AP291" s="600"/>
      <c r="AQ291" s="600"/>
      <c r="AR291" s="600"/>
      <c r="AS291" s="600"/>
      <c r="AT291" s="600"/>
      <c r="AU291" s="600"/>
      <c r="AV291" s="600"/>
      <c r="AW291" s="482"/>
      <c r="AX291" s="482"/>
      <c r="AY291" s="482"/>
      <c r="AZ291" s="482"/>
      <c r="BA291" s="343"/>
      <c r="BB291" s="343"/>
      <c r="BC291" s="343"/>
      <c r="BD291" s="343"/>
      <c r="BE291" s="343"/>
      <c r="BF291" s="343"/>
      <c r="BG291" s="343"/>
      <c r="BH291" s="343"/>
      <c r="BI291" s="343"/>
      <c r="BJ291" s="343"/>
      <c r="BK291" s="343"/>
      <c r="BL291" s="343"/>
      <c r="BM291" s="343"/>
      <c r="BN291" s="343"/>
      <c r="BO291" s="343"/>
      <c r="BP291" s="343"/>
      <c r="BQ291" s="343"/>
      <c r="BR291" s="343"/>
      <c r="BS291" s="343"/>
      <c r="BT291" s="343"/>
      <c r="BU291" s="343"/>
      <c r="BV291" s="343"/>
      <c r="BW291" s="343"/>
      <c r="BX291" s="343"/>
    </row>
    <row r="292" spans="1:76" s="25" customFormat="1">
      <c r="A292" s="343"/>
      <c r="B292" s="343"/>
      <c r="C292" s="115"/>
      <c r="D292" s="123"/>
      <c r="E292" s="232"/>
      <c r="F292" s="232"/>
      <c r="G292" s="115"/>
      <c r="H292" s="115"/>
      <c r="I292" s="115"/>
      <c r="J292" s="115"/>
      <c r="K292" s="232"/>
      <c r="L292" s="232"/>
      <c r="M292" s="660"/>
      <c r="N292" s="355"/>
      <c r="O292" s="355"/>
      <c r="P292" s="355"/>
      <c r="Q292" s="355"/>
      <c r="R292" s="600"/>
      <c r="S292" s="600"/>
      <c r="T292" s="600"/>
      <c r="U292" s="600"/>
      <c r="V292" s="600"/>
      <c r="W292" s="600"/>
      <c r="X292" s="600"/>
      <c r="Y292" s="600"/>
      <c r="Z292" s="600"/>
      <c r="AA292" s="482"/>
      <c r="AB292" s="482"/>
      <c r="AC292" s="482"/>
      <c r="AD292" s="600">
        <v>281</v>
      </c>
      <c r="AE292" s="482"/>
      <c r="AF292" s="600"/>
      <c r="AG292" s="600"/>
      <c r="AH292" s="600"/>
      <c r="AI292" s="600"/>
      <c r="AJ292" s="600"/>
      <c r="AK292" s="600"/>
      <c r="AL292" s="600"/>
      <c r="AM292" s="600"/>
      <c r="AN292" s="600"/>
      <c r="AO292" s="600"/>
      <c r="AP292" s="600"/>
      <c r="AQ292" s="600"/>
      <c r="AR292" s="600"/>
      <c r="AS292" s="600"/>
      <c r="AT292" s="600"/>
      <c r="AU292" s="600"/>
      <c r="AV292" s="600"/>
      <c r="AW292" s="482"/>
      <c r="AX292" s="482"/>
      <c r="AY292" s="482"/>
      <c r="AZ292" s="482"/>
      <c r="BA292" s="343"/>
      <c r="BB292" s="343"/>
      <c r="BC292" s="343"/>
      <c r="BD292" s="343"/>
      <c r="BE292" s="343"/>
      <c r="BF292" s="343"/>
      <c r="BG292" s="343"/>
      <c r="BH292" s="343"/>
      <c r="BI292" s="343"/>
      <c r="BJ292" s="343"/>
      <c r="BK292" s="343"/>
      <c r="BL292" s="343"/>
      <c r="BM292" s="343"/>
      <c r="BN292" s="343"/>
      <c r="BO292" s="343"/>
      <c r="BP292" s="343"/>
      <c r="BQ292" s="343"/>
      <c r="BR292" s="343"/>
      <c r="BS292" s="343"/>
      <c r="BT292" s="343"/>
      <c r="BU292" s="343"/>
      <c r="BV292" s="343"/>
      <c r="BW292" s="343"/>
      <c r="BX292" s="343"/>
    </row>
    <row r="293" spans="1:76" s="25" customFormat="1">
      <c r="A293" s="343"/>
      <c r="B293" s="343"/>
      <c r="C293" s="115"/>
      <c r="D293" s="123"/>
      <c r="E293" s="232"/>
      <c r="F293" s="232"/>
      <c r="G293" s="115"/>
      <c r="H293" s="115"/>
      <c r="I293" s="115"/>
      <c r="J293" s="115"/>
      <c r="K293" s="232"/>
      <c r="L293" s="232"/>
      <c r="M293" s="660"/>
      <c r="N293" s="355"/>
      <c r="O293" s="355"/>
      <c r="P293" s="355"/>
      <c r="Q293" s="355"/>
      <c r="R293" s="600"/>
      <c r="S293" s="600"/>
      <c r="T293" s="600"/>
      <c r="U293" s="600"/>
      <c r="V293" s="600"/>
      <c r="W293" s="600"/>
      <c r="X293" s="600"/>
      <c r="Y293" s="600"/>
      <c r="Z293" s="600"/>
      <c r="AA293" s="482"/>
      <c r="AB293" s="482"/>
      <c r="AC293" s="482"/>
      <c r="AD293" s="600">
        <v>282</v>
      </c>
      <c r="AE293" s="482"/>
      <c r="AF293" s="600"/>
      <c r="AG293" s="600"/>
      <c r="AH293" s="600"/>
      <c r="AI293" s="600"/>
      <c r="AJ293" s="600"/>
      <c r="AK293" s="600"/>
      <c r="AL293" s="600"/>
      <c r="AM293" s="600"/>
      <c r="AN293" s="600"/>
      <c r="AO293" s="600"/>
      <c r="AP293" s="600"/>
      <c r="AQ293" s="600"/>
      <c r="AR293" s="600"/>
      <c r="AS293" s="600"/>
      <c r="AT293" s="600"/>
      <c r="AU293" s="600"/>
      <c r="AV293" s="600"/>
      <c r="AW293" s="482"/>
      <c r="AX293" s="482"/>
      <c r="AY293" s="482"/>
      <c r="AZ293" s="482"/>
      <c r="BA293" s="343"/>
      <c r="BB293" s="343"/>
      <c r="BC293" s="343"/>
      <c r="BD293" s="343"/>
      <c r="BE293" s="343"/>
      <c r="BF293" s="343"/>
      <c r="BG293" s="343"/>
      <c r="BH293" s="343"/>
      <c r="BI293" s="343"/>
      <c r="BJ293" s="343"/>
      <c r="BK293" s="343"/>
      <c r="BL293" s="343"/>
      <c r="BM293" s="343"/>
      <c r="BN293" s="343"/>
      <c r="BO293" s="343"/>
      <c r="BP293" s="343"/>
      <c r="BQ293" s="343"/>
      <c r="BR293" s="343"/>
      <c r="BS293" s="343"/>
      <c r="BT293" s="343"/>
      <c r="BU293" s="343"/>
      <c r="BV293" s="343"/>
      <c r="BW293" s="343"/>
      <c r="BX293" s="343"/>
    </row>
    <row r="294" spans="1:76" s="25" customFormat="1">
      <c r="A294" s="343"/>
      <c r="B294" s="343"/>
      <c r="C294" s="115"/>
      <c r="D294" s="123"/>
      <c r="E294" s="232"/>
      <c r="F294" s="232"/>
      <c r="G294" s="115"/>
      <c r="H294" s="115"/>
      <c r="I294" s="115"/>
      <c r="J294" s="115"/>
      <c r="K294" s="232"/>
      <c r="L294" s="232"/>
      <c r="M294" s="660"/>
      <c r="N294" s="355"/>
      <c r="O294" s="355"/>
      <c r="P294" s="355"/>
      <c r="Q294" s="355"/>
      <c r="R294" s="600"/>
      <c r="S294" s="600"/>
      <c r="T294" s="600"/>
      <c r="U294" s="600"/>
      <c r="V294" s="600"/>
      <c r="W294" s="600"/>
      <c r="X294" s="600"/>
      <c r="Y294" s="600"/>
      <c r="Z294" s="600"/>
      <c r="AA294" s="482"/>
      <c r="AB294" s="482"/>
      <c r="AC294" s="482"/>
      <c r="AD294" s="600">
        <v>283</v>
      </c>
      <c r="AE294" s="482"/>
      <c r="AF294" s="600"/>
      <c r="AG294" s="600"/>
      <c r="AH294" s="600"/>
      <c r="AI294" s="600"/>
      <c r="AJ294" s="600"/>
      <c r="AK294" s="600"/>
      <c r="AL294" s="600"/>
      <c r="AM294" s="600"/>
      <c r="AN294" s="600"/>
      <c r="AO294" s="600"/>
      <c r="AP294" s="600"/>
      <c r="AQ294" s="600"/>
      <c r="AR294" s="600"/>
      <c r="AS294" s="600"/>
      <c r="AT294" s="600"/>
      <c r="AU294" s="600"/>
      <c r="AV294" s="600"/>
      <c r="AW294" s="482"/>
      <c r="AX294" s="482"/>
      <c r="AY294" s="482"/>
      <c r="AZ294" s="482"/>
      <c r="BA294" s="343"/>
      <c r="BB294" s="343"/>
      <c r="BC294" s="343"/>
      <c r="BD294" s="343"/>
      <c r="BE294" s="343"/>
      <c r="BF294" s="343"/>
      <c r="BG294" s="343"/>
      <c r="BH294" s="343"/>
      <c r="BI294" s="343"/>
      <c r="BJ294" s="343"/>
      <c r="BK294" s="343"/>
      <c r="BL294" s="343"/>
      <c r="BM294" s="343"/>
      <c r="BN294" s="343"/>
      <c r="BO294" s="343"/>
      <c r="BP294" s="343"/>
      <c r="BQ294" s="343"/>
      <c r="BR294" s="343"/>
      <c r="BS294" s="343"/>
      <c r="BT294" s="343"/>
      <c r="BU294" s="343"/>
      <c r="BV294" s="343"/>
      <c r="BW294" s="343"/>
      <c r="BX294" s="343"/>
    </row>
    <row r="295" spans="1:76" s="25" customFormat="1">
      <c r="A295" s="343"/>
      <c r="B295" s="343"/>
      <c r="C295" s="115"/>
      <c r="D295" s="123"/>
      <c r="E295" s="232"/>
      <c r="F295" s="232"/>
      <c r="G295" s="115"/>
      <c r="H295" s="115"/>
      <c r="I295" s="115"/>
      <c r="J295" s="115"/>
      <c r="K295" s="232"/>
      <c r="L295" s="232"/>
      <c r="M295" s="660"/>
      <c r="N295" s="355"/>
      <c r="O295" s="355"/>
      <c r="P295" s="355"/>
      <c r="Q295" s="355"/>
      <c r="R295" s="600"/>
      <c r="S295" s="600"/>
      <c r="T295" s="600"/>
      <c r="U295" s="600"/>
      <c r="V295" s="600"/>
      <c r="W295" s="600"/>
      <c r="X295" s="600"/>
      <c r="Y295" s="600"/>
      <c r="Z295" s="600"/>
      <c r="AA295" s="482"/>
      <c r="AB295" s="482"/>
      <c r="AC295" s="482"/>
      <c r="AD295" s="600">
        <v>284</v>
      </c>
      <c r="AE295" s="482"/>
      <c r="AF295" s="600"/>
      <c r="AG295" s="600"/>
      <c r="AH295" s="600"/>
      <c r="AI295" s="600"/>
      <c r="AJ295" s="600"/>
      <c r="AK295" s="600"/>
      <c r="AL295" s="600"/>
      <c r="AM295" s="600"/>
      <c r="AN295" s="600"/>
      <c r="AO295" s="600"/>
      <c r="AP295" s="600"/>
      <c r="AQ295" s="600"/>
      <c r="AR295" s="600"/>
      <c r="AS295" s="600"/>
      <c r="AT295" s="600"/>
      <c r="AU295" s="600"/>
      <c r="AV295" s="600"/>
      <c r="AW295" s="482"/>
      <c r="AX295" s="482"/>
      <c r="AY295" s="482"/>
      <c r="AZ295" s="482"/>
      <c r="BA295" s="343"/>
      <c r="BB295" s="343"/>
      <c r="BC295" s="343"/>
      <c r="BD295" s="343"/>
      <c r="BE295" s="343"/>
      <c r="BF295" s="343"/>
      <c r="BG295" s="343"/>
      <c r="BH295" s="343"/>
      <c r="BI295" s="343"/>
      <c r="BJ295" s="343"/>
      <c r="BK295" s="343"/>
      <c r="BL295" s="343"/>
      <c r="BM295" s="343"/>
      <c r="BN295" s="343"/>
      <c r="BO295" s="343"/>
      <c r="BP295" s="343"/>
      <c r="BQ295" s="343"/>
      <c r="BR295" s="343"/>
      <c r="BS295" s="343"/>
      <c r="BT295" s="343"/>
      <c r="BU295" s="343"/>
      <c r="BV295" s="343"/>
      <c r="BW295" s="343"/>
      <c r="BX295" s="343"/>
    </row>
    <row r="296" spans="1:76" s="25" customFormat="1">
      <c r="A296" s="343"/>
      <c r="B296" s="343"/>
      <c r="C296" s="115"/>
      <c r="D296" s="123"/>
      <c r="E296" s="232"/>
      <c r="F296" s="232"/>
      <c r="G296" s="115"/>
      <c r="H296" s="115"/>
      <c r="I296" s="115"/>
      <c r="J296" s="115"/>
      <c r="K296" s="232"/>
      <c r="L296" s="232"/>
      <c r="M296" s="660"/>
      <c r="N296" s="355"/>
      <c r="O296" s="355"/>
      <c r="P296" s="355"/>
      <c r="Q296" s="355"/>
      <c r="R296" s="600"/>
      <c r="S296" s="600"/>
      <c r="T296" s="600"/>
      <c r="U296" s="600"/>
      <c r="V296" s="600"/>
      <c r="W296" s="600"/>
      <c r="X296" s="600"/>
      <c r="Y296" s="600"/>
      <c r="Z296" s="600"/>
      <c r="AA296" s="482"/>
      <c r="AB296" s="482"/>
      <c r="AC296" s="482"/>
      <c r="AD296" s="600">
        <v>285</v>
      </c>
      <c r="AE296" s="482"/>
      <c r="AF296" s="600"/>
      <c r="AG296" s="600"/>
      <c r="AH296" s="600"/>
      <c r="AI296" s="600"/>
      <c r="AJ296" s="600"/>
      <c r="AK296" s="600"/>
      <c r="AL296" s="600"/>
      <c r="AM296" s="600"/>
      <c r="AN296" s="600"/>
      <c r="AO296" s="600"/>
      <c r="AP296" s="600"/>
      <c r="AQ296" s="600"/>
      <c r="AR296" s="600"/>
      <c r="AS296" s="600"/>
      <c r="AT296" s="600"/>
      <c r="AU296" s="600"/>
      <c r="AV296" s="600"/>
      <c r="AW296" s="482"/>
      <c r="AX296" s="482"/>
      <c r="AY296" s="482"/>
      <c r="AZ296" s="482"/>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row>
    <row r="297" spans="1:76" s="25" customFormat="1">
      <c r="A297" s="343"/>
      <c r="B297" s="343"/>
      <c r="C297" s="115"/>
      <c r="D297" s="123"/>
      <c r="E297" s="232"/>
      <c r="F297" s="232"/>
      <c r="G297" s="115"/>
      <c r="H297" s="115"/>
      <c r="I297" s="115"/>
      <c r="J297" s="115"/>
      <c r="K297" s="232"/>
      <c r="L297" s="232"/>
      <c r="M297" s="660"/>
      <c r="N297" s="355"/>
      <c r="O297" s="355"/>
      <c r="P297" s="355"/>
      <c r="Q297" s="355"/>
      <c r="R297" s="600"/>
      <c r="S297" s="600"/>
      <c r="T297" s="600"/>
      <c r="U297" s="600"/>
      <c r="V297" s="600"/>
      <c r="W297" s="600"/>
      <c r="X297" s="600"/>
      <c r="Y297" s="600"/>
      <c r="Z297" s="600"/>
      <c r="AA297" s="482"/>
      <c r="AB297" s="482"/>
      <c r="AC297" s="482"/>
      <c r="AD297" s="600">
        <v>286</v>
      </c>
      <c r="AE297" s="482"/>
      <c r="AF297" s="600"/>
      <c r="AG297" s="600"/>
      <c r="AH297" s="600"/>
      <c r="AI297" s="600"/>
      <c r="AJ297" s="600"/>
      <c r="AK297" s="600"/>
      <c r="AL297" s="600"/>
      <c r="AM297" s="600"/>
      <c r="AN297" s="600"/>
      <c r="AO297" s="600"/>
      <c r="AP297" s="600"/>
      <c r="AQ297" s="600"/>
      <c r="AR297" s="600"/>
      <c r="AS297" s="600"/>
      <c r="AT297" s="600"/>
      <c r="AU297" s="600"/>
      <c r="AV297" s="600"/>
      <c r="AW297" s="482"/>
      <c r="AX297" s="482"/>
      <c r="AY297" s="482"/>
      <c r="AZ297" s="482"/>
      <c r="BA297" s="343"/>
      <c r="BB297" s="343"/>
      <c r="BC297" s="343"/>
      <c r="BD297" s="343"/>
      <c r="BE297" s="343"/>
      <c r="BF297" s="343"/>
      <c r="BG297" s="343"/>
      <c r="BH297" s="343"/>
      <c r="BI297" s="343"/>
      <c r="BJ297" s="343"/>
      <c r="BK297" s="343"/>
      <c r="BL297" s="343"/>
      <c r="BM297" s="343"/>
      <c r="BN297" s="343"/>
      <c r="BO297" s="343"/>
      <c r="BP297" s="343"/>
      <c r="BQ297" s="343"/>
      <c r="BR297" s="343"/>
      <c r="BS297" s="343"/>
      <c r="BT297" s="343"/>
      <c r="BU297" s="343"/>
      <c r="BV297" s="343"/>
      <c r="BW297" s="343"/>
      <c r="BX297" s="343"/>
    </row>
    <row r="298" spans="1:76" s="25" customFormat="1">
      <c r="A298" s="343"/>
      <c r="B298" s="343"/>
      <c r="C298" s="115"/>
      <c r="D298" s="123"/>
      <c r="E298" s="232"/>
      <c r="F298" s="232"/>
      <c r="G298" s="115"/>
      <c r="H298" s="115"/>
      <c r="I298" s="115"/>
      <c r="J298" s="115"/>
      <c r="K298" s="232"/>
      <c r="L298" s="232"/>
      <c r="M298" s="660"/>
      <c r="N298" s="355"/>
      <c r="O298" s="355"/>
      <c r="P298" s="355"/>
      <c r="Q298" s="355"/>
      <c r="R298" s="600"/>
      <c r="S298" s="600"/>
      <c r="T298" s="600"/>
      <c r="U298" s="600"/>
      <c r="V298" s="600"/>
      <c r="W298" s="600"/>
      <c r="X298" s="600"/>
      <c r="Y298" s="600"/>
      <c r="Z298" s="600"/>
      <c r="AA298" s="482"/>
      <c r="AB298" s="482"/>
      <c r="AC298" s="482"/>
      <c r="AD298" s="600">
        <v>287</v>
      </c>
      <c r="AE298" s="482"/>
      <c r="AF298" s="600"/>
      <c r="AG298" s="600"/>
      <c r="AH298" s="600"/>
      <c r="AI298" s="600"/>
      <c r="AJ298" s="600"/>
      <c r="AK298" s="600"/>
      <c r="AL298" s="600"/>
      <c r="AM298" s="600"/>
      <c r="AN298" s="600"/>
      <c r="AO298" s="600"/>
      <c r="AP298" s="600"/>
      <c r="AQ298" s="600"/>
      <c r="AR298" s="600"/>
      <c r="AS298" s="600"/>
      <c r="AT298" s="600"/>
      <c r="AU298" s="600"/>
      <c r="AV298" s="600"/>
      <c r="AW298" s="482"/>
      <c r="AX298" s="482"/>
      <c r="AY298" s="482"/>
      <c r="AZ298" s="482"/>
      <c r="BA298" s="343"/>
      <c r="BB298" s="343"/>
      <c r="BC298" s="343"/>
      <c r="BD298" s="343"/>
      <c r="BE298" s="343"/>
      <c r="BF298" s="343"/>
      <c r="BG298" s="343"/>
      <c r="BH298" s="343"/>
      <c r="BI298" s="343"/>
      <c r="BJ298" s="343"/>
      <c r="BK298" s="343"/>
      <c r="BL298" s="343"/>
      <c r="BM298" s="343"/>
      <c r="BN298" s="343"/>
      <c r="BO298" s="343"/>
      <c r="BP298" s="343"/>
      <c r="BQ298" s="343"/>
      <c r="BR298" s="343"/>
      <c r="BS298" s="343"/>
      <c r="BT298" s="343"/>
      <c r="BU298" s="343"/>
      <c r="BV298" s="343"/>
      <c r="BW298" s="343"/>
      <c r="BX298" s="343"/>
    </row>
    <row r="299" spans="1:76" s="25" customFormat="1">
      <c r="A299" s="343"/>
      <c r="B299" s="343"/>
      <c r="C299" s="115"/>
      <c r="D299" s="123"/>
      <c r="E299" s="232"/>
      <c r="F299" s="232"/>
      <c r="G299" s="115"/>
      <c r="H299" s="115"/>
      <c r="I299" s="115"/>
      <c r="J299" s="115"/>
      <c r="K299" s="232"/>
      <c r="L299" s="232"/>
      <c r="M299" s="660"/>
      <c r="N299" s="355"/>
      <c r="O299" s="355"/>
      <c r="P299" s="355"/>
      <c r="Q299" s="355"/>
      <c r="R299" s="600"/>
      <c r="S299" s="600"/>
      <c r="T299" s="600"/>
      <c r="U299" s="600"/>
      <c r="V299" s="600"/>
      <c r="W299" s="600"/>
      <c r="X299" s="600"/>
      <c r="Y299" s="600"/>
      <c r="Z299" s="600"/>
      <c r="AA299" s="482"/>
      <c r="AB299" s="482"/>
      <c r="AC299" s="482"/>
      <c r="AD299" s="600">
        <v>288</v>
      </c>
      <c r="AE299" s="482"/>
      <c r="AF299" s="600"/>
      <c r="AG299" s="600"/>
      <c r="AH299" s="600"/>
      <c r="AI299" s="600"/>
      <c r="AJ299" s="600"/>
      <c r="AK299" s="600"/>
      <c r="AL299" s="600"/>
      <c r="AM299" s="600"/>
      <c r="AN299" s="600"/>
      <c r="AO299" s="600"/>
      <c r="AP299" s="600"/>
      <c r="AQ299" s="600"/>
      <c r="AR299" s="600"/>
      <c r="AS299" s="600"/>
      <c r="AT299" s="600"/>
      <c r="AU299" s="600"/>
      <c r="AV299" s="600"/>
      <c r="AW299" s="482"/>
      <c r="AX299" s="482"/>
      <c r="AY299" s="482"/>
      <c r="AZ299" s="482"/>
      <c r="BA299" s="343"/>
      <c r="BB299" s="343"/>
      <c r="BC299" s="343"/>
      <c r="BD299" s="343"/>
      <c r="BE299" s="343"/>
      <c r="BF299" s="343"/>
      <c r="BG299" s="343"/>
      <c r="BH299" s="343"/>
      <c r="BI299" s="343"/>
      <c r="BJ299" s="343"/>
      <c r="BK299" s="343"/>
      <c r="BL299" s="343"/>
      <c r="BM299" s="343"/>
      <c r="BN299" s="343"/>
      <c r="BO299" s="343"/>
      <c r="BP299" s="343"/>
      <c r="BQ299" s="343"/>
      <c r="BR299" s="343"/>
      <c r="BS299" s="343"/>
      <c r="BT299" s="343"/>
      <c r="BU299" s="343"/>
      <c r="BV299" s="343"/>
      <c r="BW299" s="343"/>
      <c r="BX299" s="343"/>
    </row>
    <row r="300" spans="1:76" s="25" customFormat="1">
      <c r="A300" s="343"/>
      <c r="B300" s="343"/>
      <c r="C300" s="115"/>
      <c r="D300" s="123"/>
      <c r="E300" s="232"/>
      <c r="F300" s="232"/>
      <c r="G300" s="115"/>
      <c r="H300" s="115"/>
      <c r="I300" s="115"/>
      <c r="J300" s="115"/>
      <c r="K300" s="232"/>
      <c r="L300" s="232"/>
      <c r="M300" s="660"/>
      <c r="N300" s="355"/>
      <c r="O300" s="355"/>
      <c r="P300" s="355"/>
      <c r="Q300" s="355"/>
      <c r="R300" s="600"/>
      <c r="S300" s="600"/>
      <c r="T300" s="600"/>
      <c r="U300" s="600"/>
      <c r="V300" s="600"/>
      <c r="W300" s="600"/>
      <c r="X300" s="600"/>
      <c r="Y300" s="600"/>
      <c r="Z300" s="600"/>
      <c r="AA300" s="482"/>
      <c r="AB300" s="482"/>
      <c r="AC300" s="482"/>
      <c r="AD300" s="600">
        <v>289</v>
      </c>
      <c r="AE300" s="482"/>
      <c r="AF300" s="600"/>
      <c r="AG300" s="600"/>
      <c r="AH300" s="600"/>
      <c r="AI300" s="600"/>
      <c r="AJ300" s="600"/>
      <c r="AK300" s="600"/>
      <c r="AL300" s="600"/>
      <c r="AM300" s="600"/>
      <c r="AN300" s="600"/>
      <c r="AO300" s="600"/>
      <c r="AP300" s="600"/>
      <c r="AQ300" s="600"/>
      <c r="AR300" s="600"/>
      <c r="AS300" s="600"/>
      <c r="AT300" s="600"/>
      <c r="AU300" s="600"/>
      <c r="AV300" s="600"/>
      <c r="AW300" s="482"/>
      <c r="AX300" s="482"/>
      <c r="AY300" s="482"/>
      <c r="AZ300" s="482"/>
      <c r="BA300" s="343"/>
      <c r="BB300" s="343"/>
      <c r="BC300" s="343"/>
      <c r="BD300" s="343"/>
      <c r="BE300" s="343"/>
      <c r="BF300" s="343"/>
      <c r="BG300" s="343"/>
      <c r="BH300" s="343"/>
      <c r="BI300" s="343"/>
      <c r="BJ300" s="343"/>
      <c r="BK300" s="343"/>
      <c r="BL300" s="343"/>
      <c r="BM300" s="343"/>
      <c r="BN300" s="343"/>
      <c r="BO300" s="343"/>
      <c r="BP300" s="343"/>
      <c r="BQ300" s="343"/>
      <c r="BR300" s="343"/>
      <c r="BS300" s="343"/>
      <c r="BT300" s="343"/>
      <c r="BU300" s="343"/>
      <c r="BV300" s="343"/>
      <c r="BW300" s="343"/>
      <c r="BX300" s="343"/>
    </row>
    <row r="301" spans="1:76" s="25" customFormat="1">
      <c r="A301" s="343"/>
      <c r="B301" s="343"/>
      <c r="C301" s="115"/>
      <c r="D301" s="123"/>
      <c r="E301" s="232"/>
      <c r="F301" s="232"/>
      <c r="G301" s="115"/>
      <c r="H301" s="115"/>
      <c r="I301" s="115"/>
      <c r="J301" s="115"/>
      <c r="K301" s="232"/>
      <c r="L301" s="232"/>
      <c r="M301" s="660"/>
      <c r="N301" s="355"/>
      <c r="O301" s="355"/>
      <c r="P301" s="355"/>
      <c r="Q301" s="355"/>
      <c r="R301" s="600"/>
      <c r="S301" s="600"/>
      <c r="T301" s="600"/>
      <c r="U301" s="600"/>
      <c r="V301" s="600"/>
      <c r="W301" s="600"/>
      <c r="X301" s="600"/>
      <c r="Y301" s="600"/>
      <c r="Z301" s="600"/>
      <c r="AA301" s="482"/>
      <c r="AB301" s="482"/>
      <c r="AC301" s="482"/>
      <c r="AD301" s="600">
        <v>290</v>
      </c>
      <c r="AE301" s="482"/>
      <c r="AF301" s="600"/>
      <c r="AG301" s="600"/>
      <c r="AH301" s="600"/>
      <c r="AI301" s="600"/>
      <c r="AJ301" s="600"/>
      <c r="AK301" s="600"/>
      <c r="AL301" s="600"/>
      <c r="AM301" s="600"/>
      <c r="AN301" s="600"/>
      <c r="AO301" s="600"/>
      <c r="AP301" s="600"/>
      <c r="AQ301" s="600"/>
      <c r="AR301" s="600"/>
      <c r="AS301" s="600"/>
      <c r="AT301" s="600"/>
      <c r="AU301" s="600"/>
      <c r="AV301" s="600"/>
      <c r="AW301" s="482"/>
      <c r="AX301" s="482"/>
      <c r="AY301" s="482"/>
      <c r="AZ301" s="482"/>
      <c r="BA301" s="343"/>
      <c r="BB301" s="343"/>
      <c r="BC301" s="343"/>
      <c r="BD301" s="343"/>
      <c r="BE301" s="343"/>
      <c r="BF301" s="343"/>
      <c r="BG301" s="343"/>
      <c r="BH301" s="343"/>
      <c r="BI301" s="343"/>
      <c r="BJ301" s="343"/>
      <c r="BK301" s="343"/>
      <c r="BL301" s="343"/>
      <c r="BM301" s="343"/>
      <c r="BN301" s="343"/>
      <c r="BO301" s="343"/>
      <c r="BP301" s="343"/>
      <c r="BQ301" s="343"/>
      <c r="BR301" s="343"/>
      <c r="BS301" s="343"/>
      <c r="BT301" s="343"/>
      <c r="BU301" s="343"/>
      <c r="BV301" s="343"/>
      <c r="BW301" s="343"/>
      <c r="BX301" s="343"/>
    </row>
    <row r="302" spans="1:76" s="25" customFormat="1">
      <c r="A302" s="343"/>
      <c r="B302" s="343"/>
      <c r="C302" s="115"/>
      <c r="D302" s="123"/>
      <c r="E302" s="232"/>
      <c r="F302" s="232"/>
      <c r="G302" s="115"/>
      <c r="H302" s="115"/>
      <c r="I302" s="115"/>
      <c r="J302" s="115"/>
      <c r="K302" s="232"/>
      <c r="L302" s="232"/>
      <c r="M302" s="660"/>
      <c r="N302" s="355"/>
      <c r="O302" s="355"/>
      <c r="P302" s="355"/>
      <c r="Q302" s="355"/>
      <c r="R302" s="600"/>
      <c r="S302" s="600"/>
      <c r="T302" s="600"/>
      <c r="U302" s="600"/>
      <c r="V302" s="600"/>
      <c r="W302" s="600"/>
      <c r="X302" s="600"/>
      <c r="Y302" s="600"/>
      <c r="Z302" s="600"/>
      <c r="AA302" s="482"/>
      <c r="AB302" s="482"/>
      <c r="AC302" s="482"/>
      <c r="AD302" s="600">
        <v>291</v>
      </c>
      <c r="AE302" s="482"/>
      <c r="AF302" s="600"/>
      <c r="AG302" s="600"/>
      <c r="AH302" s="600"/>
      <c r="AI302" s="600"/>
      <c r="AJ302" s="600"/>
      <c r="AK302" s="600"/>
      <c r="AL302" s="600"/>
      <c r="AM302" s="600"/>
      <c r="AN302" s="600"/>
      <c r="AO302" s="600"/>
      <c r="AP302" s="600"/>
      <c r="AQ302" s="600"/>
      <c r="AR302" s="600"/>
      <c r="AS302" s="600"/>
      <c r="AT302" s="600"/>
      <c r="AU302" s="600"/>
      <c r="AV302" s="600"/>
      <c r="AW302" s="482"/>
      <c r="AX302" s="482"/>
      <c r="AY302" s="482"/>
      <c r="AZ302" s="482"/>
      <c r="BA302" s="343"/>
      <c r="BB302" s="343"/>
      <c r="BC302" s="343"/>
      <c r="BD302" s="343"/>
      <c r="BE302" s="343"/>
      <c r="BF302" s="343"/>
      <c r="BG302" s="343"/>
      <c r="BH302" s="343"/>
      <c r="BI302" s="343"/>
      <c r="BJ302" s="343"/>
      <c r="BK302" s="343"/>
      <c r="BL302" s="343"/>
      <c r="BM302" s="343"/>
      <c r="BN302" s="343"/>
      <c r="BO302" s="343"/>
      <c r="BP302" s="343"/>
      <c r="BQ302" s="343"/>
      <c r="BR302" s="343"/>
      <c r="BS302" s="343"/>
      <c r="BT302" s="343"/>
      <c r="BU302" s="343"/>
      <c r="BV302" s="343"/>
      <c r="BW302" s="343"/>
      <c r="BX302" s="343"/>
    </row>
    <row r="303" spans="1:76" s="25" customFormat="1">
      <c r="A303" s="343"/>
      <c r="B303" s="343"/>
      <c r="C303" s="115"/>
      <c r="D303" s="123"/>
      <c r="E303" s="232"/>
      <c r="F303" s="232"/>
      <c r="G303" s="115"/>
      <c r="H303" s="115"/>
      <c r="I303" s="115"/>
      <c r="J303" s="115"/>
      <c r="K303" s="232"/>
      <c r="L303" s="232"/>
      <c r="M303" s="660"/>
      <c r="N303" s="355"/>
      <c r="O303" s="355"/>
      <c r="P303" s="355"/>
      <c r="Q303" s="355"/>
      <c r="R303" s="600"/>
      <c r="S303" s="600"/>
      <c r="T303" s="600"/>
      <c r="U303" s="600"/>
      <c r="V303" s="600"/>
      <c r="W303" s="600"/>
      <c r="X303" s="600"/>
      <c r="Y303" s="600"/>
      <c r="Z303" s="600"/>
      <c r="AA303" s="482"/>
      <c r="AB303" s="482"/>
      <c r="AC303" s="482"/>
      <c r="AD303" s="600">
        <v>292</v>
      </c>
      <c r="AE303" s="482"/>
      <c r="AF303" s="600"/>
      <c r="AG303" s="600"/>
      <c r="AH303" s="600"/>
      <c r="AI303" s="600"/>
      <c r="AJ303" s="600"/>
      <c r="AK303" s="600"/>
      <c r="AL303" s="600"/>
      <c r="AM303" s="600"/>
      <c r="AN303" s="600"/>
      <c r="AO303" s="600"/>
      <c r="AP303" s="600"/>
      <c r="AQ303" s="600"/>
      <c r="AR303" s="600"/>
      <c r="AS303" s="600"/>
      <c r="AT303" s="600"/>
      <c r="AU303" s="600"/>
      <c r="AV303" s="600"/>
      <c r="AW303" s="482"/>
      <c r="AX303" s="482"/>
      <c r="AY303" s="482"/>
      <c r="AZ303" s="482"/>
      <c r="BA303" s="343"/>
      <c r="BB303" s="343"/>
      <c r="BC303" s="343"/>
      <c r="BD303" s="343"/>
      <c r="BE303" s="343"/>
      <c r="BF303" s="343"/>
      <c r="BG303" s="343"/>
      <c r="BH303" s="343"/>
      <c r="BI303" s="343"/>
      <c r="BJ303" s="343"/>
      <c r="BK303" s="343"/>
      <c r="BL303" s="343"/>
      <c r="BM303" s="343"/>
      <c r="BN303" s="343"/>
      <c r="BO303" s="343"/>
      <c r="BP303" s="343"/>
      <c r="BQ303" s="343"/>
      <c r="BR303" s="343"/>
      <c r="BS303" s="343"/>
      <c r="BT303" s="343"/>
      <c r="BU303" s="343"/>
      <c r="BV303" s="343"/>
      <c r="BW303" s="343"/>
      <c r="BX303" s="343"/>
    </row>
    <row r="304" spans="1:76" s="25" customFormat="1">
      <c r="A304" s="343"/>
      <c r="B304" s="343"/>
      <c r="C304" s="115"/>
      <c r="D304" s="123"/>
      <c r="E304" s="232"/>
      <c r="F304" s="232"/>
      <c r="G304" s="115"/>
      <c r="H304" s="115"/>
      <c r="I304" s="115"/>
      <c r="J304" s="115"/>
      <c r="K304" s="232"/>
      <c r="L304" s="232"/>
      <c r="M304" s="660"/>
      <c r="N304" s="355"/>
      <c r="O304" s="355"/>
      <c r="P304" s="355"/>
      <c r="Q304" s="355"/>
      <c r="R304" s="600"/>
      <c r="S304" s="600"/>
      <c r="T304" s="600"/>
      <c r="U304" s="600"/>
      <c r="V304" s="600"/>
      <c r="W304" s="600"/>
      <c r="X304" s="600"/>
      <c r="Y304" s="600"/>
      <c r="Z304" s="600"/>
      <c r="AA304" s="482"/>
      <c r="AB304" s="482"/>
      <c r="AC304" s="482"/>
      <c r="AD304" s="600">
        <v>293</v>
      </c>
      <c r="AE304" s="482"/>
      <c r="AF304" s="600"/>
      <c r="AG304" s="600"/>
      <c r="AH304" s="600"/>
      <c r="AI304" s="600"/>
      <c r="AJ304" s="600"/>
      <c r="AK304" s="600"/>
      <c r="AL304" s="600"/>
      <c r="AM304" s="600"/>
      <c r="AN304" s="600"/>
      <c r="AO304" s="600"/>
      <c r="AP304" s="600"/>
      <c r="AQ304" s="600"/>
      <c r="AR304" s="600"/>
      <c r="AS304" s="600"/>
      <c r="AT304" s="600"/>
      <c r="AU304" s="600"/>
      <c r="AV304" s="600"/>
      <c r="AW304" s="482"/>
      <c r="AX304" s="482"/>
      <c r="AY304" s="482"/>
      <c r="AZ304" s="482"/>
      <c r="BA304" s="343"/>
      <c r="BB304" s="343"/>
      <c r="BC304" s="343"/>
      <c r="BD304" s="343"/>
      <c r="BE304" s="343"/>
      <c r="BF304" s="343"/>
      <c r="BG304" s="343"/>
      <c r="BH304" s="343"/>
      <c r="BI304" s="343"/>
      <c r="BJ304" s="343"/>
      <c r="BK304" s="343"/>
      <c r="BL304" s="343"/>
      <c r="BM304" s="343"/>
      <c r="BN304" s="343"/>
      <c r="BO304" s="343"/>
      <c r="BP304" s="343"/>
      <c r="BQ304" s="343"/>
      <c r="BR304" s="343"/>
      <c r="BS304" s="343"/>
      <c r="BT304" s="343"/>
      <c r="BU304" s="343"/>
      <c r="BV304" s="343"/>
      <c r="BW304" s="343"/>
      <c r="BX304" s="343"/>
    </row>
    <row r="305" spans="1:76" s="25" customFormat="1">
      <c r="A305" s="343"/>
      <c r="B305" s="343"/>
      <c r="C305" s="115"/>
      <c r="D305" s="123"/>
      <c r="E305" s="232"/>
      <c r="F305" s="232"/>
      <c r="G305" s="115"/>
      <c r="H305" s="115"/>
      <c r="I305" s="115"/>
      <c r="J305" s="115"/>
      <c r="K305" s="232"/>
      <c r="L305" s="232"/>
      <c r="M305" s="660"/>
      <c r="N305" s="355"/>
      <c r="O305" s="355"/>
      <c r="P305" s="355"/>
      <c r="Q305" s="355"/>
      <c r="R305" s="600"/>
      <c r="S305" s="600"/>
      <c r="T305" s="600"/>
      <c r="U305" s="600"/>
      <c r="V305" s="600"/>
      <c r="W305" s="600"/>
      <c r="X305" s="600"/>
      <c r="Y305" s="600"/>
      <c r="Z305" s="600"/>
      <c r="AA305" s="482"/>
      <c r="AB305" s="482"/>
      <c r="AC305" s="482"/>
      <c r="AD305" s="600">
        <v>294</v>
      </c>
      <c r="AE305" s="482"/>
      <c r="AF305" s="600"/>
      <c r="AG305" s="600"/>
      <c r="AH305" s="600"/>
      <c r="AI305" s="600"/>
      <c r="AJ305" s="600"/>
      <c r="AK305" s="600"/>
      <c r="AL305" s="600"/>
      <c r="AM305" s="600"/>
      <c r="AN305" s="600"/>
      <c r="AO305" s="600"/>
      <c r="AP305" s="600"/>
      <c r="AQ305" s="600"/>
      <c r="AR305" s="600"/>
      <c r="AS305" s="600"/>
      <c r="AT305" s="600"/>
      <c r="AU305" s="600"/>
      <c r="AV305" s="600"/>
      <c r="AW305" s="482"/>
      <c r="AX305" s="482"/>
      <c r="AY305" s="482"/>
      <c r="AZ305" s="482"/>
      <c r="BA305" s="343"/>
      <c r="BB305" s="343"/>
      <c r="BC305" s="343"/>
      <c r="BD305" s="343"/>
      <c r="BE305" s="343"/>
      <c r="BF305" s="343"/>
      <c r="BG305" s="343"/>
      <c r="BH305" s="343"/>
      <c r="BI305" s="343"/>
      <c r="BJ305" s="343"/>
      <c r="BK305" s="343"/>
      <c r="BL305" s="343"/>
      <c r="BM305" s="343"/>
      <c r="BN305" s="343"/>
      <c r="BO305" s="343"/>
      <c r="BP305" s="343"/>
      <c r="BQ305" s="343"/>
      <c r="BR305" s="343"/>
      <c r="BS305" s="343"/>
      <c r="BT305" s="343"/>
      <c r="BU305" s="343"/>
      <c r="BV305" s="343"/>
      <c r="BW305" s="343"/>
      <c r="BX305" s="343"/>
    </row>
    <row r="306" spans="1:76" s="25" customFormat="1">
      <c r="A306" s="343"/>
      <c r="B306" s="343"/>
      <c r="C306" s="115"/>
      <c r="D306" s="123"/>
      <c r="E306" s="232"/>
      <c r="F306" s="232"/>
      <c r="G306" s="115"/>
      <c r="H306" s="115"/>
      <c r="I306" s="115"/>
      <c r="J306" s="115"/>
      <c r="K306" s="232"/>
      <c r="L306" s="232"/>
      <c r="M306" s="660"/>
      <c r="N306" s="355"/>
      <c r="O306" s="355"/>
      <c r="P306" s="355"/>
      <c r="Q306" s="355"/>
      <c r="R306" s="600"/>
      <c r="S306" s="600"/>
      <c r="T306" s="600"/>
      <c r="U306" s="600"/>
      <c r="V306" s="600"/>
      <c r="W306" s="600"/>
      <c r="X306" s="600"/>
      <c r="Y306" s="600"/>
      <c r="Z306" s="600"/>
      <c r="AA306" s="482"/>
      <c r="AB306" s="482"/>
      <c r="AC306" s="482"/>
      <c r="AD306" s="600">
        <v>295</v>
      </c>
      <c r="AE306" s="482"/>
      <c r="AF306" s="600"/>
      <c r="AG306" s="600"/>
      <c r="AH306" s="600"/>
      <c r="AI306" s="600"/>
      <c r="AJ306" s="600"/>
      <c r="AK306" s="600"/>
      <c r="AL306" s="600"/>
      <c r="AM306" s="600"/>
      <c r="AN306" s="600"/>
      <c r="AO306" s="600"/>
      <c r="AP306" s="600"/>
      <c r="AQ306" s="600"/>
      <c r="AR306" s="600"/>
      <c r="AS306" s="600"/>
      <c r="AT306" s="600"/>
      <c r="AU306" s="600"/>
      <c r="AV306" s="600"/>
      <c r="AW306" s="482"/>
      <c r="AX306" s="482"/>
      <c r="AY306" s="482"/>
      <c r="AZ306" s="482"/>
      <c r="BA306" s="343"/>
      <c r="BB306" s="343"/>
      <c r="BC306" s="343"/>
      <c r="BD306" s="343"/>
      <c r="BE306" s="343"/>
      <c r="BF306" s="343"/>
      <c r="BG306" s="343"/>
      <c r="BH306" s="343"/>
      <c r="BI306" s="343"/>
      <c r="BJ306" s="343"/>
      <c r="BK306" s="343"/>
      <c r="BL306" s="343"/>
      <c r="BM306" s="343"/>
      <c r="BN306" s="343"/>
      <c r="BO306" s="343"/>
      <c r="BP306" s="343"/>
      <c r="BQ306" s="343"/>
      <c r="BR306" s="343"/>
      <c r="BS306" s="343"/>
      <c r="BT306" s="343"/>
      <c r="BU306" s="343"/>
      <c r="BV306" s="343"/>
      <c r="BW306" s="343"/>
      <c r="BX306" s="343"/>
    </row>
    <row r="307" spans="1:76" s="25" customFormat="1">
      <c r="A307" s="343"/>
      <c r="B307" s="343"/>
      <c r="C307" s="115"/>
      <c r="D307" s="123"/>
      <c r="E307" s="232"/>
      <c r="F307" s="232"/>
      <c r="G307" s="115"/>
      <c r="H307" s="115"/>
      <c r="I307" s="115"/>
      <c r="J307" s="115"/>
      <c r="K307" s="232"/>
      <c r="L307" s="232"/>
      <c r="M307" s="660"/>
      <c r="N307" s="355"/>
      <c r="O307" s="355"/>
      <c r="P307" s="355"/>
      <c r="Q307" s="355"/>
      <c r="R307" s="600"/>
      <c r="S307" s="600"/>
      <c r="T307" s="600"/>
      <c r="U307" s="600"/>
      <c r="V307" s="600"/>
      <c r="W307" s="600"/>
      <c r="X307" s="600"/>
      <c r="Y307" s="600"/>
      <c r="Z307" s="600"/>
      <c r="AA307" s="482"/>
      <c r="AB307" s="482"/>
      <c r="AC307" s="482"/>
      <c r="AD307" s="600">
        <v>296</v>
      </c>
      <c r="AE307" s="482"/>
      <c r="AF307" s="600"/>
      <c r="AG307" s="600"/>
      <c r="AH307" s="600"/>
      <c r="AI307" s="600"/>
      <c r="AJ307" s="600"/>
      <c r="AK307" s="600"/>
      <c r="AL307" s="600"/>
      <c r="AM307" s="600"/>
      <c r="AN307" s="600"/>
      <c r="AO307" s="600"/>
      <c r="AP307" s="600"/>
      <c r="AQ307" s="600"/>
      <c r="AR307" s="600"/>
      <c r="AS307" s="600"/>
      <c r="AT307" s="600"/>
      <c r="AU307" s="600"/>
      <c r="AV307" s="600"/>
      <c r="AW307" s="482"/>
      <c r="AX307" s="482"/>
      <c r="AY307" s="482"/>
      <c r="AZ307" s="482"/>
      <c r="BA307" s="343"/>
      <c r="BB307" s="343"/>
      <c r="BC307" s="343"/>
      <c r="BD307" s="343"/>
      <c r="BE307" s="343"/>
      <c r="BF307" s="343"/>
      <c r="BG307" s="343"/>
      <c r="BH307" s="343"/>
      <c r="BI307" s="343"/>
      <c r="BJ307" s="343"/>
      <c r="BK307" s="343"/>
      <c r="BL307" s="343"/>
      <c r="BM307" s="343"/>
      <c r="BN307" s="343"/>
      <c r="BO307" s="343"/>
      <c r="BP307" s="343"/>
      <c r="BQ307" s="343"/>
      <c r="BR307" s="343"/>
      <c r="BS307" s="343"/>
      <c r="BT307" s="343"/>
      <c r="BU307" s="343"/>
      <c r="BV307" s="343"/>
      <c r="BW307" s="343"/>
      <c r="BX307" s="343"/>
    </row>
    <row r="308" spans="1:76" s="25" customFormat="1">
      <c r="A308" s="343"/>
      <c r="B308" s="343"/>
      <c r="C308" s="115"/>
      <c r="D308" s="123"/>
      <c r="E308" s="232"/>
      <c r="F308" s="232"/>
      <c r="G308" s="115"/>
      <c r="H308" s="115"/>
      <c r="I308" s="115"/>
      <c r="J308" s="115"/>
      <c r="K308" s="232"/>
      <c r="L308" s="232"/>
      <c r="M308" s="660"/>
      <c r="N308" s="355"/>
      <c r="O308" s="355"/>
      <c r="P308" s="355"/>
      <c r="Q308" s="355"/>
      <c r="R308" s="600"/>
      <c r="S308" s="600"/>
      <c r="T308" s="600"/>
      <c r="U308" s="600"/>
      <c r="V308" s="600"/>
      <c r="W308" s="600"/>
      <c r="X308" s="600"/>
      <c r="Y308" s="600"/>
      <c r="Z308" s="600"/>
      <c r="AA308" s="482"/>
      <c r="AB308" s="482"/>
      <c r="AC308" s="482"/>
      <c r="AD308" s="600">
        <v>297</v>
      </c>
      <c r="AE308" s="482"/>
      <c r="AF308" s="600"/>
      <c r="AG308" s="600"/>
      <c r="AH308" s="600"/>
      <c r="AI308" s="600"/>
      <c r="AJ308" s="600"/>
      <c r="AK308" s="600"/>
      <c r="AL308" s="600"/>
      <c r="AM308" s="600"/>
      <c r="AN308" s="600"/>
      <c r="AO308" s="600"/>
      <c r="AP308" s="600"/>
      <c r="AQ308" s="600"/>
      <c r="AR308" s="600"/>
      <c r="AS308" s="600"/>
      <c r="AT308" s="600"/>
      <c r="AU308" s="600"/>
      <c r="AV308" s="600"/>
      <c r="AW308" s="482"/>
      <c r="AX308" s="482"/>
      <c r="AY308" s="482"/>
      <c r="AZ308" s="482"/>
      <c r="BA308" s="343"/>
      <c r="BB308" s="343"/>
      <c r="BC308" s="343"/>
      <c r="BD308" s="343"/>
      <c r="BE308" s="343"/>
      <c r="BF308" s="343"/>
      <c r="BG308" s="343"/>
      <c r="BH308" s="343"/>
      <c r="BI308" s="343"/>
      <c r="BJ308" s="343"/>
      <c r="BK308" s="343"/>
      <c r="BL308" s="343"/>
      <c r="BM308" s="343"/>
      <c r="BN308" s="343"/>
      <c r="BO308" s="343"/>
      <c r="BP308" s="343"/>
      <c r="BQ308" s="343"/>
      <c r="BR308" s="343"/>
      <c r="BS308" s="343"/>
      <c r="BT308" s="343"/>
      <c r="BU308" s="343"/>
      <c r="BV308" s="343"/>
      <c r="BW308" s="343"/>
      <c r="BX308" s="343"/>
    </row>
    <row r="309" spans="1:76" s="25" customFormat="1">
      <c r="A309" s="343"/>
      <c r="B309" s="343"/>
      <c r="C309" s="115"/>
      <c r="D309" s="123"/>
      <c r="E309" s="232"/>
      <c r="F309" s="232"/>
      <c r="G309" s="115"/>
      <c r="H309" s="115"/>
      <c r="I309" s="115"/>
      <c r="J309" s="115"/>
      <c r="K309" s="232"/>
      <c r="L309" s="232"/>
      <c r="M309" s="660"/>
      <c r="N309" s="355"/>
      <c r="O309" s="355"/>
      <c r="P309" s="355"/>
      <c r="Q309" s="355"/>
      <c r="R309" s="600"/>
      <c r="S309" s="600"/>
      <c r="T309" s="600"/>
      <c r="U309" s="600"/>
      <c r="V309" s="600"/>
      <c r="W309" s="600"/>
      <c r="X309" s="600"/>
      <c r="Y309" s="600"/>
      <c r="Z309" s="600"/>
      <c r="AA309" s="482"/>
      <c r="AB309" s="482"/>
      <c r="AC309" s="482"/>
      <c r="AD309" s="600">
        <v>298</v>
      </c>
      <c r="AE309" s="482"/>
      <c r="AF309" s="600"/>
      <c r="AG309" s="600"/>
      <c r="AH309" s="600"/>
      <c r="AI309" s="600"/>
      <c r="AJ309" s="600"/>
      <c r="AK309" s="600"/>
      <c r="AL309" s="600"/>
      <c r="AM309" s="600"/>
      <c r="AN309" s="600"/>
      <c r="AO309" s="600"/>
      <c r="AP309" s="600"/>
      <c r="AQ309" s="600"/>
      <c r="AR309" s="600"/>
      <c r="AS309" s="600"/>
      <c r="AT309" s="600"/>
      <c r="AU309" s="600"/>
      <c r="AV309" s="600"/>
      <c r="AW309" s="482"/>
      <c r="AX309" s="482"/>
      <c r="AY309" s="482"/>
      <c r="AZ309" s="482"/>
      <c r="BA309" s="343"/>
      <c r="BB309" s="343"/>
      <c r="BC309" s="343"/>
      <c r="BD309" s="343"/>
      <c r="BE309" s="343"/>
      <c r="BF309" s="343"/>
      <c r="BG309" s="343"/>
      <c r="BH309" s="343"/>
      <c r="BI309" s="343"/>
      <c r="BJ309" s="343"/>
      <c r="BK309" s="343"/>
      <c r="BL309" s="343"/>
      <c r="BM309" s="343"/>
      <c r="BN309" s="343"/>
      <c r="BO309" s="343"/>
      <c r="BP309" s="343"/>
      <c r="BQ309" s="343"/>
      <c r="BR309" s="343"/>
      <c r="BS309" s="343"/>
      <c r="BT309" s="343"/>
      <c r="BU309" s="343"/>
      <c r="BV309" s="343"/>
      <c r="BW309" s="343"/>
      <c r="BX309" s="343"/>
    </row>
    <row r="310" spans="1:76" s="25" customFormat="1">
      <c r="A310" s="343"/>
      <c r="B310" s="343"/>
      <c r="C310" s="115"/>
      <c r="D310" s="123"/>
      <c r="E310" s="232"/>
      <c r="F310" s="232"/>
      <c r="G310" s="115"/>
      <c r="H310" s="115"/>
      <c r="I310" s="115"/>
      <c r="J310" s="115"/>
      <c r="K310" s="232"/>
      <c r="L310" s="232"/>
      <c r="M310" s="660"/>
      <c r="N310" s="355"/>
      <c r="O310" s="355"/>
      <c r="P310" s="355"/>
      <c r="Q310" s="355"/>
      <c r="R310" s="600"/>
      <c r="S310" s="600"/>
      <c r="T310" s="600"/>
      <c r="U310" s="600"/>
      <c r="V310" s="600"/>
      <c r="W310" s="600"/>
      <c r="X310" s="600"/>
      <c r="Y310" s="600"/>
      <c r="Z310" s="600"/>
      <c r="AA310" s="482"/>
      <c r="AB310" s="482"/>
      <c r="AC310" s="482"/>
      <c r="AD310" s="600">
        <v>299</v>
      </c>
      <c r="AE310" s="482"/>
      <c r="AF310" s="600"/>
      <c r="AG310" s="600"/>
      <c r="AH310" s="600"/>
      <c r="AI310" s="600"/>
      <c r="AJ310" s="600"/>
      <c r="AK310" s="600"/>
      <c r="AL310" s="600"/>
      <c r="AM310" s="600"/>
      <c r="AN310" s="600"/>
      <c r="AO310" s="600"/>
      <c r="AP310" s="600"/>
      <c r="AQ310" s="600"/>
      <c r="AR310" s="600"/>
      <c r="AS310" s="600"/>
      <c r="AT310" s="600"/>
      <c r="AU310" s="600"/>
      <c r="AV310" s="600"/>
      <c r="AW310" s="482"/>
      <c r="AX310" s="482"/>
      <c r="AY310" s="482"/>
      <c r="AZ310" s="482"/>
      <c r="BA310" s="343"/>
      <c r="BB310" s="343"/>
      <c r="BC310" s="343"/>
      <c r="BD310" s="343"/>
      <c r="BE310" s="343"/>
      <c r="BF310" s="343"/>
      <c r="BG310" s="343"/>
      <c r="BH310" s="343"/>
      <c r="BI310" s="343"/>
      <c r="BJ310" s="343"/>
      <c r="BK310" s="343"/>
      <c r="BL310" s="343"/>
      <c r="BM310" s="343"/>
      <c r="BN310" s="343"/>
      <c r="BO310" s="343"/>
      <c r="BP310" s="343"/>
      <c r="BQ310" s="343"/>
      <c r="BR310" s="343"/>
      <c r="BS310" s="343"/>
      <c r="BT310" s="343"/>
      <c r="BU310" s="343"/>
      <c r="BV310" s="343"/>
      <c r="BW310" s="343"/>
      <c r="BX310" s="343"/>
    </row>
    <row r="311" spans="1:76" s="25" customFormat="1">
      <c r="A311" s="343"/>
      <c r="B311" s="343"/>
      <c r="C311" s="115"/>
      <c r="D311" s="123"/>
      <c r="E311" s="232"/>
      <c r="F311" s="232"/>
      <c r="G311" s="115"/>
      <c r="H311" s="115"/>
      <c r="I311" s="115"/>
      <c r="J311" s="115"/>
      <c r="K311" s="232"/>
      <c r="L311" s="232"/>
      <c r="M311" s="660"/>
      <c r="N311" s="355"/>
      <c r="O311" s="355"/>
      <c r="P311" s="355"/>
      <c r="Q311" s="355"/>
      <c r="R311" s="600"/>
      <c r="S311" s="600"/>
      <c r="T311" s="600"/>
      <c r="U311" s="600"/>
      <c r="V311" s="600"/>
      <c r="W311" s="600"/>
      <c r="X311" s="600"/>
      <c r="Y311" s="600"/>
      <c r="Z311" s="600"/>
      <c r="AA311" s="482"/>
      <c r="AB311" s="482"/>
      <c r="AC311" s="482"/>
      <c r="AD311" s="600">
        <v>300</v>
      </c>
      <c r="AE311" s="482"/>
      <c r="AF311" s="600"/>
      <c r="AG311" s="600"/>
      <c r="AH311" s="600"/>
      <c r="AI311" s="600"/>
      <c r="AJ311" s="600"/>
      <c r="AK311" s="600"/>
      <c r="AL311" s="600"/>
      <c r="AM311" s="600"/>
      <c r="AN311" s="600"/>
      <c r="AO311" s="600"/>
      <c r="AP311" s="600"/>
      <c r="AQ311" s="600"/>
      <c r="AR311" s="600"/>
      <c r="AS311" s="600"/>
      <c r="AT311" s="600"/>
      <c r="AU311" s="600"/>
      <c r="AV311" s="600"/>
      <c r="AW311" s="482"/>
      <c r="AX311" s="482"/>
      <c r="AY311" s="482"/>
      <c r="AZ311" s="482"/>
      <c r="BA311" s="343"/>
      <c r="BB311" s="343"/>
      <c r="BC311" s="343"/>
      <c r="BD311" s="343"/>
      <c r="BE311" s="343"/>
      <c r="BF311" s="343"/>
      <c r="BG311" s="343"/>
      <c r="BH311" s="343"/>
      <c r="BI311" s="343"/>
      <c r="BJ311" s="343"/>
      <c r="BK311" s="343"/>
      <c r="BL311" s="343"/>
      <c r="BM311" s="343"/>
      <c r="BN311" s="343"/>
      <c r="BO311" s="343"/>
      <c r="BP311" s="343"/>
      <c r="BQ311" s="343"/>
      <c r="BR311" s="343"/>
      <c r="BS311" s="343"/>
      <c r="BT311" s="343"/>
      <c r="BU311" s="343"/>
      <c r="BV311" s="343"/>
      <c r="BW311" s="343"/>
      <c r="BX311" s="343"/>
    </row>
    <row r="312" spans="1:76" s="25" customFormat="1">
      <c r="A312" s="343"/>
      <c r="B312" s="343"/>
      <c r="C312" s="115"/>
      <c r="D312" s="123"/>
      <c r="E312" s="232"/>
      <c r="F312" s="232"/>
      <c r="G312" s="115"/>
      <c r="H312" s="115"/>
      <c r="I312" s="115"/>
      <c r="J312" s="115"/>
      <c r="K312" s="232"/>
      <c r="L312" s="232"/>
      <c r="M312" s="660"/>
      <c r="N312" s="355"/>
      <c r="O312" s="355"/>
      <c r="P312" s="355"/>
      <c r="Q312" s="355"/>
      <c r="R312" s="600"/>
      <c r="S312" s="600"/>
      <c r="T312" s="600"/>
      <c r="U312" s="600"/>
      <c r="V312" s="600"/>
      <c r="W312" s="600"/>
      <c r="X312" s="600"/>
      <c r="Y312" s="600"/>
      <c r="Z312" s="600"/>
      <c r="AA312" s="482"/>
      <c r="AB312" s="482"/>
      <c r="AC312" s="482"/>
      <c r="AD312" s="600">
        <v>301</v>
      </c>
      <c r="AE312" s="482"/>
      <c r="AF312" s="600"/>
      <c r="AG312" s="600"/>
      <c r="AH312" s="600"/>
      <c r="AI312" s="600"/>
      <c r="AJ312" s="600"/>
      <c r="AK312" s="600"/>
      <c r="AL312" s="600"/>
      <c r="AM312" s="600"/>
      <c r="AN312" s="600"/>
      <c r="AO312" s="600"/>
      <c r="AP312" s="600"/>
      <c r="AQ312" s="600"/>
      <c r="AR312" s="600"/>
      <c r="AS312" s="600"/>
      <c r="AT312" s="600"/>
      <c r="AU312" s="600"/>
      <c r="AV312" s="600"/>
      <c r="AW312" s="482"/>
      <c r="AX312" s="482"/>
      <c r="AY312" s="482"/>
      <c r="AZ312" s="482"/>
      <c r="BA312" s="343"/>
      <c r="BB312" s="343"/>
      <c r="BC312" s="343"/>
      <c r="BD312" s="343"/>
      <c r="BE312" s="343"/>
      <c r="BF312" s="343"/>
      <c r="BG312" s="343"/>
      <c r="BH312" s="343"/>
      <c r="BI312" s="343"/>
      <c r="BJ312" s="343"/>
      <c r="BK312" s="343"/>
      <c r="BL312" s="343"/>
      <c r="BM312" s="343"/>
      <c r="BN312" s="343"/>
      <c r="BO312" s="343"/>
      <c r="BP312" s="343"/>
      <c r="BQ312" s="343"/>
      <c r="BR312" s="343"/>
      <c r="BS312" s="343"/>
      <c r="BT312" s="343"/>
      <c r="BU312" s="343"/>
      <c r="BV312" s="343"/>
      <c r="BW312" s="343"/>
      <c r="BX312" s="343"/>
    </row>
    <row r="313" spans="1:76" s="25" customFormat="1">
      <c r="A313" s="343"/>
      <c r="B313" s="343"/>
      <c r="C313" s="115"/>
      <c r="D313" s="123"/>
      <c r="E313" s="232"/>
      <c r="F313" s="232"/>
      <c r="G313" s="115"/>
      <c r="H313" s="115"/>
      <c r="I313" s="115"/>
      <c r="J313" s="115"/>
      <c r="K313" s="232"/>
      <c r="L313" s="232"/>
      <c r="M313" s="660"/>
      <c r="N313" s="355"/>
      <c r="O313" s="355"/>
      <c r="P313" s="355"/>
      <c r="Q313" s="355"/>
      <c r="R313" s="600"/>
      <c r="S313" s="600"/>
      <c r="T313" s="600"/>
      <c r="U313" s="600"/>
      <c r="V313" s="600"/>
      <c r="W313" s="600"/>
      <c r="X313" s="600"/>
      <c r="Y313" s="600"/>
      <c r="Z313" s="600"/>
      <c r="AA313" s="482"/>
      <c r="AB313" s="482"/>
      <c r="AC313" s="482"/>
      <c r="AD313" s="600">
        <v>302</v>
      </c>
      <c r="AE313" s="482"/>
      <c r="AF313" s="600"/>
      <c r="AG313" s="600"/>
      <c r="AH313" s="600"/>
      <c r="AI313" s="600"/>
      <c r="AJ313" s="600"/>
      <c r="AK313" s="600"/>
      <c r="AL313" s="600"/>
      <c r="AM313" s="600"/>
      <c r="AN313" s="600"/>
      <c r="AO313" s="600"/>
      <c r="AP313" s="600"/>
      <c r="AQ313" s="600"/>
      <c r="AR313" s="600"/>
      <c r="AS313" s="600"/>
      <c r="AT313" s="600"/>
      <c r="AU313" s="600"/>
      <c r="AV313" s="600"/>
      <c r="AW313" s="482"/>
      <c r="AX313" s="482"/>
      <c r="AY313" s="482"/>
      <c r="AZ313" s="482"/>
      <c r="BA313" s="343"/>
      <c r="BB313" s="343"/>
      <c r="BC313" s="343"/>
      <c r="BD313" s="343"/>
      <c r="BE313" s="343"/>
      <c r="BF313" s="343"/>
      <c r="BG313" s="343"/>
      <c r="BH313" s="343"/>
      <c r="BI313" s="343"/>
      <c r="BJ313" s="343"/>
      <c r="BK313" s="343"/>
      <c r="BL313" s="343"/>
      <c r="BM313" s="343"/>
      <c r="BN313" s="343"/>
      <c r="BO313" s="343"/>
      <c r="BP313" s="343"/>
      <c r="BQ313" s="343"/>
      <c r="BR313" s="343"/>
      <c r="BS313" s="343"/>
      <c r="BT313" s="343"/>
      <c r="BU313" s="343"/>
      <c r="BV313" s="343"/>
      <c r="BW313" s="343"/>
      <c r="BX313" s="343"/>
    </row>
    <row r="314" spans="1:76" s="25" customFormat="1">
      <c r="A314" s="343"/>
      <c r="B314" s="343"/>
      <c r="C314" s="115"/>
      <c r="D314" s="123"/>
      <c r="E314" s="232"/>
      <c r="F314" s="232"/>
      <c r="G314" s="115"/>
      <c r="H314" s="115"/>
      <c r="I314" s="115"/>
      <c r="J314" s="115"/>
      <c r="K314" s="232"/>
      <c r="L314" s="232"/>
      <c r="M314" s="660"/>
      <c r="N314" s="355"/>
      <c r="O314" s="355"/>
      <c r="P314" s="355"/>
      <c r="Q314" s="355"/>
      <c r="R314" s="600"/>
      <c r="S314" s="600"/>
      <c r="T314" s="600"/>
      <c r="U314" s="600"/>
      <c r="V314" s="600"/>
      <c r="W314" s="600"/>
      <c r="X314" s="600"/>
      <c r="Y314" s="600"/>
      <c r="Z314" s="600"/>
      <c r="AA314" s="482"/>
      <c r="AB314" s="482"/>
      <c r="AC314" s="482"/>
      <c r="AD314" s="600">
        <v>303</v>
      </c>
      <c r="AE314" s="482"/>
      <c r="AF314" s="600"/>
      <c r="AG314" s="600"/>
      <c r="AH314" s="600"/>
      <c r="AI314" s="600"/>
      <c r="AJ314" s="600"/>
      <c r="AK314" s="600"/>
      <c r="AL314" s="600"/>
      <c r="AM314" s="600"/>
      <c r="AN314" s="600"/>
      <c r="AO314" s="600"/>
      <c r="AP314" s="600"/>
      <c r="AQ314" s="600"/>
      <c r="AR314" s="600"/>
      <c r="AS314" s="600"/>
      <c r="AT314" s="600"/>
      <c r="AU314" s="600"/>
      <c r="AV314" s="600"/>
      <c r="AW314" s="482"/>
      <c r="AX314" s="482"/>
      <c r="AY314" s="482"/>
      <c r="AZ314" s="482"/>
      <c r="BA314" s="343"/>
      <c r="BB314" s="343"/>
      <c r="BC314" s="343"/>
      <c r="BD314" s="343"/>
      <c r="BE314" s="343"/>
      <c r="BF314" s="343"/>
      <c r="BG314" s="343"/>
      <c r="BH314" s="343"/>
      <c r="BI314" s="343"/>
      <c r="BJ314" s="343"/>
      <c r="BK314" s="343"/>
      <c r="BL314" s="343"/>
      <c r="BM314" s="343"/>
      <c r="BN314" s="343"/>
      <c r="BO314" s="343"/>
      <c r="BP314" s="343"/>
      <c r="BQ314" s="343"/>
      <c r="BR314" s="343"/>
      <c r="BS314" s="343"/>
      <c r="BT314" s="343"/>
      <c r="BU314" s="343"/>
      <c r="BV314" s="343"/>
      <c r="BW314" s="343"/>
      <c r="BX314" s="343"/>
    </row>
    <row r="315" spans="1:76" s="25" customFormat="1">
      <c r="A315" s="343"/>
      <c r="B315" s="343"/>
      <c r="C315" s="64"/>
      <c r="D315" s="64"/>
      <c r="E315" s="39"/>
      <c r="F315" s="39"/>
      <c r="G315" s="39"/>
      <c r="H315" s="39"/>
      <c r="I315" s="39"/>
      <c r="J315" s="39"/>
      <c r="K315" s="39"/>
      <c r="L315" s="39"/>
      <c r="M315" s="660"/>
      <c r="N315" s="343"/>
      <c r="O315" s="343"/>
      <c r="P315" s="343"/>
      <c r="Q315" s="343"/>
      <c r="R315" s="600"/>
      <c r="S315" s="600"/>
      <c r="T315" s="600"/>
      <c r="U315" s="600"/>
      <c r="V315" s="600"/>
      <c r="W315" s="600"/>
      <c r="X315" s="600"/>
      <c r="Y315" s="600"/>
      <c r="Z315" s="600"/>
      <c r="AA315" s="482"/>
      <c r="AB315" s="482"/>
      <c r="AC315" s="482"/>
      <c r="AD315" s="600">
        <v>304</v>
      </c>
      <c r="AE315" s="482"/>
      <c r="AF315" s="600"/>
      <c r="AG315" s="600"/>
      <c r="AH315" s="600"/>
      <c r="AI315" s="600"/>
      <c r="AJ315" s="600"/>
      <c r="AK315" s="600"/>
      <c r="AL315" s="600"/>
      <c r="AM315" s="600"/>
      <c r="AN315" s="482"/>
      <c r="AO315" s="600"/>
      <c r="AP315" s="600"/>
      <c r="AQ315" s="600"/>
      <c r="AR315" s="600"/>
      <c r="AS315" s="600"/>
      <c r="AT315" s="600"/>
      <c r="AU315" s="600"/>
      <c r="AV315" s="600"/>
      <c r="AW315" s="482"/>
      <c r="AX315" s="482"/>
      <c r="AY315" s="482"/>
      <c r="AZ315" s="482"/>
      <c r="BA315" s="343"/>
      <c r="BB315" s="343"/>
      <c r="BC315" s="343"/>
      <c r="BD315" s="343"/>
      <c r="BE315" s="343"/>
      <c r="BF315" s="343"/>
      <c r="BG315" s="343"/>
      <c r="BH315" s="343"/>
      <c r="BI315" s="343"/>
      <c r="BJ315" s="343"/>
      <c r="BK315" s="343"/>
      <c r="BL315" s="343"/>
      <c r="BM315" s="343"/>
      <c r="BN315" s="343"/>
      <c r="BO315" s="343"/>
      <c r="BP315" s="343"/>
      <c r="BQ315" s="343"/>
      <c r="BR315" s="343"/>
      <c r="BS315" s="343"/>
      <c r="BT315" s="343"/>
      <c r="BU315" s="343"/>
      <c r="BV315" s="343"/>
      <c r="BW315" s="343"/>
      <c r="BX315" s="343"/>
    </row>
    <row r="316" spans="1:76" s="25" customFormat="1">
      <c r="A316" s="343"/>
      <c r="B316" s="343"/>
      <c r="C316" s="64"/>
      <c r="D316" s="64"/>
      <c r="E316" s="39"/>
      <c r="F316" s="39"/>
      <c r="G316" s="39"/>
      <c r="H316" s="39"/>
      <c r="I316" s="39"/>
      <c r="J316" s="39"/>
      <c r="K316" s="39"/>
      <c r="L316" s="39"/>
      <c r="M316" s="660"/>
      <c r="N316" s="343"/>
      <c r="O316" s="343"/>
      <c r="P316" s="343"/>
      <c r="Q316" s="343"/>
      <c r="R316" s="600"/>
      <c r="S316" s="600"/>
      <c r="T316" s="600"/>
      <c r="U316" s="600"/>
      <c r="V316" s="600"/>
      <c r="W316" s="600"/>
      <c r="X316" s="600"/>
      <c r="Y316" s="600"/>
      <c r="Z316" s="600"/>
      <c r="AA316" s="482"/>
      <c r="AB316" s="482"/>
      <c r="AC316" s="482"/>
      <c r="AD316" s="600">
        <v>305</v>
      </c>
      <c r="AE316" s="482"/>
      <c r="AF316" s="600"/>
      <c r="AG316" s="600"/>
      <c r="AH316" s="600"/>
      <c r="AI316" s="600"/>
      <c r="AJ316" s="600"/>
      <c r="AK316" s="600"/>
      <c r="AL316" s="600"/>
      <c r="AM316" s="600"/>
      <c r="AN316" s="482"/>
      <c r="AO316" s="600"/>
      <c r="AP316" s="600"/>
      <c r="AQ316" s="600"/>
      <c r="AR316" s="600"/>
      <c r="AS316" s="600"/>
      <c r="AT316" s="600"/>
      <c r="AU316" s="600"/>
      <c r="AV316" s="600"/>
      <c r="AW316" s="482"/>
      <c r="AX316" s="482"/>
      <c r="AY316" s="482"/>
      <c r="AZ316" s="482"/>
      <c r="BA316" s="343"/>
      <c r="BB316" s="343"/>
      <c r="BC316" s="343"/>
      <c r="BD316" s="343"/>
      <c r="BE316" s="343"/>
      <c r="BF316" s="343"/>
      <c r="BG316" s="343"/>
      <c r="BH316" s="343"/>
      <c r="BI316" s="343"/>
      <c r="BJ316" s="343"/>
      <c r="BK316" s="343"/>
      <c r="BL316" s="343"/>
      <c r="BM316" s="343"/>
      <c r="BN316" s="343"/>
      <c r="BO316" s="343"/>
      <c r="BP316" s="343"/>
      <c r="BQ316" s="343"/>
      <c r="BR316" s="343"/>
      <c r="BS316" s="343"/>
      <c r="BT316" s="343"/>
      <c r="BU316" s="343"/>
      <c r="BV316" s="343"/>
      <c r="BW316" s="343"/>
      <c r="BX316" s="343"/>
    </row>
    <row r="317" spans="1:76" s="25" customFormat="1">
      <c r="A317" s="343"/>
      <c r="B317" s="343"/>
      <c r="C317" s="64"/>
      <c r="D317" s="64"/>
      <c r="E317" s="39"/>
      <c r="F317" s="39"/>
      <c r="G317" s="39"/>
      <c r="H317" s="39"/>
      <c r="I317" s="39"/>
      <c r="J317" s="39"/>
      <c r="K317" s="39"/>
      <c r="L317" s="39"/>
      <c r="M317" s="660"/>
      <c r="N317" s="343"/>
      <c r="O317" s="343"/>
      <c r="P317" s="343"/>
      <c r="Q317" s="343"/>
      <c r="R317" s="600"/>
      <c r="S317" s="600"/>
      <c r="T317" s="600"/>
      <c r="U317" s="600"/>
      <c r="V317" s="600"/>
      <c r="W317" s="600"/>
      <c r="X317" s="600"/>
      <c r="Y317" s="600"/>
      <c r="Z317" s="600"/>
      <c r="AA317" s="482"/>
      <c r="AB317" s="482"/>
      <c r="AC317" s="482"/>
      <c r="AD317" s="600">
        <v>306</v>
      </c>
      <c r="AE317" s="482"/>
      <c r="AF317" s="600"/>
      <c r="AG317" s="600"/>
      <c r="AH317" s="600"/>
      <c r="AI317" s="600"/>
      <c r="AJ317" s="600"/>
      <c r="AK317" s="600"/>
      <c r="AL317" s="600"/>
      <c r="AM317" s="600"/>
      <c r="AN317" s="482"/>
      <c r="AO317" s="600"/>
      <c r="AP317" s="600"/>
      <c r="AQ317" s="600"/>
      <c r="AR317" s="600"/>
      <c r="AS317" s="600"/>
      <c r="AT317" s="600"/>
      <c r="AU317" s="600"/>
      <c r="AV317" s="600"/>
      <c r="AW317" s="482"/>
      <c r="AX317" s="482"/>
      <c r="AY317" s="482"/>
      <c r="AZ317" s="482"/>
      <c r="BA317" s="343"/>
      <c r="BB317" s="343"/>
      <c r="BC317" s="343"/>
      <c r="BD317" s="343"/>
      <c r="BE317" s="343"/>
      <c r="BF317" s="343"/>
      <c r="BG317" s="343"/>
      <c r="BH317" s="343"/>
      <c r="BI317" s="343"/>
      <c r="BJ317" s="343"/>
      <c r="BK317" s="343"/>
      <c r="BL317" s="343"/>
      <c r="BM317" s="343"/>
      <c r="BN317" s="343"/>
      <c r="BO317" s="343"/>
      <c r="BP317" s="343"/>
      <c r="BQ317" s="343"/>
      <c r="BR317" s="343"/>
      <c r="BS317" s="343"/>
      <c r="BT317" s="343"/>
      <c r="BU317" s="343"/>
      <c r="BV317" s="343"/>
      <c r="BW317" s="343"/>
      <c r="BX317" s="343"/>
    </row>
    <row r="318" spans="1:76" s="25" customFormat="1">
      <c r="A318" s="343"/>
      <c r="B318" s="343"/>
      <c r="C318" s="64"/>
      <c r="D318" s="64"/>
      <c r="E318" s="39"/>
      <c r="F318" s="39"/>
      <c r="G318" s="39"/>
      <c r="H318" s="39"/>
      <c r="I318" s="39"/>
      <c r="J318" s="39"/>
      <c r="K318" s="39"/>
      <c r="L318" s="39"/>
      <c r="M318" s="660"/>
      <c r="N318" s="343"/>
      <c r="O318" s="343"/>
      <c r="P318" s="343"/>
      <c r="Q318" s="343"/>
      <c r="R318" s="600"/>
      <c r="S318" s="600"/>
      <c r="T318" s="600"/>
      <c r="U318" s="600"/>
      <c r="V318" s="600"/>
      <c r="W318" s="600"/>
      <c r="X318" s="600"/>
      <c r="Y318" s="600"/>
      <c r="Z318" s="600"/>
      <c r="AA318" s="482"/>
      <c r="AB318" s="482"/>
      <c r="AC318" s="482"/>
      <c r="AD318" s="600">
        <v>307</v>
      </c>
      <c r="AE318" s="482"/>
      <c r="AF318" s="600"/>
      <c r="AG318" s="600"/>
      <c r="AH318" s="600"/>
      <c r="AI318" s="600"/>
      <c r="AJ318" s="600"/>
      <c r="AK318" s="600"/>
      <c r="AL318" s="600"/>
      <c r="AM318" s="600"/>
      <c r="AN318" s="482"/>
      <c r="AO318" s="600"/>
      <c r="AP318" s="600"/>
      <c r="AQ318" s="600"/>
      <c r="AR318" s="600"/>
      <c r="AS318" s="600"/>
      <c r="AT318" s="600"/>
      <c r="AU318" s="600"/>
      <c r="AV318" s="600"/>
      <c r="AW318" s="482"/>
      <c r="AX318" s="482"/>
      <c r="AY318" s="482"/>
      <c r="AZ318" s="482"/>
      <c r="BA318" s="343"/>
      <c r="BB318" s="343"/>
      <c r="BC318" s="343"/>
      <c r="BD318" s="343"/>
      <c r="BE318" s="343"/>
      <c r="BF318" s="343"/>
      <c r="BG318" s="343"/>
      <c r="BH318" s="343"/>
      <c r="BI318" s="343"/>
      <c r="BJ318" s="343"/>
      <c r="BK318" s="343"/>
      <c r="BL318" s="343"/>
      <c r="BM318" s="343"/>
      <c r="BN318" s="343"/>
      <c r="BO318" s="343"/>
      <c r="BP318" s="343"/>
      <c r="BQ318" s="343"/>
      <c r="BR318" s="343"/>
      <c r="BS318" s="343"/>
      <c r="BT318" s="343"/>
      <c r="BU318" s="343"/>
      <c r="BV318" s="343"/>
      <c r="BW318" s="343"/>
      <c r="BX318" s="343"/>
    </row>
    <row r="319" spans="1:76" s="25" customFormat="1">
      <c r="A319" s="343"/>
      <c r="B319" s="343"/>
      <c r="C319" s="64"/>
      <c r="D319" s="64"/>
      <c r="E319" s="39"/>
      <c r="F319" s="39"/>
      <c r="G319" s="39"/>
      <c r="H319" s="39"/>
      <c r="I319" s="39"/>
      <c r="J319" s="39"/>
      <c r="K319" s="39"/>
      <c r="L319" s="39"/>
      <c r="M319" s="660"/>
      <c r="N319" s="343"/>
      <c r="O319" s="343"/>
      <c r="P319" s="343"/>
      <c r="Q319" s="343"/>
      <c r="R319" s="600"/>
      <c r="S319" s="600"/>
      <c r="T319" s="600"/>
      <c r="U319" s="600"/>
      <c r="V319" s="600"/>
      <c r="W319" s="600"/>
      <c r="X319" s="600"/>
      <c r="Y319" s="600"/>
      <c r="Z319" s="600"/>
      <c r="AA319" s="482"/>
      <c r="AB319" s="482"/>
      <c r="AC319" s="482"/>
      <c r="AD319" s="600">
        <v>308</v>
      </c>
      <c r="AE319" s="482"/>
      <c r="AF319" s="600"/>
      <c r="AG319" s="600"/>
      <c r="AH319" s="600"/>
      <c r="AI319" s="600"/>
      <c r="AJ319" s="600"/>
      <c r="AK319" s="600"/>
      <c r="AL319" s="600"/>
      <c r="AM319" s="600"/>
      <c r="AN319" s="482"/>
      <c r="AO319" s="600"/>
      <c r="AP319" s="600"/>
      <c r="AQ319" s="600"/>
      <c r="AR319" s="600"/>
      <c r="AS319" s="600"/>
      <c r="AT319" s="600"/>
      <c r="AU319" s="600"/>
      <c r="AV319" s="600"/>
      <c r="AW319" s="482"/>
      <c r="AX319" s="482"/>
      <c r="AY319" s="482"/>
      <c r="AZ319" s="482"/>
      <c r="BA319" s="343"/>
      <c r="BB319" s="343"/>
      <c r="BC319" s="343"/>
      <c r="BD319" s="343"/>
      <c r="BE319" s="343"/>
      <c r="BF319" s="343"/>
      <c r="BG319" s="343"/>
      <c r="BH319" s="343"/>
      <c r="BI319" s="343"/>
      <c r="BJ319" s="343"/>
      <c r="BK319" s="343"/>
      <c r="BL319" s="343"/>
      <c r="BM319" s="343"/>
      <c r="BN319" s="343"/>
      <c r="BO319" s="343"/>
      <c r="BP319" s="343"/>
      <c r="BQ319" s="343"/>
      <c r="BR319" s="343"/>
      <c r="BS319" s="343"/>
      <c r="BT319" s="343"/>
      <c r="BU319" s="343"/>
      <c r="BV319" s="343"/>
      <c r="BW319" s="343"/>
      <c r="BX319" s="343"/>
    </row>
    <row r="320" spans="1:76" s="25" customFormat="1">
      <c r="A320" s="343"/>
      <c r="B320" s="343"/>
      <c r="C320" s="64"/>
      <c r="D320" s="64"/>
      <c r="E320" s="39"/>
      <c r="F320" s="39"/>
      <c r="G320" s="39"/>
      <c r="H320" s="39"/>
      <c r="I320" s="39"/>
      <c r="J320" s="39"/>
      <c r="K320" s="39"/>
      <c r="L320" s="39"/>
      <c r="M320" s="660"/>
      <c r="N320" s="343"/>
      <c r="O320" s="343"/>
      <c r="P320" s="343"/>
      <c r="Q320" s="343"/>
      <c r="R320" s="600"/>
      <c r="S320" s="600"/>
      <c r="T320" s="600"/>
      <c r="U320" s="600"/>
      <c r="V320" s="600"/>
      <c r="W320" s="600"/>
      <c r="X320" s="600"/>
      <c r="Y320" s="600"/>
      <c r="Z320" s="600"/>
      <c r="AA320" s="482"/>
      <c r="AB320" s="482"/>
      <c r="AC320" s="482"/>
      <c r="AD320" s="600">
        <v>309</v>
      </c>
      <c r="AE320" s="482"/>
      <c r="AF320" s="600"/>
      <c r="AG320" s="600"/>
      <c r="AH320" s="600"/>
      <c r="AI320" s="600"/>
      <c r="AJ320" s="600"/>
      <c r="AK320" s="600"/>
      <c r="AL320" s="600"/>
      <c r="AM320" s="600"/>
      <c r="AN320" s="482"/>
      <c r="AO320" s="600"/>
      <c r="AP320" s="600"/>
      <c r="AQ320" s="600"/>
      <c r="AR320" s="600"/>
      <c r="AS320" s="600"/>
      <c r="AT320" s="600"/>
      <c r="AU320" s="600"/>
      <c r="AV320" s="600"/>
      <c r="AW320" s="482"/>
      <c r="AX320" s="482"/>
      <c r="AY320" s="482"/>
      <c r="AZ320" s="482"/>
      <c r="BA320" s="343"/>
      <c r="BB320" s="343"/>
      <c r="BC320" s="343"/>
      <c r="BD320" s="343"/>
      <c r="BE320" s="343"/>
      <c r="BF320" s="343"/>
      <c r="BG320" s="343"/>
      <c r="BH320" s="343"/>
      <c r="BI320" s="343"/>
      <c r="BJ320" s="343"/>
      <c r="BK320" s="343"/>
      <c r="BL320" s="343"/>
      <c r="BM320" s="343"/>
      <c r="BN320" s="343"/>
      <c r="BO320" s="343"/>
      <c r="BP320" s="343"/>
      <c r="BQ320" s="343"/>
      <c r="BR320" s="343"/>
      <c r="BS320" s="343"/>
      <c r="BT320" s="343"/>
      <c r="BU320" s="343"/>
      <c r="BV320" s="343"/>
      <c r="BW320" s="343"/>
      <c r="BX320" s="343"/>
    </row>
    <row r="321" spans="1:76" s="25" customFormat="1">
      <c r="A321" s="343"/>
      <c r="B321" s="343"/>
      <c r="C321" s="64"/>
      <c r="D321" s="64"/>
      <c r="E321" s="39"/>
      <c r="F321" s="39"/>
      <c r="G321" s="39"/>
      <c r="H321" s="39"/>
      <c r="I321" s="39"/>
      <c r="J321" s="39"/>
      <c r="K321" s="39"/>
      <c r="L321" s="39"/>
      <c r="M321" s="660"/>
      <c r="N321" s="343"/>
      <c r="O321" s="343"/>
      <c r="P321" s="343"/>
      <c r="Q321" s="343"/>
      <c r="R321" s="600"/>
      <c r="S321" s="600"/>
      <c r="T321" s="600"/>
      <c r="U321" s="600"/>
      <c r="V321" s="600"/>
      <c r="W321" s="600"/>
      <c r="X321" s="600"/>
      <c r="Y321" s="600"/>
      <c r="Z321" s="600"/>
      <c r="AA321" s="482"/>
      <c r="AB321" s="482"/>
      <c r="AC321" s="482"/>
      <c r="AD321" s="600">
        <v>310</v>
      </c>
      <c r="AE321" s="482"/>
      <c r="AF321" s="600"/>
      <c r="AG321" s="600"/>
      <c r="AH321" s="600"/>
      <c r="AI321" s="600"/>
      <c r="AJ321" s="600"/>
      <c r="AK321" s="600"/>
      <c r="AL321" s="600"/>
      <c r="AM321" s="600"/>
      <c r="AN321" s="482"/>
      <c r="AO321" s="600"/>
      <c r="AP321" s="600"/>
      <c r="AQ321" s="600"/>
      <c r="AR321" s="600"/>
      <c r="AS321" s="600"/>
      <c r="AT321" s="600"/>
      <c r="AU321" s="600"/>
      <c r="AV321" s="600"/>
      <c r="AW321" s="482"/>
      <c r="AX321" s="482"/>
      <c r="AY321" s="482"/>
      <c r="AZ321" s="482"/>
      <c r="BA321" s="343"/>
      <c r="BB321" s="343"/>
      <c r="BC321" s="343"/>
      <c r="BD321" s="343"/>
      <c r="BE321" s="343"/>
      <c r="BF321" s="343"/>
      <c r="BG321" s="343"/>
      <c r="BH321" s="343"/>
      <c r="BI321" s="343"/>
      <c r="BJ321" s="343"/>
      <c r="BK321" s="343"/>
      <c r="BL321" s="343"/>
      <c r="BM321" s="343"/>
      <c r="BN321" s="343"/>
      <c r="BO321" s="343"/>
      <c r="BP321" s="343"/>
      <c r="BQ321" s="343"/>
      <c r="BR321" s="343"/>
      <c r="BS321" s="343"/>
      <c r="BT321" s="343"/>
      <c r="BU321" s="343"/>
      <c r="BV321" s="343"/>
      <c r="BW321" s="343"/>
      <c r="BX321" s="343"/>
    </row>
    <row r="322" spans="1:76" s="25" customFormat="1">
      <c r="A322" s="343"/>
      <c r="B322" s="343"/>
      <c r="C322" s="64"/>
      <c r="D322" s="64"/>
      <c r="E322" s="39"/>
      <c r="F322" s="39"/>
      <c r="G322" s="39"/>
      <c r="H322" s="39"/>
      <c r="I322" s="39"/>
      <c r="J322" s="39"/>
      <c r="K322" s="39"/>
      <c r="L322" s="39"/>
      <c r="M322" s="660"/>
      <c r="N322" s="343"/>
      <c r="O322" s="343"/>
      <c r="P322" s="343"/>
      <c r="Q322" s="343"/>
      <c r="R322" s="600"/>
      <c r="S322" s="600"/>
      <c r="T322" s="600"/>
      <c r="U322" s="600"/>
      <c r="V322" s="600"/>
      <c r="W322" s="600"/>
      <c r="X322" s="600"/>
      <c r="Y322" s="600"/>
      <c r="Z322" s="600"/>
      <c r="AA322" s="482"/>
      <c r="AB322" s="482"/>
      <c r="AC322" s="482"/>
      <c r="AD322" s="600">
        <v>311</v>
      </c>
      <c r="AE322" s="482"/>
      <c r="AF322" s="600"/>
      <c r="AG322" s="600"/>
      <c r="AH322" s="600"/>
      <c r="AI322" s="600"/>
      <c r="AJ322" s="600"/>
      <c r="AK322" s="600"/>
      <c r="AL322" s="600"/>
      <c r="AM322" s="600"/>
      <c r="AN322" s="482"/>
      <c r="AO322" s="600"/>
      <c r="AP322" s="600"/>
      <c r="AQ322" s="600"/>
      <c r="AR322" s="600"/>
      <c r="AS322" s="600"/>
      <c r="AT322" s="600"/>
      <c r="AU322" s="600"/>
      <c r="AV322" s="600"/>
      <c r="AW322" s="482"/>
      <c r="AX322" s="482"/>
      <c r="AY322" s="482"/>
      <c r="AZ322" s="482"/>
      <c r="BA322" s="343"/>
      <c r="BB322" s="343"/>
      <c r="BC322" s="343"/>
      <c r="BD322" s="343"/>
      <c r="BE322" s="343"/>
      <c r="BF322" s="343"/>
      <c r="BG322" s="343"/>
      <c r="BH322" s="343"/>
      <c r="BI322" s="343"/>
      <c r="BJ322" s="343"/>
      <c r="BK322" s="343"/>
      <c r="BL322" s="343"/>
      <c r="BM322" s="343"/>
      <c r="BN322" s="343"/>
      <c r="BO322" s="343"/>
      <c r="BP322" s="343"/>
      <c r="BQ322" s="343"/>
      <c r="BR322" s="343"/>
      <c r="BS322" s="343"/>
      <c r="BT322" s="343"/>
      <c r="BU322" s="343"/>
      <c r="BV322" s="343"/>
      <c r="BW322" s="343"/>
      <c r="BX322" s="343"/>
    </row>
    <row r="323" spans="1:76" s="25" customFormat="1">
      <c r="A323" s="343"/>
      <c r="B323" s="343"/>
      <c r="C323" s="64"/>
      <c r="D323" s="64"/>
      <c r="E323" s="39"/>
      <c r="F323" s="39"/>
      <c r="G323" s="39"/>
      <c r="H323" s="39"/>
      <c r="I323" s="39"/>
      <c r="J323" s="39"/>
      <c r="K323" s="39"/>
      <c r="L323" s="39"/>
      <c r="M323" s="660"/>
      <c r="N323" s="343"/>
      <c r="O323" s="343"/>
      <c r="P323" s="343"/>
      <c r="Q323" s="343"/>
      <c r="R323" s="600"/>
      <c r="S323" s="600"/>
      <c r="T323" s="600"/>
      <c r="U323" s="600"/>
      <c r="V323" s="600"/>
      <c r="W323" s="600"/>
      <c r="X323" s="600"/>
      <c r="Y323" s="600"/>
      <c r="Z323" s="600"/>
      <c r="AA323" s="482"/>
      <c r="AB323" s="482"/>
      <c r="AC323" s="482"/>
      <c r="AD323" s="600">
        <v>312</v>
      </c>
      <c r="AE323" s="482"/>
      <c r="AF323" s="600"/>
      <c r="AG323" s="600"/>
      <c r="AH323" s="600"/>
      <c r="AI323" s="600"/>
      <c r="AJ323" s="600"/>
      <c r="AK323" s="600"/>
      <c r="AL323" s="600"/>
      <c r="AM323" s="600"/>
      <c r="AN323" s="482"/>
      <c r="AO323" s="600"/>
      <c r="AP323" s="600"/>
      <c r="AQ323" s="600"/>
      <c r="AR323" s="600"/>
      <c r="AS323" s="600"/>
      <c r="AT323" s="600"/>
      <c r="AU323" s="600"/>
      <c r="AV323" s="600"/>
      <c r="AW323" s="482"/>
      <c r="AX323" s="482"/>
      <c r="AY323" s="482"/>
      <c r="AZ323" s="482"/>
      <c r="BA323" s="343"/>
      <c r="BB323" s="343"/>
      <c r="BC323" s="343"/>
      <c r="BD323" s="343"/>
      <c r="BE323" s="343"/>
      <c r="BF323" s="343"/>
      <c r="BG323" s="343"/>
      <c r="BH323" s="343"/>
      <c r="BI323" s="343"/>
      <c r="BJ323" s="343"/>
      <c r="BK323" s="343"/>
      <c r="BL323" s="343"/>
      <c r="BM323" s="343"/>
      <c r="BN323" s="343"/>
      <c r="BO323" s="343"/>
      <c r="BP323" s="343"/>
      <c r="BQ323" s="343"/>
      <c r="BR323" s="343"/>
      <c r="BS323" s="343"/>
      <c r="BT323" s="343"/>
      <c r="BU323" s="343"/>
      <c r="BV323" s="343"/>
      <c r="BW323" s="343"/>
      <c r="BX323" s="343"/>
    </row>
    <row r="324" spans="1:76" s="25" customFormat="1">
      <c r="A324" s="343"/>
      <c r="B324" s="343"/>
      <c r="C324" s="64"/>
      <c r="D324" s="64"/>
      <c r="E324" s="39"/>
      <c r="F324" s="39"/>
      <c r="G324" s="39"/>
      <c r="H324" s="39"/>
      <c r="I324" s="39"/>
      <c r="J324" s="39"/>
      <c r="K324" s="39"/>
      <c r="L324" s="39"/>
      <c r="M324" s="660"/>
      <c r="N324" s="343"/>
      <c r="O324" s="343"/>
      <c r="P324" s="343"/>
      <c r="Q324" s="343"/>
      <c r="R324" s="600"/>
      <c r="S324" s="600"/>
      <c r="T324" s="600"/>
      <c r="U324" s="600"/>
      <c r="V324" s="600"/>
      <c r="W324" s="600"/>
      <c r="X324" s="600"/>
      <c r="Y324" s="600"/>
      <c r="Z324" s="600"/>
      <c r="AA324" s="482"/>
      <c r="AB324" s="482"/>
      <c r="AC324" s="482"/>
      <c r="AD324" s="600">
        <v>313</v>
      </c>
      <c r="AE324" s="482"/>
      <c r="AF324" s="600"/>
      <c r="AG324" s="600"/>
      <c r="AH324" s="600"/>
      <c r="AI324" s="600"/>
      <c r="AJ324" s="600"/>
      <c r="AK324" s="600"/>
      <c r="AL324" s="600"/>
      <c r="AM324" s="600"/>
      <c r="AN324" s="482"/>
      <c r="AO324" s="600"/>
      <c r="AP324" s="600"/>
      <c r="AQ324" s="600"/>
      <c r="AR324" s="600"/>
      <c r="AS324" s="600"/>
      <c r="AT324" s="600"/>
      <c r="AU324" s="600"/>
      <c r="AV324" s="600"/>
      <c r="AW324" s="482"/>
      <c r="AX324" s="482"/>
      <c r="AY324" s="482"/>
      <c r="AZ324" s="482"/>
      <c r="BA324" s="343"/>
      <c r="BB324" s="343"/>
      <c r="BC324" s="343"/>
      <c r="BD324" s="343"/>
      <c r="BE324" s="343"/>
      <c r="BF324" s="343"/>
      <c r="BG324" s="343"/>
      <c r="BH324" s="343"/>
      <c r="BI324" s="343"/>
      <c r="BJ324" s="343"/>
      <c r="BK324" s="343"/>
      <c r="BL324" s="343"/>
      <c r="BM324" s="343"/>
      <c r="BN324" s="343"/>
      <c r="BO324" s="343"/>
      <c r="BP324" s="343"/>
      <c r="BQ324" s="343"/>
      <c r="BR324" s="343"/>
      <c r="BS324" s="343"/>
      <c r="BT324" s="343"/>
      <c r="BU324" s="343"/>
      <c r="BV324" s="343"/>
      <c r="BW324" s="343"/>
      <c r="BX324" s="343"/>
    </row>
    <row r="325" spans="1:76" s="25" customFormat="1">
      <c r="A325" s="343"/>
      <c r="B325" s="343"/>
      <c r="C325" s="64"/>
      <c r="D325" s="64"/>
      <c r="E325" s="39"/>
      <c r="F325" s="39"/>
      <c r="G325" s="39"/>
      <c r="H325" s="39"/>
      <c r="I325" s="39"/>
      <c r="J325" s="39"/>
      <c r="K325" s="39"/>
      <c r="L325" s="39"/>
      <c r="M325" s="660"/>
      <c r="N325" s="343"/>
      <c r="O325" s="343"/>
      <c r="P325" s="343"/>
      <c r="Q325" s="343"/>
      <c r="R325" s="600"/>
      <c r="S325" s="600"/>
      <c r="T325" s="600"/>
      <c r="U325" s="600"/>
      <c r="V325" s="600"/>
      <c r="W325" s="600"/>
      <c r="X325" s="600"/>
      <c r="Y325" s="600"/>
      <c r="Z325" s="600"/>
      <c r="AA325" s="482"/>
      <c r="AB325" s="482"/>
      <c r="AC325" s="482"/>
      <c r="AD325" s="600">
        <v>314</v>
      </c>
      <c r="AE325" s="482"/>
      <c r="AF325" s="600"/>
      <c r="AG325" s="600"/>
      <c r="AH325" s="600"/>
      <c r="AI325" s="600"/>
      <c r="AJ325" s="600"/>
      <c r="AK325" s="600"/>
      <c r="AL325" s="600"/>
      <c r="AM325" s="600"/>
      <c r="AN325" s="482"/>
      <c r="AO325" s="600"/>
      <c r="AP325" s="600"/>
      <c r="AQ325" s="600"/>
      <c r="AR325" s="600"/>
      <c r="AS325" s="600"/>
      <c r="AT325" s="600"/>
      <c r="AU325" s="600"/>
      <c r="AV325" s="600"/>
      <c r="AW325" s="482"/>
      <c r="AX325" s="482"/>
      <c r="AY325" s="482"/>
      <c r="AZ325" s="482"/>
      <c r="BA325" s="343"/>
      <c r="BB325" s="343"/>
      <c r="BC325" s="343"/>
      <c r="BD325" s="343"/>
      <c r="BE325" s="343"/>
      <c r="BF325" s="343"/>
      <c r="BG325" s="343"/>
      <c r="BH325" s="343"/>
      <c r="BI325" s="343"/>
      <c r="BJ325" s="343"/>
      <c r="BK325" s="343"/>
      <c r="BL325" s="343"/>
      <c r="BM325" s="343"/>
      <c r="BN325" s="343"/>
      <c r="BO325" s="343"/>
      <c r="BP325" s="343"/>
      <c r="BQ325" s="343"/>
      <c r="BR325" s="343"/>
      <c r="BS325" s="343"/>
      <c r="BT325" s="343"/>
      <c r="BU325" s="343"/>
      <c r="BV325" s="343"/>
      <c r="BW325" s="343"/>
      <c r="BX325" s="343"/>
    </row>
    <row r="326" spans="1:76" s="25" customFormat="1">
      <c r="A326" s="343"/>
      <c r="B326" s="343"/>
      <c r="C326" s="64"/>
      <c r="D326" s="64"/>
      <c r="E326" s="39"/>
      <c r="F326" s="39"/>
      <c r="G326" s="39"/>
      <c r="H326" s="39"/>
      <c r="I326" s="39"/>
      <c r="J326" s="39"/>
      <c r="K326" s="39"/>
      <c r="L326" s="39"/>
      <c r="M326" s="660"/>
      <c r="N326" s="343"/>
      <c r="O326" s="343"/>
      <c r="P326" s="343"/>
      <c r="Q326" s="343"/>
      <c r="R326" s="600"/>
      <c r="S326" s="600"/>
      <c r="T326" s="600"/>
      <c r="U326" s="600"/>
      <c r="V326" s="600"/>
      <c r="W326" s="600"/>
      <c r="X326" s="600"/>
      <c r="Y326" s="600"/>
      <c r="Z326" s="600"/>
      <c r="AA326" s="482"/>
      <c r="AB326" s="482"/>
      <c r="AC326" s="482"/>
      <c r="AD326" s="600">
        <v>315</v>
      </c>
      <c r="AE326" s="482"/>
      <c r="AF326" s="600"/>
      <c r="AG326" s="600"/>
      <c r="AH326" s="600"/>
      <c r="AI326" s="600"/>
      <c r="AJ326" s="600"/>
      <c r="AK326" s="600"/>
      <c r="AL326" s="600"/>
      <c r="AM326" s="600"/>
      <c r="AN326" s="482"/>
      <c r="AO326" s="600"/>
      <c r="AP326" s="600"/>
      <c r="AQ326" s="600"/>
      <c r="AR326" s="600"/>
      <c r="AS326" s="600"/>
      <c r="AT326" s="600"/>
      <c r="AU326" s="600"/>
      <c r="AV326" s="600"/>
      <c r="AW326" s="482"/>
      <c r="AX326" s="482"/>
      <c r="AY326" s="482"/>
      <c r="AZ326" s="482"/>
      <c r="BA326" s="343"/>
      <c r="BB326" s="343"/>
      <c r="BC326" s="343"/>
      <c r="BD326" s="343"/>
      <c r="BE326" s="343"/>
      <c r="BF326" s="343"/>
      <c r="BG326" s="343"/>
      <c r="BH326" s="343"/>
      <c r="BI326" s="343"/>
      <c r="BJ326" s="343"/>
      <c r="BK326" s="343"/>
      <c r="BL326" s="343"/>
      <c r="BM326" s="343"/>
      <c r="BN326" s="343"/>
      <c r="BO326" s="343"/>
      <c r="BP326" s="343"/>
      <c r="BQ326" s="343"/>
      <c r="BR326" s="343"/>
      <c r="BS326" s="343"/>
      <c r="BT326" s="343"/>
      <c r="BU326" s="343"/>
      <c r="BV326" s="343"/>
      <c r="BW326" s="343"/>
      <c r="BX326" s="343"/>
    </row>
    <row r="327" spans="1:76" s="25" customFormat="1">
      <c r="A327" s="343"/>
      <c r="B327" s="343"/>
      <c r="C327" s="64"/>
      <c r="D327" s="64"/>
      <c r="E327" s="39"/>
      <c r="F327" s="39"/>
      <c r="G327" s="39"/>
      <c r="H327" s="39"/>
      <c r="I327" s="39"/>
      <c r="J327" s="39"/>
      <c r="K327" s="39"/>
      <c r="L327" s="39"/>
      <c r="M327" s="660"/>
      <c r="N327" s="343"/>
      <c r="O327" s="343"/>
      <c r="P327" s="343"/>
      <c r="Q327" s="343"/>
      <c r="R327" s="600"/>
      <c r="S327" s="600"/>
      <c r="T327" s="600"/>
      <c r="U327" s="600"/>
      <c r="V327" s="600"/>
      <c r="W327" s="600"/>
      <c r="X327" s="600"/>
      <c r="Y327" s="600"/>
      <c r="Z327" s="600"/>
      <c r="AA327" s="482"/>
      <c r="AB327" s="482"/>
      <c r="AC327" s="482"/>
      <c r="AD327" s="600">
        <v>316</v>
      </c>
      <c r="AE327" s="482"/>
      <c r="AF327" s="600"/>
      <c r="AG327" s="600"/>
      <c r="AH327" s="600"/>
      <c r="AI327" s="600"/>
      <c r="AJ327" s="600"/>
      <c r="AK327" s="600"/>
      <c r="AL327" s="600"/>
      <c r="AM327" s="600"/>
      <c r="AN327" s="482"/>
      <c r="AO327" s="600"/>
      <c r="AP327" s="600"/>
      <c r="AQ327" s="600"/>
      <c r="AR327" s="600"/>
      <c r="AS327" s="600"/>
      <c r="AT327" s="600"/>
      <c r="AU327" s="600"/>
      <c r="AV327" s="600"/>
      <c r="AW327" s="482"/>
      <c r="AX327" s="482"/>
      <c r="AY327" s="482"/>
      <c r="AZ327" s="482"/>
      <c r="BA327" s="343"/>
      <c r="BB327" s="343"/>
      <c r="BC327" s="343"/>
      <c r="BD327" s="343"/>
      <c r="BE327" s="343"/>
      <c r="BF327" s="343"/>
      <c r="BG327" s="343"/>
      <c r="BH327" s="343"/>
      <c r="BI327" s="343"/>
      <c r="BJ327" s="343"/>
      <c r="BK327" s="343"/>
      <c r="BL327" s="343"/>
      <c r="BM327" s="343"/>
      <c r="BN327" s="343"/>
      <c r="BO327" s="343"/>
      <c r="BP327" s="343"/>
      <c r="BQ327" s="343"/>
      <c r="BR327" s="343"/>
      <c r="BS327" s="343"/>
      <c r="BT327" s="343"/>
      <c r="BU327" s="343"/>
      <c r="BV327" s="343"/>
      <c r="BW327" s="343"/>
      <c r="BX327" s="343"/>
    </row>
    <row r="328" spans="1:76" s="25" customFormat="1">
      <c r="A328" s="343"/>
      <c r="B328" s="343"/>
      <c r="C328" s="64"/>
      <c r="D328" s="64"/>
      <c r="E328" s="39"/>
      <c r="F328" s="39"/>
      <c r="G328" s="39"/>
      <c r="H328" s="39"/>
      <c r="I328" s="39"/>
      <c r="J328" s="39"/>
      <c r="K328" s="39"/>
      <c r="L328" s="39"/>
      <c r="M328" s="660"/>
      <c r="N328" s="343"/>
      <c r="O328" s="343"/>
      <c r="P328" s="343"/>
      <c r="Q328" s="343"/>
      <c r="R328" s="600"/>
      <c r="S328" s="600"/>
      <c r="T328" s="600"/>
      <c r="U328" s="600"/>
      <c r="V328" s="600"/>
      <c r="W328" s="600"/>
      <c r="X328" s="600"/>
      <c r="Y328" s="600"/>
      <c r="Z328" s="600"/>
      <c r="AA328" s="482"/>
      <c r="AB328" s="482"/>
      <c r="AC328" s="482"/>
      <c r="AD328" s="600">
        <v>317</v>
      </c>
      <c r="AE328" s="482"/>
      <c r="AF328" s="600"/>
      <c r="AG328" s="600"/>
      <c r="AH328" s="600"/>
      <c r="AI328" s="600"/>
      <c r="AJ328" s="600"/>
      <c r="AK328" s="600"/>
      <c r="AL328" s="600"/>
      <c r="AM328" s="600"/>
      <c r="AN328" s="482"/>
      <c r="AO328" s="600"/>
      <c r="AP328" s="600"/>
      <c r="AQ328" s="600"/>
      <c r="AR328" s="600"/>
      <c r="AS328" s="600"/>
      <c r="AT328" s="600"/>
      <c r="AU328" s="600"/>
      <c r="AV328" s="600"/>
      <c r="AW328" s="482"/>
      <c r="AX328" s="482"/>
      <c r="AY328" s="482"/>
      <c r="AZ328" s="482"/>
      <c r="BA328" s="343"/>
      <c r="BB328" s="343"/>
      <c r="BC328" s="343"/>
      <c r="BD328" s="343"/>
      <c r="BE328" s="343"/>
      <c r="BF328" s="343"/>
      <c r="BG328" s="343"/>
      <c r="BH328" s="343"/>
      <c r="BI328" s="343"/>
      <c r="BJ328" s="343"/>
      <c r="BK328" s="343"/>
      <c r="BL328" s="343"/>
      <c r="BM328" s="343"/>
      <c r="BN328" s="343"/>
      <c r="BO328" s="343"/>
      <c r="BP328" s="343"/>
      <c r="BQ328" s="343"/>
      <c r="BR328" s="343"/>
      <c r="BS328" s="343"/>
      <c r="BT328" s="343"/>
      <c r="BU328" s="343"/>
      <c r="BV328" s="343"/>
      <c r="BW328" s="343"/>
      <c r="BX328" s="343"/>
    </row>
    <row r="329" spans="1:76" s="25" customFormat="1">
      <c r="A329" s="343"/>
      <c r="B329" s="343"/>
      <c r="C329" s="64"/>
      <c r="D329" s="64"/>
      <c r="E329" s="39"/>
      <c r="F329" s="39"/>
      <c r="G329" s="39"/>
      <c r="H329" s="39"/>
      <c r="I329" s="39"/>
      <c r="J329" s="39"/>
      <c r="K329" s="39"/>
      <c r="L329" s="39"/>
      <c r="M329" s="660"/>
      <c r="N329" s="343"/>
      <c r="O329" s="343"/>
      <c r="P329" s="343"/>
      <c r="Q329" s="343"/>
      <c r="R329" s="600"/>
      <c r="S329" s="600"/>
      <c r="T329" s="600"/>
      <c r="U329" s="600"/>
      <c r="V329" s="600"/>
      <c r="W329" s="600"/>
      <c r="X329" s="600"/>
      <c r="Y329" s="600"/>
      <c r="Z329" s="600"/>
      <c r="AA329" s="482"/>
      <c r="AB329" s="482"/>
      <c r="AC329" s="482"/>
      <c r="AD329" s="600">
        <v>318</v>
      </c>
      <c r="AE329" s="482"/>
      <c r="AF329" s="600"/>
      <c r="AG329" s="600"/>
      <c r="AH329" s="600"/>
      <c r="AI329" s="600"/>
      <c r="AJ329" s="600"/>
      <c r="AK329" s="600"/>
      <c r="AL329" s="600"/>
      <c r="AM329" s="600"/>
      <c r="AN329" s="482"/>
      <c r="AO329" s="600"/>
      <c r="AP329" s="600"/>
      <c r="AQ329" s="600"/>
      <c r="AR329" s="600"/>
      <c r="AS329" s="600"/>
      <c r="AT329" s="600"/>
      <c r="AU329" s="600"/>
      <c r="AV329" s="600"/>
      <c r="AW329" s="482"/>
      <c r="AX329" s="482"/>
      <c r="AY329" s="482"/>
      <c r="AZ329" s="482"/>
      <c r="BA329" s="343"/>
      <c r="BB329" s="343"/>
      <c r="BC329" s="343"/>
      <c r="BD329" s="343"/>
      <c r="BE329" s="343"/>
      <c r="BF329" s="343"/>
      <c r="BG329" s="343"/>
      <c r="BH329" s="343"/>
      <c r="BI329" s="343"/>
      <c r="BJ329" s="343"/>
      <c r="BK329" s="343"/>
      <c r="BL329" s="343"/>
      <c r="BM329" s="343"/>
      <c r="BN329" s="343"/>
      <c r="BO329" s="343"/>
      <c r="BP329" s="343"/>
      <c r="BQ329" s="343"/>
      <c r="BR329" s="343"/>
      <c r="BS329" s="343"/>
      <c r="BT329" s="343"/>
      <c r="BU329" s="343"/>
      <c r="BV329" s="343"/>
      <c r="BW329" s="343"/>
      <c r="BX329" s="343"/>
    </row>
    <row r="330" spans="1:76" s="25" customFormat="1">
      <c r="A330" s="343"/>
      <c r="B330" s="343"/>
      <c r="C330" s="64"/>
      <c r="D330" s="64"/>
      <c r="E330" s="39"/>
      <c r="F330" s="39"/>
      <c r="G330" s="39"/>
      <c r="H330" s="39"/>
      <c r="I330" s="39"/>
      <c r="J330" s="39"/>
      <c r="K330" s="39"/>
      <c r="L330" s="39"/>
      <c r="M330" s="660"/>
      <c r="N330" s="343"/>
      <c r="O330" s="343"/>
      <c r="P330" s="343"/>
      <c r="Q330" s="343"/>
      <c r="R330" s="600"/>
      <c r="S330" s="600"/>
      <c r="T330" s="600"/>
      <c r="U330" s="600"/>
      <c r="V330" s="600"/>
      <c r="W330" s="600"/>
      <c r="X330" s="600"/>
      <c r="Y330" s="600"/>
      <c r="Z330" s="600"/>
      <c r="AA330" s="482"/>
      <c r="AB330" s="482"/>
      <c r="AC330" s="482"/>
      <c r="AD330" s="600">
        <v>319</v>
      </c>
      <c r="AE330" s="482"/>
      <c r="AF330" s="600"/>
      <c r="AG330" s="600"/>
      <c r="AH330" s="600"/>
      <c r="AI330" s="600"/>
      <c r="AJ330" s="600"/>
      <c r="AK330" s="600"/>
      <c r="AL330" s="600"/>
      <c r="AM330" s="600"/>
      <c r="AN330" s="482"/>
      <c r="AO330" s="600"/>
      <c r="AP330" s="600"/>
      <c r="AQ330" s="600"/>
      <c r="AR330" s="600"/>
      <c r="AS330" s="600"/>
      <c r="AT330" s="600"/>
      <c r="AU330" s="600"/>
      <c r="AV330" s="600"/>
      <c r="AW330" s="482"/>
      <c r="AX330" s="482"/>
      <c r="AY330" s="482"/>
      <c r="AZ330" s="482"/>
      <c r="BA330" s="343"/>
      <c r="BB330" s="343"/>
      <c r="BC330" s="343"/>
      <c r="BD330" s="343"/>
      <c r="BE330" s="343"/>
      <c r="BF330" s="343"/>
      <c r="BG330" s="343"/>
      <c r="BH330" s="343"/>
      <c r="BI330" s="343"/>
      <c r="BJ330" s="343"/>
      <c r="BK330" s="343"/>
      <c r="BL330" s="343"/>
      <c r="BM330" s="343"/>
      <c r="BN330" s="343"/>
      <c r="BO330" s="343"/>
      <c r="BP330" s="343"/>
      <c r="BQ330" s="343"/>
      <c r="BR330" s="343"/>
      <c r="BS330" s="343"/>
      <c r="BT330" s="343"/>
      <c r="BU330" s="343"/>
      <c r="BV330" s="343"/>
      <c r="BW330" s="343"/>
      <c r="BX330" s="343"/>
    </row>
    <row r="331" spans="1:76" s="25" customFormat="1">
      <c r="A331" s="343"/>
      <c r="B331" s="343"/>
      <c r="C331" s="64"/>
      <c r="D331" s="64"/>
      <c r="E331" s="39"/>
      <c r="F331" s="39"/>
      <c r="G331" s="39"/>
      <c r="H331" s="39"/>
      <c r="I331" s="39"/>
      <c r="J331" s="39"/>
      <c r="K331" s="39"/>
      <c r="L331" s="39"/>
      <c r="M331" s="660"/>
      <c r="N331" s="343"/>
      <c r="O331" s="343"/>
      <c r="P331" s="343"/>
      <c r="Q331" s="343"/>
      <c r="R331" s="600"/>
      <c r="S331" s="600"/>
      <c r="T331" s="600"/>
      <c r="U331" s="600"/>
      <c r="V331" s="600"/>
      <c r="W331" s="600"/>
      <c r="X331" s="600"/>
      <c r="Y331" s="600"/>
      <c r="Z331" s="600"/>
      <c r="AA331" s="482"/>
      <c r="AB331" s="482"/>
      <c r="AC331" s="482"/>
      <c r="AD331" s="600">
        <v>320</v>
      </c>
      <c r="AE331" s="482"/>
      <c r="AF331" s="600"/>
      <c r="AG331" s="600"/>
      <c r="AH331" s="600"/>
      <c r="AI331" s="600"/>
      <c r="AJ331" s="600"/>
      <c r="AK331" s="600"/>
      <c r="AL331" s="600"/>
      <c r="AM331" s="600"/>
      <c r="AN331" s="482"/>
      <c r="AO331" s="600"/>
      <c r="AP331" s="600"/>
      <c r="AQ331" s="600"/>
      <c r="AR331" s="600"/>
      <c r="AS331" s="600"/>
      <c r="AT331" s="600"/>
      <c r="AU331" s="600"/>
      <c r="AV331" s="600"/>
      <c r="AW331" s="482"/>
      <c r="AX331" s="482"/>
      <c r="AY331" s="482"/>
      <c r="AZ331" s="482"/>
      <c r="BA331" s="343"/>
      <c r="BB331" s="343"/>
      <c r="BC331" s="343"/>
      <c r="BD331" s="343"/>
      <c r="BE331" s="343"/>
      <c r="BF331" s="343"/>
      <c r="BG331" s="343"/>
      <c r="BH331" s="343"/>
      <c r="BI331" s="343"/>
      <c r="BJ331" s="343"/>
      <c r="BK331" s="343"/>
      <c r="BL331" s="343"/>
      <c r="BM331" s="343"/>
      <c r="BN331" s="343"/>
      <c r="BO331" s="343"/>
      <c r="BP331" s="343"/>
      <c r="BQ331" s="343"/>
      <c r="BR331" s="343"/>
      <c r="BS331" s="343"/>
      <c r="BT331" s="343"/>
      <c r="BU331" s="343"/>
      <c r="BV331" s="343"/>
      <c r="BW331" s="343"/>
      <c r="BX331" s="343"/>
    </row>
    <row r="332" spans="1:76" s="25" customFormat="1">
      <c r="A332" s="343"/>
      <c r="B332" s="343"/>
      <c r="C332" s="64"/>
      <c r="D332" s="64"/>
      <c r="E332" s="39"/>
      <c r="F332" s="39"/>
      <c r="G332" s="39"/>
      <c r="H332" s="39"/>
      <c r="I332" s="39"/>
      <c r="J332" s="39"/>
      <c r="K332" s="39"/>
      <c r="L332" s="39"/>
      <c r="M332" s="660"/>
      <c r="N332" s="343"/>
      <c r="O332" s="343"/>
      <c r="P332" s="343"/>
      <c r="Q332" s="343"/>
      <c r="R332" s="600"/>
      <c r="S332" s="600"/>
      <c r="T332" s="600"/>
      <c r="U332" s="600"/>
      <c r="V332" s="600"/>
      <c r="W332" s="600"/>
      <c r="X332" s="600"/>
      <c r="Y332" s="600"/>
      <c r="Z332" s="600"/>
      <c r="AA332" s="482"/>
      <c r="AB332" s="482"/>
      <c r="AC332" s="482"/>
      <c r="AD332" s="600">
        <v>321</v>
      </c>
      <c r="AE332" s="482"/>
      <c r="AF332" s="600"/>
      <c r="AG332" s="600"/>
      <c r="AH332" s="600"/>
      <c r="AI332" s="600"/>
      <c r="AJ332" s="600"/>
      <c r="AK332" s="600"/>
      <c r="AL332" s="600"/>
      <c r="AM332" s="600"/>
      <c r="AN332" s="482"/>
      <c r="AO332" s="600"/>
      <c r="AP332" s="600"/>
      <c r="AQ332" s="600"/>
      <c r="AR332" s="600"/>
      <c r="AS332" s="600"/>
      <c r="AT332" s="600"/>
      <c r="AU332" s="600"/>
      <c r="AV332" s="600"/>
      <c r="AW332" s="482"/>
      <c r="AX332" s="482"/>
      <c r="AY332" s="482"/>
      <c r="AZ332" s="482"/>
      <c r="BA332" s="343"/>
      <c r="BB332" s="343"/>
      <c r="BC332" s="343"/>
      <c r="BD332" s="343"/>
      <c r="BE332" s="343"/>
      <c r="BF332" s="343"/>
      <c r="BG332" s="343"/>
      <c r="BH332" s="343"/>
      <c r="BI332" s="343"/>
      <c r="BJ332" s="343"/>
      <c r="BK332" s="343"/>
      <c r="BL332" s="343"/>
      <c r="BM332" s="343"/>
      <c r="BN332" s="343"/>
      <c r="BO332" s="343"/>
      <c r="BP332" s="343"/>
      <c r="BQ332" s="343"/>
      <c r="BR332" s="343"/>
      <c r="BS332" s="343"/>
      <c r="BT332" s="343"/>
      <c r="BU332" s="343"/>
      <c r="BV332" s="343"/>
      <c r="BW332" s="343"/>
      <c r="BX332" s="343"/>
    </row>
    <row r="333" spans="1:76" s="25" customFormat="1">
      <c r="A333" s="343"/>
      <c r="B333" s="343"/>
      <c r="C333" s="64"/>
      <c r="D333" s="64"/>
      <c r="E333" s="39"/>
      <c r="F333" s="39"/>
      <c r="G333" s="39"/>
      <c r="H333" s="39"/>
      <c r="I333" s="39"/>
      <c r="J333" s="39"/>
      <c r="K333" s="39"/>
      <c r="L333" s="39"/>
      <c r="M333" s="660"/>
      <c r="N333" s="343"/>
      <c r="O333" s="343"/>
      <c r="P333" s="343"/>
      <c r="Q333" s="343"/>
      <c r="R333" s="600"/>
      <c r="S333" s="600"/>
      <c r="T333" s="600"/>
      <c r="U333" s="600"/>
      <c r="V333" s="600"/>
      <c r="W333" s="600"/>
      <c r="X333" s="600"/>
      <c r="Y333" s="600"/>
      <c r="Z333" s="600"/>
      <c r="AA333" s="482"/>
      <c r="AB333" s="482"/>
      <c r="AC333" s="482"/>
      <c r="AD333" s="600">
        <v>322</v>
      </c>
      <c r="AE333" s="482"/>
      <c r="AF333" s="600"/>
      <c r="AG333" s="600"/>
      <c r="AH333" s="600"/>
      <c r="AI333" s="600"/>
      <c r="AJ333" s="600"/>
      <c r="AK333" s="600"/>
      <c r="AL333" s="600"/>
      <c r="AM333" s="600"/>
      <c r="AN333" s="482"/>
      <c r="AO333" s="600"/>
      <c r="AP333" s="600"/>
      <c r="AQ333" s="600"/>
      <c r="AR333" s="600"/>
      <c r="AS333" s="600"/>
      <c r="AT333" s="600"/>
      <c r="AU333" s="600"/>
      <c r="AV333" s="600"/>
      <c r="AW333" s="482"/>
      <c r="AX333" s="482"/>
      <c r="AY333" s="482"/>
      <c r="AZ333" s="482"/>
      <c r="BA333" s="343"/>
      <c r="BB333" s="343"/>
      <c r="BC333" s="343"/>
      <c r="BD333" s="343"/>
      <c r="BE333" s="343"/>
      <c r="BF333" s="343"/>
      <c r="BG333" s="343"/>
      <c r="BH333" s="343"/>
      <c r="BI333" s="343"/>
      <c r="BJ333" s="343"/>
      <c r="BK333" s="343"/>
      <c r="BL333" s="343"/>
      <c r="BM333" s="343"/>
      <c r="BN333" s="343"/>
      <c r="BO333" s="343"/>
      <c r="BP333" s="343"/>
      <c r="BQ333" s="343"/>
      <c r="BR333" s="343"/>
      <c r="BS333" s="343"/>
      <c r="BT333" s="343"/>
      <c r="BU333" s="343"/>
      <c r="BV333" s="343"/>
      <c r="BW333" s="343"/>
      <c r="BX333" s="343"/>
    </row>
    <row r="334" spans="1:76" s="25" customFormat="1">
      <c r="A334" s="343"/>
      <c r="B334" s="343"/>
      <c r="C334" s="64"/>
      <c r="D334" s="64"/>
      <c r="E334" s="39"/>
      <c r="F334" s="39"/>
      <c r="G334" s="39"/>
      <c r="H334" s="39"/>
      <c r="I334" s="39"/>
      <c r="J334" s="39"/>
      <c r="K334" s="39"/>
      <c r="L334" s="39"/>
      <c r="M334" s="660"/>
      <c r="N334" s="343"/>
      <c r="O334" s="343"/>
      <c r="P334" s="343"/>
      <c r="Q334" s="343"/>
      <c r="R334" s="600"/>
      <c r="S334" s="600"/>
      <c r="T334" s="600"/>
      <c r="U334" s="600"/>
      <c r="V334" s="600"/>
      <c r="W334" s="600"/>
      <c r="X334" s="600"/>
      <c r="Y334" s="600"/>
      <c r="Z334" s="600"/>
      <c r="AA334" s="482"/>
      <c r="AB334" s="482"/>
      <c r="AC334" s="482"/>
      <c r="AD334" s="600">
        <v>323</v>
      </c>
      <c r="AE334" s="482"/>
      <c r="AF334" s="600"/>
      <c r="AG334" s="600"/>
      <c r="AH334" s="600"/>
      <c r="AI334" s="600"/>
      <c r="AJ334" s="600"/>
      <c r="AK334" s="600"/>
      <c r="AL334" s="600"/>
      <c r="AM334" s="600"/>
      <c r="AN334" s="482"/>
      <c r="AO334" s="600"/>
      <c r="AP334" s="600"/>
      <c r="AQ334" s="600"/>
      <c r="AR334" s="600"/>
      <c r="AS334" s="600"/>
      <c r="AT334" s="600"/>
      <c r="AU334" s="600"/>
      <c r="AV334" s="600"/>
      <c r="AW334" s="482"/>
      <c r="AX334" s="482"/>
      <c r="AY334" s="482"/>
      <c r="AZ334" s="482"/>
      <c r="BA334" s="343"/>
      <c r="BB334" s="343"/>
      <c r="BC334" s="343"/>
      <c r="BD334" s="343"/>
      <c r="BE334" s="343"/>
      <c r="BF334" s="343"/>
      <c r="BG334" s="343"/>
      <c r="BH334" s="343"/>
      <c r="BI334" s="343"/>
      <c r="BJ334" s="343"/>
      <c r="BK334" s="343"/>
      <c r="BL334" s="343"/>
      <c r="BM334" s="343"/>
      <c r="BN334" s="343"/>
      <c r="BO334" s="343"/>
      <c r="BP334" s="343"/>
      <c r="BQ334" s="343"/>
      <c r="BR334" s="343"/>
      <c r="BS334" s="343"/>
      <c r="BT334" s="343"/>
      <c r="BU334" s="343"/>
      <c r="BV334" s="343"/>
      <c r="BW334" s="343"/>
      <c r="BX334" s="343"/>
    </row>
    <row r="335" spans="1:76" s="25" customFormat="1">
      <c r="A335" s="343"/>
      <c r="B335" s="343"/>
      <c r="C335" s="64"/>
      <c r="D335" s="64"/>
      <c r="E335" s="39"/>
      <c r="F335" s="39"/>
      <c r="G335" s="39"/>
      <c r="H335" s="39"/>
      <c r="I335" s="39"/>
      <c r="J335" s="39"/>
      <c r="K335" s="39"/>
      <c r="L335" s="39"/>
      <c r="M335" s="660"/>
      <c r="N335" s="343"/>
      <c r="O335" s="343"/>
      <c r="P335" s="343"/>
      <c r="Q335" s="343"/>
      <c r="R335" s="600"/>
      <c r="S335" s="600"/>
      <c r="T335" s="600"/>
      <c r="U335" s="600"/>
      <c r="V335" s="600"/>
      <c r="W335" s="600"/>
      <c r="X335" s="600"/>
      <c r="Y335" s="600"/>
      <c r="Z335" s="600"/>
      <c r="AA335" s="482"/>
      <c r="AB335" s="482"/>
      <c r="AC335" s="482"/>
      <c r="AD335" s="600">
        <v>324</v>
      </c>
      <c r="AE335" s="482"/>
      <c r="AF335" s="600"/>
      <c r="AG335" s="600"/>
      <c r="AH335" s="600"/>
      <c r="AI335" s="600"/>
      <c r="AJ335" s="600"/>
      <c r="AK335" s="600"/>
      <c r="AL335" s="600"/>
      <c r="AM335" s="600"/>
      <c r="AN335" s="482"/>
      <c r="AO335" s="600"/>
      <c r="AP335" s="600"/>
      <c r="AQ335" s="600"/>
      <c r="AR335" s="600"/>
      <c r="AS335" s="600"/>
      <c r="AT335" s="600"/>
      <c r="AU335" s="600"/>
      <c r="AV335" s="600"/>
      <c r="AW335" s="482"/>
      <c r="AX335" s="482"/>
      <c r="AY335" s="482"/>
      <c r="AZ335" s="482"/>
      <c r="BA335" s="343"/>
      <c r="BB335" s="343"/>
      <c r="BC335" s="343"/>
      <c r="BD335" s="343"/>
      <c r="BE335" s="343"/>
      <c r="BF335" s="343"/>
      <c r="BG335" s="343"/>
      <c r="BH335" s="343"/>
      <c r="BI335" s="343"/>
      <c r="BJ335" s="343"/>
      <c r="BK335" s="343"/>
      <c r="BL335" s="343"/>
      <c r="BM335" s="343"/>
      <c r="BN335" s="343"/>
      <c r="BO335" s="343"/>
      <c r="BP335" s="343"/>
      <c r="BQ335" s="343"/>
      <c r="BR335" s="343"/>
      <c r="BS335" s="343"/>
      <c r="BT335" s="343"/>
      <c r="BU335" s="343"/>
      <c r="BV335" s="343"/>
      <c r="BW335" s="343"/>
      <c r="BX335" s="343"/>
    </row>
    <row r="336" spans="1:76" s="25" customFormat="1">
      <c r="A336" s="343"/>
      <c r="B336" s="343"/>
      <c r="C336" s="64"/>
      <c r="D336" s="64"/>
      <c r="E336" s="39"/>
      <c r="F336" s="39"/>
      <c r="G336" s="39"/>
      <c r="H336" s="39"/>
      <c r="I336" s="39"/>
      <c r="J336" s="39"/>
      <c r="K336" s="39"/>
      <c r="L336" s="39"/>
      <c r="M336" s="660"/>
      <c r="N336" s="343"/>
      <c r="O336" s="343"/>
      <c r="P336" s="343"/>
      <c r="Q336" s="343"/>
      <c r="R336" s="600"/>
      <c r="S336" s="600"/>
      <c r="T336" s="600"/>
      <c r="U336" s="600"/>
      <c r="V336" s="600"/>
      <c r="W336" s="600"/>
      <c r="X336" s="600"/>
      <c r="Y336" s="600"/>
      <c r="Z336" s="600"/>
      <c r="AA336" s="482"/>
      <c r="AB336" s="482"/>
      <c r="AC336" s="482"/>
      <c r="AD336" s="600">
        <v>325</v>
      </c>
      <c r="AE336" s="482"/>
      <c r="AF336" s="600"/>
      <c r="AG336" s="600"/>
      <c r="AH336" s="600"/>
      <c r="AI336" s="600"/>
      <c r="AJ336" s="600"/>
      <c r="AK336" s="600"/>
      <c r="AL336" s="600"/>
      <c r="AM336" s="600"/>
      <c r="AN336" s="482"/>
      <c r="AO336" s="600"/>
      <c r="AP336" s="600"/>
      <c r="AQ336" s="600"/>
      <c r="AR336" s="600"/>
      <c r="AS336" s="600"/>
      <c r="AT336" s="600"/>
      <c r="AU336" s="600"/>
      <c r="AV336" s="600"/>
      <c r="AW336" s="482"/>
      <c r="AX336" s="482"/>
      <c r="AY336" s="482"/>
      <c r="AZ336" s="482"/>
      <c r="BA336" s="343"/>
      <c r="BB336" s="343"/>
      <c r="BC336" s="343"/>
      <c r="BD336" s="343"/>
      <c r="BE336" s="343"/>
      <c r="BF336" s="343"/>
      <c r="BG336" s="343"/>
      <c r="BH336" s="343"/>
      <c r="BI336" s="343"/>
      <c r="BJ336" s="343"/>
      <c r="BK336" s="343"/>
      <c r="BL336" s="343"/>
      <c r="BM336" s="343"/>
      <c r="BN336" s="343"/>
      <c r="BO336" s="343"/>
      <c r="BP336" s="343"/>
      <c r="BQ336" s="343"/>
      <c r="BR336" s="343"/>
      <c r="BS336" s="343"/>
      <c r="BT336" s="343"/>
      <c r="BU336" s="343"/>
      <c r="BV336" s="343"/>
      <c r="BW336" s="343"/>
      <c r="BX336" s="343"/>
    </row>
    <row r="337" spans="1:76" s="25" customFormat="1">
      <c r="A337" s="343"/>
      <c r="B337" s="343"/>
      <c r="C337" s="64"/>
      <c r="D337" s="64"/>
      <c r="E337" s="39"/>
      <c r="F337" s="39"/>
      <c r="G337" s="39"/>
      <c r="H337" s="39"/>
      <c r="I337" s="39"/>
      <c r="J337" s="39"/>
      <c r="K337" s="39"/>
      <c r="L337" s="39"/>
      <c r="M337" s="660"/>
      <c r="N337" s="343"/>
      <c r="O337" s="343"/>
      <c r="P337" s="343"/>
      <c r="Q337" s="343"/>
      <c r="R337" s="600"/>
      <c r="S337" s="600"/>
      <c r="T337" s="600"/>
      <c r="U337" s="600"/>
      <c r="V337" s="600"/>
      <c r="W337" s="600"/>
      <c r="X337" s="600"/>
      <c r="Y337" s="600"/>
      <c r="Z337" s="600"/>
      <c r="AA337" s="482"/>
      <c r="AB337" s="482"/>
      <c r="AC337" s="482"/>
      <c r="AD337" s="600">
        <v>326</v>
      </c>
      <c r="AE337" s="482"/>
      <c r="AF337" s="600"/>
      <c r="AG337" s="600"/>
      <c r="AH337" s="600"/>
      <c r="AI337" s="600"/>
      <c r="AJ337" s="600"/>
      <c r="AK337" s="600"/>
      <c r="AL337" s="600"/>
      <c r="AM337" s="600"/>
      <c r="AN337" s="482"/>
      <c r="AO337" s="600"/>
      <c r="AP337" s="600"/>
      <c r="AQ337" s="600"/>
      <c r="AR337" s="600"/>
      <c r="AS337" s="600"/>
      <c r="AT337" s="600"/>
      <c r="AU337" s="600"/>
      <c r="AV337" s="600"/>
      <c r="AW337" s="482"/>
      <c r="AX337" s="482"/>
      <c r="AY337" s="482"/>
      <c r="AZ337" s="482"/>
      <c r="BA337" s="343"/>
      <c r="BB337" s="343"/>
      <c r="BC337" s="343"/>
      <c r="BD337" s="343"/>
      <c r="BE337" s="343"/>
      <c r="BF337" s="343"/>
      <c r="BG337" s="343"/>
      <c r="BH337" s="343"/>
      <c r="BI337" s="343"/>
      <c r="BJ337" s="343"/>
      <c r="BK337" s="343"/>
      <c r="BL337" s="343"/>
      <c r="BM337" s="343"/>
      <c r="BN337" s="343"/>
      <c r="BO337" s="343"/>
      <c r="BP337" s="343"/>
      <c r="BQ337" s="343"/>
      <c r="BR337" s="343"/>
      <c r="BS337" s="343"/>
      <c r="BT337" s="343"/>
      <c r="BU337" s="343"/>
      <c r="BV337" s="343"/>
      <c r="BW337" s="343"/>
      <c r="BX337" s="343"/>
    </row>
    <row r="338" spans="1:76" s="25" customFormat="1">
      <c r="A338" s="343"/>
      <c r="B338" s="343"/>
      <c r="C338" s="64"/>
      <c r="D338" s="64"/>
      <c r="E338" s="39"/>
      <c r="F338" s="39"/>
      <c r="G338" s="39"/>
      <c r="H338" s="39"/>
      <c r="I338" s="39"/>
      <c r="J338" s="39"/>
      <c r="K338" s="39"/>
      <c r="L338" s="39"/>
      <c r="M338" s="660"/>
      <c r="N338" s="343"/>
      <c r="O338" s="343"/>
      <c r="P338" s="343"/>
      <c r="Q338" s="343"/>
      <c r="R338" s="600"/>
      <c r="S338" s="600"/>
      <c r="T338" s="600"/>
      <c r="U338" s="600"/>
      <c r="V338" s="600"/>
      <c r="W338" s="600"/>
      <c r="X338" s="600"/>
      <c r="Y338" s="600"/>
      <c r="Z338" s="600"/>
      <c r="AA338" s="482"/>
      <c r="AB338" s="482"/>
      <c r="AC338" s="482"/>
      <c r="AD338" s="600">
        <v>327</v>
      </c>
      <c r="AE338" s="482"/>
      <c r="AF338" s="600"/>
      <c r="AG338" s="600"/>
      <c r="AH338" s="600"/>
      <c r="AI338" s="600"/>
      <c r="AJ338" s="600"/>
      <c r="AK338" s="600"/>
      <c r="AL338" s="600"/>
      <c r="AM338" s="600"/>
      <c r="AN338" s="482"/>
      <c r="AO338" s="600"/>
      <c r="AP338" s="600"/>
      <c r="AQ338" s="600"/>
      <c r="AR338" s="600"/>
      <c r="AS338" s="600"/>
      <c r="AT338" s="600"/>
      <c r="AU338" s="600"/>
      <c r="AV338" s="600"/>
      <c r="AW338" s="482"/>
      <c r="AX338" s="482"/>
      <c r="AY338" s="482"/>
      <c r="AZ338" s="482"/>
      <c r="BA338" s="343"/>
      <c r="BB338" s="343"/>
      <c r="BC338" s="343"/>
      <c r="BD338" s="343"/>
      <c r="BE338" s="343"/>
      <c r="BF338" s="343"/>
      <c r="BG338" s="343"/>
      <c r="BH338" s="343"/>
      <c r="BI338" s="343"/>
      <c r="BJ338" s="343"/>
      <c r="BK338" s="343"/>
      <c r="BL338" s="343"/>
      <c r="BM338" s="343"/>
      <c r="BN338" s="343"/>
      <c r="BO338" s="343"/>
      <c r="BP338" s="343"/>
      <c r="BQ338" s="343"/>
      <c r="BR338" s="343"/>
      <c r="BS338" s="343"/>
      <c r="BT338" s="343"/>
      <c r="BU338" s="343"/>
      <c r="BV338" s="343"/>
      <c r="BW338" s="343"/>
      <c r="BX338" s="343"/>
    </row>
    <row r="339" spans="1:76" s="25" customFormat="1">
      <c r="A339" s="343"/>
      <c r="B339" s="343"/>
      <c r="C339" s="64"/>
      <c r="D339" s="64"/>
      <c r="E339" s="39"/>
      <c r="F339" s="39"/>
      <c r="G339" s="39"/>
      <c r="H339" s="39"/>
      <c r="I339" s="39"/>
      <c r="J339" s="39"/>
      <c r="K339" s="39"/>
      <c r="L339" s="39"/>
      <c r="M339" s="660"/>
      <c r="N339" s="343"/>
      <c r="O339" s="343"/>
      <c r="P339" s="343"/>
      <c r="Q339" s="343"/>
      <c r="R339" s="600"/>
      <c r="S339" s="600"/>
      <c r="T339" s="600"/>
      <c r="U339" s="600"/>
      <c r="V339" s="600"/>
      <c r="W339" s="600"/>
      <c r="X339" s="600"/>
      <c r="Y339" s="600"/>
      <c r="Z339" s="600"/>
      <c r="AA339" s="482"/>
      <c r="AB339" s="482"/>
      <c r="AC339" s="482"/>
      <c r="AD339" s="600">
        <v>328</v>
      </c>
      <c r="AE339" s="482"/>
      <c r="AF339" s="600"/>
      <c r="AG339" s="600"/>
      <c r="AH339" s="600"/>
      <c r="AI339" s="600"/>
      <c r="AJ339" s="600"/>
      <c r="AK339" s="600"/>
      <c r="AL339" s="600"/>
      <c r="AM339" s="600"/>
      <c r="AN339" s="482"/>
      <c r="AO339" s="600"/>
      <c r="AP339" s="600"/>
      <c r="AQ339" s="600"/>
      <c r="AR339" s="600"/>
      <c r="AS339" s="600"/>
      <c r="AT339" s="600"/>
      <c r="AU339" s="600"/>
      <c r="AV339" s="600"/>
      <c r="AW339" s="482"/>
      <c r="AX339" s="482"/>
      <c r="AY339" s="482"/>
      <c r="AZ339" s="482"/>
      <c r="BA339" s="343"/>
      <c r="BB339" s="343"/>
      <c r="BC339" s="343"/>
      <c r="BD339" s="343"/>
      <c r="BE339" s="343"/>
      <c r="BF339" s="343"/>
      <c r="BG339" s="343"/>
      <c r="BH339" s="343"/>
      <c r="BI339" s="343"/>
      <c r="BJ339" s="343"/>
      <c r="BK339" s="343"/>
      <c r="BL339" s="343"/>
      <c r="BM339" s="343"/>
      <c r="BN339" s="343"/>
      <c r="BO339" s="343"/>
      <c r="BP339" s="343"/>
      <c r="BQ339" s="343"/>
      <c r="BR339" s="343"/>
      <c r="BS339" s="343"/>
      <c r="BT339" s="343"/>
      <c r="BU339" s="343"/>
      <c r="BV339" s="343"/>
      <c r="BW339" s="343"/>
      <c r="BX339" s="343"/>
    </row>
    <row r="340" spans="1:76" s="25" customFormat="1">
      <c r="A340" s="343"/>
      <c r="B340" s="343"/>
      <c r="C340" s="64"/>
      <c r="D340" s="64"/>
      <c r="E340" s="39"/>
      <c r="F340" s="39"/>
      <c r="G340" s="39"/>
      <c r="H340" s="39"/>
      <c r="I340" s="39"/>
      <c r="J340" s="39"/>
      <c r="K340" s="39"/>
      <c r="L340" s="39"/>
      <c r="M340" s="660"/>
      <c r="N340" s="343"/>
      <c r="O340" s="343"/>
      <c r="P340" s="343"/>
      <c r="Q340" s="343"/>
      <c r="R340" s="600"/>
      <c r="S340" s="600"/>
      <c r="T340" s="600"/>
      <c r="U340" s="600"/>
      <c r="V340" s="600"/>
      <c r="W340" s="600"/>
      <c r="X340" s="600"/>
      <c r="Y340" s="600"/>
      <c r="Z340" s="600"/>
      <c r="AA340" s="482"/>
      <c r="AB340" s="482"/>
      <c r="AC340" s="482"/>
      <c r="AD340" s="600">
        <v>329</v>
      </c>
      <c r="AE340" s="482"/>
      <c r="AF340" s="600"/>
      <c r="AG340" s="600"/>
      <c r="AH340" s="600"/>
      <c r="AI340" s="600"/>
      <c r="AJ340" s="600"/>
      <c r="AK340" s="600"/>
      <c r="AL340" s="600"/>
      <c r="AM340" s="600"/>
      <c r="AN340" s="482"/>
      <c r="AO340" s="600"/>
      <c r="AP340" s="600"/>
      <c r="AQ340" s="600"/>
      <c r="AR340" s="600"/>
      <c r="AS340" s="600"/>
      <c r="AT340" s="600"/>
      <c r="AU340" s="600"/>
      <c r="AV340" s="600"/>
      <c r="AW340" s="482"/>
      <c r="AX340" s="482"/>
      <c r="AY340" s="482"/>
      <c r="AZ340" s="482"/>
      <c r="BA340" s="343"/>
      <c r="BB340" s="343"/>
      <c r="BC340" s="343"/>
      <c r="BD340" s="343"/>
      <c r="BE340" s="343"/>
      <c r="BF340" s="343"/>
      <c r="BG340" s="343"/>
      <c r="BH340" s="343"/>
      <c r="BI340" s="343"/>
      <c r="BJ340" s="343"/>
      <c r="BK340" s="343"/>
      <c r="BL340" s="343"/>
      <c r="BM340" s="343"/>
      <c r="BN340" s="343"/>
      <c r="BO340" s="343"/>
      <c r="BP340" s="343"/>
      <c r="BQ340" s="343"/>
      <c r="BR340" s="343"/>
      <c r="BS340" s="343"/>
      <c r="BT340" s="343"/>
      <c r="BU340" s="343"/>
      <c r="BV340" s="343"/>
      <c r="BW340" s="343"/>
      <c r="BX340" s="343"/>
    </row>
    <row r="341" spans="1:76" s="25" customFormat="1">
      <c r="A341" s="343"/>
      <c r="B341" s="343"/>
      <c r="C341" s="64"/>
      <c r="D341" s="64"/>
      <c r="E341" s="39"/>
      <c r="F341" s="39"/>
      <c r="G341" s="39"/>
      <c r="H341" s="39"/>
      <c r="I341" s="39"/>
      <c r="J341" s="39"/>
      <c r="K341" s="39"/>
      <c r="L341" s="39"/>
      <c r="M341" s="660"/>
      <c r="N341" s="343"/>
      <c r="O341" s="343"/>
      <c r="P341" s="343"/>
      <c r="Q341" s="343"/>
      <c r="R341" s="600"/>
      <c r="S341" s="600"/>
      <c r="T341" s="600"/>
      <c r="U341" s="600"/>
      <c r="V341" s="600"/>
      <c r="W341" s="600"/>
      <c r="X341" s="600"/>
      <c r="Y341" s="600"/>
      <c r="Z341" s="600"/>
      <c r="AA341" s="482"/>
      <c r="AB341" s="482"/>
      <c r="AC341" s="482"/>
      <c r="AD341" s="600">
        <v>330</v>
      </c>
      <c r="AE341" s="482"/>
      <c r="AF341" s="600"/>
      <c r="AG341" s="600"/>
      <c r="AH341" s="600"/>
      <c r="AI341" s="600"/>
      <c r="AJ341" s="600"/>
      <c r="AK341" s="600"/>
      <c r="AL341" s="600"/>
      <c r="AM341" s="600"/>
      <c r="AN341" s="482"/>
      <c r="AO341" s="600"/>
      <c r="AP341" s="600"/>
      <c r="AQ341" s="600"/>
      <c r="AR341" s="600"/>
      <c r="AS341" s="600"/>
      <c r="AT341" s="600"/>
      <c r="AU341" s="600"/>
      <c r="AV341" s="600"/>
      <c r="AW341" s="482"/>
      <c r="AX341" s="482"/>
      <c r="AY341" s="482"/>
      <c r="AZ341" s="482"/>
      <c r="BA341" s="343"/>
      <c r="BB341" s="343"/>
      <c r="BC341" s="343"/>
      <c r="BD341" s="343"/>
      <c r="BE341" s="343"/>
      <c r="BF341" s="343"/>
      <c r="BG341" s="343"/>
      <c r="BH341" s="343"/>
      <c r="BI341" s="343"/>
      <c r="BJ341" s="343"/>
      <c r="BK341" s="343"/>
      <c r="BL341" s="343"/>
      <c r="BM341" s="343"/>
      <c r="BN341" s="343"/>
      <c r="BO341" s="343"/>
      <c r="BP341" s="343"/>
      <c r="BQ341" s="343"/>
      <c r="BR341" s="343"/>
      <c r="BS341" s="343"/>
      <c r="BT341" s="343"/>
      <c r="BU341" s="343"/>
      <c r="BV341" s="343"/>
      <c r="BW341" s="343"/>
      <c r="BX341" s="343"/>
    </row>
    <row r="342" spans="1:76" s="25" customFormat="1">
      <c r="A342" s="343"/>
      <c r="B342" s="343"/>
      <c r="C342" s="64"/>
      <c r="D342" s="64"/>
      <c r="E342" s="39"/>
      <c r="F342" s="39"/>
      <c r="G342" s="39"/>
      <c r="H342" s="39"/>
      <c r="I342" s="39"/>
      <c r="J342" s="39"/>
      <c r="K342" s="39"/>
      <c r="L342" s="39"/>
      <c r="M342" s="660"/>
      <c r="N342" s="343"/>
      <c r="O342" s="343"/>
      <c r="P342" s="343"/>
      <c r="Q342" s="343"/>
      <c r="R342" s="600"/>
      <c r="S342" s="600"/>
      <c r="T342" s="600"/>
      <c r="U342" s="600"/>
      <c r="V342" s="600"/>
      <c r="W342" s="600"/>
      <c r="X342" s="600"/>
      <c r="Y342" s="600"/>
      <c r="Z342" s="600"/>
      <c r="AA342" s="482"/>
      <c r="AB342" s="482"/>
      <c r="AC342" s="482"/>
      <c r="AD342" s="600">
        <v>331</v>
      </c>
      <c r="AE342" s="482"/>
      <c r="AF342" s="600"/>
      <c r="AG342" s="600"/>
      <c r="AH342" s="600"/>
      <c r="AI342" s="600"/>
      <c r="AJ342" s="600"/>
      <c r="AK342" s="600"/>
      <c r="AL342" s="600"/>
      <c r="AM342" s="600"/>
      <c r="AN342" s="482"/>
      <c r="AO342" s="600"/>
      <c r="AP342" s="600"/>
      <c r="AQ342" s="600"/>
      <c r="AR342" s="600"/>
      <c r="AS342" s="600"/>
      <c r="AT342" s="600"/>
      <c r="AU342" s="600"/>
      <c r="AV342" s="600"/>
      <c r="AW342" s="482"/>
      <c r="AX342" s="482"/>
      <c r="AY342" s="482"/>
      <c r="AZ342" s="482"/>
      <c r="BA342" s="343"/>
      <c r="BB342" s="343"/>
      <c r="BC342" s="343"/>
      <c r="BD342" s="343"/>
      <c r="BE342" s="343"/>
      <c r="BF342" s="343"/>
      <c r="BG342" s="343"/>
      <c r="BH342" s="343"/>
      <c r="BI342" s="343"/>
      <c r="BJ342" s="343"/>
      <c r="BK342" s="343"/>
      <c r="BL342" s="343"/>
      <c r="BM342" s="343"/>
      <c r="BN342" s="343"/>
      <c r="BO342" s="343"/>
      <c r="BP342" s="343"/>
      <c r="BQ342" s="343"/>
      <c r="BR342" s="343"/>
      <c r="BS342" s="343"/>
      <c r="BT342" s="343"/>
      <c r="BU342" s="343"/>
      <c r="BV342" s="343"/>
      <c r="BW342" s="343"/>
      <c r="BX342" s="343"/>
    </row>
    <row r="343" spans="1:76" s="25" customFormat="1">
      <c r="A343" s="343"/>
      <c r="B343" s="343"/>
      <c r="C343" s="64"/>
      <c r="D343" s="64"/>
      <c r="E343" s="39"/>
      <c r="F343" s="39"/>
      <c r="G343" s="39"/>
      <c r="H343" s="39"/>
      <c r="I343" s="39"/>
      <c r="J343" s="39"/>
      <c r="K343" s="39"/>
      <c r="L343" s="39"/>
      <c r="M343" s="660"/>
      <c r="N343" s="343"/>
      <c r="O343" s="343"/>
      <c r="P343" s="343"/>
      <c r="Q343" s="343"/>
      <c r="R343" s="600"/>
      <c r="S343" s="600"/>
      <c r="T343" s="600"/>
      <c r="U343" s="600"/>
      <c r="V343" s="600"/>
      <c r="W343" s="600"/>
      <c r="X343" s="600"/>
      <c r="Y343" s="600"/>
      <c r="Z343" s="600"/>
      <c r="AA343" s="482"/>
      <c r="AB343" s="482"/>
      <c r="AC343" s="482"/>
      <c r="AD343" s="600">
        <v>332</v>
      </c>
      <c r="AE343" s="482"/>
      <c r="AF343" s="600"/>
      <c r="AG343" s="600"/>
      <c r="AH343" s="600"/>
      <c r="AI343" s="600"/>
      <c r="AJ343" s="600"/>
      <c r="AK343" s="600"/>
      <c r="AL343" s="600"/>
      <c r="AM343" s="600"/>
      <c r="AN343" s="482"/>
      <c r="AO343" s="600"/>
      <c r="AP343" s="600"/>
      <c r="AQ343" s="600"/>
      <c r="AR343" s="600"/>
      <c r="AS343" s="600"/>
      <c r="AT343" s="600"/>
      <c r="AU343" s="600"/>
      <c r="AV343" s="600"/>
      <c r="AW343" s="482"/>
      <c r="AX343" s="482"/>
      <c r="AY343" s="482"/>
      <c r="AZ343" s="482"/>
      <c r="BA343" s="343"/>
      <c r="BB343" s="343"/>
      <c r="BC343" s="343"/>
      <c r="BD343" s="343"/>
      <c r="BE343" s="343"/>
      <c r="BF343" s="343"/>
      <c r="BG343" s="343"/>
      <c r="BH343" s="343"/>
      <c r="BI343" s="343"/>
      <c r="BJ343" s="343"/>
      <c r="BK343" s="343"/>
      <c r="BL343" s="343"/>
      <c r="BM343" s="343"/>
      <c r="BN343" s="343"/>
      <c r="BO343" s="343"/>
      <c r="BP343" s="343"/>
      <c r="BQ343" s="343"/>
      <c r="BR343" s="343"/>
      <c r="BS343" s="343"/>
      <c r="BT343" s="343"/>
      <c r="BU343" s="343"/>
      <c r="BV343" s="343"/>
      <c r="BW343" s="343"/>
      <c r="BX343" s="343"/>
    </row>
    <row r="344" spans="1:76" s="25" customFormat="1">
      <c r="A344" s="343"/>
      <c r="B344" s="343"/>
      <c r="C344" s="64"/>
      <c r="D344" s="64"/>
      <c r="E344" s="39"/>
      <c r="F344" s="39"/>
      <c r="G344" s="39"/>
      <c r="H344" s="39"/>
      <c r="I344" s="39"/>
      <c r="J344" s="39"/>
      <c r="K344" s="39"/>
      <c r="L344" s="39"/>
      <c r="M344" s="660"/>
      <c r="N344" s="343"/>
      <c r="O344" s="343"/>
      <c r="P344" s="343"/>
      <c r="Q344" s="343"/>
      <c r="R344" s="600"/>
      <c r="S344" s="600"/>
      <c r="T344" s="600"/>
      <c r="U344" s="600"/>
      <c r="V344" s="600"/>
      <c r="W344" s="600"/>
      <c r="X344" s="600"/>
      <c r="Y344" s="600"/>
      <c r="Z344" s="600"/>
      <c r="AA344" s="482"/>
      <c r="AB344" s="482"/>
      <c r="AC344" s="482"/>
      <c r="AD344" s="600">
        <v>333</v>
      </c>
      <c r="AE344" s="482"/>
      <c r="AF344" s="600"/>
      <c r="AG344" s="600"/>
      <c r="AH344" s="600"/>
      <c r="AI344" s="600"/>
      <c r="AJ344" s="600"/>
      <c r="AK344" s="600"/>
      <c r="AL344" s="600"/>
      <c r="AM344" s="600"/>
      <c r="AN344" s="482"/>
      <c r="AO344" s="600"/>
      <c r="AP344" s="600"/>
      <c r="AQ344" s="600"/>
      <c r="AR344" s="600"/>
      <c r="AS344" s="600"/>
      <c r="AT344" s="600"/>
      <c r="AU344" s="600"/>
      <c r="AV344" s="600"/>
      <c r="AW344" s="482"/>
      <c r="AX344" s="482"/>
      <c r="AY344" s="482"/>
      <c r="AZ344" s="482"/>
      <c r="BA344" s="343"/>
      <c r="BB344" s="343"/>
      <c r="BC344" s="343"/>
      <c r="BD344" s="343"/>
      <c r="BE344" s="343"/>
      <c r="BF344" s="343"/>
      <c r="BG344" s="343"/>
      <c r="BH344" s="343"/>
      <c r="BI344" s="343"/>
      <c r="BJ344" s="343"/>
      <c r="BK344" s="343"/>
      <c r="BL344" s="343"/>
      <c r="BM344" s="343"/>
      <c r="BN344" s="343"/>
      <c r="BO344" s="343"/>
      <c r="BP344" s="343"/>
      <c r="BQ344" s="343"/>
      <c r="BR344" s="343"/>
      <c r="BS344" s="343"/>
      <c r="BT344" s="343"/>
      <c r="BU344" s="343"/>
      <c r="BV344" s="343"/>
      <c r="BW344" s="343"/>
      <c r="BX344" s="343"/>
    </row>
    <row r="345" spans="1:76" s="25" customFormat="1">
      <c r="A345" s="343"/>
      <c r="B345" s="343"/>
      <c r="C345" s="64"/>
      <c r="D345" s="64"/>
      <c r="E345" s="39"/>
      <c r="F345" s="39"/>
      <c r="G345" s="39"/>
      <c r="H345" s="39"/>
      <c r="I345" s="39"/>
      <c r="J345" s="39"/>
      <c r="K345" s="39"/>
      <c r="L345" s="39"/>
      <c r="M345" s="660"/>
      <c r="N345" s="343"/>
      <c r="O345" s="343"/>
      <c r="P345" s="343"/>
      <c r="Q345" s="343"/>
      <c r="R345" s="600"/>
      <c r="S345" s="600"/>
      <c r="T345" s="600"/>
      <c r="U345" s="600"/>
      <c r="V345" s="600"/>
      <c r="W345" s="600"/>
      <c r="X345" s="600"/>
      <c r="Y345" s="600"/>
      <c r="Z345" s="600"/>
      <c r="AA345" s="482"/>
      <c r="AB345" s="482"/>
      <c r="AC345" s="482"/>
      <c r="AD345" s="600">
        <v>334</v>
      </c>
      <c r="AE345" s="482"/>
      <c r="AF345" s="600"/>
      <c r="AG345" s="600"/>
      <c r="AH345" s="600"/>
      <c r="AI345" s="600"/>
      <c r="AJ345" s="600"/>
      <c r="AK345" s="600"/>
      <c r="AL345" s="600"/>
      <c r="AM345" s="600"/>
      <c r="AN345" s="482"/>
      <c r="AO345" s="600"/>
      <c r="AP345" s="600"/>
      <c r="AQ345" s="600"/>
      <c r="AR345" s="600"/>
      <c r="AS345" s="600"/>
      <c r="AT345" s="600"/>
      <c r="AU345" s="600"/>
      <c r="AV345" s="600"/>
      <c r="AW345" s="482"/>
      <c r="AX345" s="482"/>
      <c r="AY345" s="482"/>
      <c r="AZ345" s="482"/>
      <c r="BA345" s="343"/>
      <c r="BB345" s="343"/>
      <c r="BC345" s="343"/>
      <c r="BD345" s="343"/>
      <c r="BE345" s="343"/>
      <c r="BF345" s="343"/>
      <c r="BG345" s="343"/>
      <c r="BH345" s="343"/>
      <c r="BI345" s="343"/>
      <c r="BJ345" s="343"/>
      <c r="BK345" s="343"/>
      <c r="BL345" s="343"/>
      <c r="BM345" s="343"/>
      <c r="BN345" s="343"/>
      <c r="BO345" s="343"/>
      <c r="BP345" s="343"/>
      <c r="BQ345" s="343"/>
      <c r="BR345" s="343"/>
      <c r="BS345" s="343"/>
      <c r="BT345" s="343"/>
      <c r="BU345" s="343"/>
      <c r="BV345" s="343"/>
      <c r="BW345" s="343"/>
      <c r="BX345" s="343"/>
    </row>
    <row r="346" spans="1:76" s="25" customFormat="1">
      <c r="A346" s="343"/>
      <c r="B346" s="343"/>
      <c r="C346" s="64"/>
      <c r="D346" s="64"/>
      <c r="E346" s="39"/>
      <c r="F346" s="39"/>
      <c r="G346" s="39"/>
      <c r="H346" s="39"/>
      <c r="I346" s="39"/>
      <c r="J346" s="39"/>
      <c r="K346" s="39"/>
      <c r="L346" s="39"/>
      <c r="M346" s="660"/>
      <c r="N346" s="343"/>
      <c r="O346" s="343"/>
      <c r="P346" s="343"/>
      <c r="Q346" s="343"/>
      <c r="R346" s="600"/>
      <c r="S346" s="600"/>
      <c r="T346" s="600"/>
      <c r="U346" s="600"/>
      <c r="V346" s="600"/>
      <c r="W346" s="600"/>
      <c r="X346" s="600"/>
      <c r="Y346" s="600"/>
      <c r="Z346" s="600"/>
      <c r="AA346" s="482"/>
      <c r="AB346" s="482"/>
      <c r="AC346" s="482"/>
      <c r="AD346" s="600">
        <v>335</v>
      </c>
      <c r="AE346" s="482"/>
      <c r="AF346" s="600"/>
      <c r="AG346" s="600"/>
      <c r="AH346" s="600"/>
      <c r="AI346" s="600"/>
      <c r="AJ346" s="600"/>
      <c r="AK346" s="600"/>
      <c r="AL346" s="600"/>
      <c r="AM346" s="600"/>
      <c r="AN346" s="482"/>
      <c r="AO346" s="600"/>
      <c r="AP346" s="600"/>
      <c r="AQ346" s="600"/>
      <c r="AR346" s="600"/>
      <c r="AS346" s="600"/>
      <c r="AT346" s="600"/>
      <c r="AU346" s="600"/>
      <c r="AV346" s="600"/>
      <c r="AW346" s="482"/>
      <c r="AX346" s="482"/>
      <c r="AY346" s="482"/>
      <c r="AZ346" s="482"/>
      <c r="BA346" s="343"/>
      <c r="BB346" s="343"/>
      <c r="BC346" s="343"/>
      <c r="BD346" s="343"/>
      <c r="BE346" s="343"/>
      <c r="BF346" s="343"/>
      <c r="BG346" s="343"/>
      <c r="BH346" s="343"/>
      <c r="BI346" s="343"/>
      <c r="BJ346" s="343"/>
      <c r="BK346" s="343"/>
      <c r="BL346" s="343"/>
      <c r="BM346" s="343"/>
      <c r="BN346" s="343"/>
      <c r="BO346" s="343"/>
      <c r="BP346" s="343"/>
      <c r="BQ346" s="343"/>
      <c r="BR346" s="343"/>
      <c r="BS346" s="343"/>
      <c r="BT346" s="343"/>
      <c r="BU346" s="343"/>
      <c r="BV346" s="343"/>
      <c r="BW346" s="343"/>
      <c r="BX346" s="343"/>
    </row>
    <row r="347" spans="1:76" s="25" customFormat="1">
      <c r="A347" s="343"/>
      <c r="B347" s="343"/>
      <c r="C347" s="64"/>
      <c r="D347" s="64"/>
      <c r="E347" s="39"/>
      <c r="F347" s="39"/>
      <c r="G347" s="39"/>
      <c r="H347" s="39"/>
      <c r="I347" s="39"/>
      <c r="J347" s="39"/>
      <c r="K347" s="39"/>
      <c r="L347" s="39"/>
      <c r="M347" s="660"/>
      <c r="N347" s="343"/>
      <c r="O347" s="343"/>
      <c r="P347" s="343"/>
      <c r="Q347" s="343"/>
      <c r="R347" s="600"/>
      <c r="S347" s="600"/>
      <c r="T347" s="600"/>
      <c r="U347" s="600"/>
      <c r="V347" s="600"/>
      <c r="W347" s="600"/>
      <c r="X347" s="600"/>
      <c r="Y347" s="600"/>
      <c r="Z347" s="600"/>
      <c r="AA347" s="482"/>
      <c r="AB347" s="482"/>
      <c r="AC347" s="482"/>
      <c r="AD347" s="600">
        <v>336</v>
      </c>
      <c r="AE347" s="482"/>
      <c r="AF347" s="600"/>
      <c r="AG347" s="600"/>
      <c r="AH347" s="600"/>
      <c r="AI347" s="600"/>
      <c r="AJ347" s="600"/>
      <c r="AK347" s="600"/>
      <c r="AL347" s="600"/>
      <c r="AM347" s="600"/>
      <c r="AN347" s="482"/>
      <c r="AO347" s="600"/>
      <c r="AP347" s="600"/>
      <c r="AQ347" s="600"/>
      <c r="AR347" s="600"/>
      <c r="AS347" s="600"/>
      <c r="AT347" s="600"/>
      <c r="AU347" s="600"/>
      <c r="AV347" s="600"/>
      <c r="AW347" s="482"/>
      <c r="AX347" s="482"/>
      <c r="AY347" s="482"/>
      <c r="AZ347" s="482"/>
      <c r="BA347" s="343"/>
      <c r="BB347" s="343"/>
      <c r="BC347" s="343"/>
      <c r="BD347" s="343"/>
      <c r="BE347" s="343"/>
      <c r="BF347" s="343"/>
      <c r="BG347" s="343"/>
      <c r="BH347" s="343"/>
      <c r="BI347" s="343"/>
      <c r="BJ347" s="343"/>
      <c r="BK347" s="343"/>
      <c r="BL347" s="343"/>
      <c r="BM347" s="343"/>
      <c r="BN347" s="343"/>
      <c r="BO347" s="343"/>
      <c r="BP347" s="343"/>
      <c r="BQ347" s="343"/>
      <c r="BR347" s="343"/>
      <c r="BS347" s="343"/>
      <c r="BT347" s="343"/>
      <c r="BU347" s="343"/>
      <c r="BV347" s="343"/>
      <c r="BW347" s="343"/>
      <c r="BX347" s="343"/>
    </row>
    <row r="348" spans="1:76" s="25" customFormat="1">
      <c r="A348" s="343"/>
      <c r="B348" s="343"/>
      <c r="C348" s="64"/>
      <c r="D348" s="64"/>
      <c r="E348" s="39"/>
      <c r="F348" s="39"/>
      <c r="G348" s="39"/>
      <c r="H348" s="39"/>
      <c r="I348" s="39"/>
      <c r="J348" s="39"/>
      <c r="K348" s="39"/>
      <c r="L348" s="39"/>
      <c r="M348" s="660"/>
      <c r="N348" s="343"/>
      <c r="O348" s="343"/>
      <c r="P348" s="343"/>
      <c r="Q348" s="343"/>
      <c r="R348" s="600"/>
      <c r="S348" s="600"/>
      <c r="T348" s="600"/>
      <c r="U348" s="600"/>
      <c r="V348" s="600"/>
      <c r="W348" s="600"/>
      <c r="X348" s="600"/>
      <c r="Y348" s="600"/>
      <c r="Z348" s="600"/>
      <c r="AA348" s="482"/>
      <c r="AB348" s="482"/>
      <c r="AC348" s="482"/>
      <c r="AD348" s="600">
        <v>337</v>
      </c>
      <c r="AE348" s="482"/>
      <c r="AF348" s="600"/>
      <c r="AG348" s="600"/>
      <c r="AH348" s="600"/>
      <c r="AI348" s="600"/>
      <c r="AJ348" s="600"/>
      <c r="AK348" s="600"/>
      <c r="AL348" s="600"/>
      <c r="AM348" s="600"/>
      <c r="AN348" s="482"/>
      <c r="AO348" s="600"/>
      <c r="AP348" s="600"/>
      <c r="AQ348" s="600"/>
      <c r="AR348" s="600"/>
      <c r="AS348" s="600"/>
      <c r="AT348" s="600"/>
      <c r="AU348" s="600"/>
      <c r="AV348" s="600"/>
      <c r="AW348" s="482"/>
      <c r="AX348" s="482"/>
      <c r="AY348" s="482"/>
      <c r="AZ348" s="482"/>
      <c r="BA348" s="343"/>
      <c r="BB348" s="343"/>
      <c r="BC348" s="343"/>
      <c r="BD348" s="343"/>
      <c r="BE348" s="343"/>
      <c r="BF348" s="343"/>
      <c r="BG348" s="343"/>
      <c r="BH348" s="343"/>
      <c r="BI348" s="343"/>
      <c r="BJ348" s="343"/>
      <c r="BK348" s="343"/>
      <c r="BL348" s="343"/>
      <c r="BM348" s="343"/>
      <c r="BN348" s="343"/>
      <c r="BO348" s="343"/>
      <c r="BP348" s="343"/>
      <c r="BQ348" s="343"/>
      <c r="BR348" s="343"/>
      <c r="BS348" s="343"/>
      <c r="BT348" s="343"/>
      <c r="BU348" s="343"/>
      <c r="BV348" s="343"/>
      <c r="BW348" s="343"/>
      <c r="BX348" s="343"/>
    </row>
    <row r="349" spans="1:76" s="25" customFormat="1">
      <c r="A349" s="343"/>
      <c r="B349" s="343"/>
      <c r="C349" s="64"/>
      <c r="D349" s="64"/>
      <c r="E349" s="39"/>
      <c r="F349" s="39"/>
      <c r="G349" s="39"/>
      <c r="H349" s="39"/>
      <c r="I349" s="39"/>
      <c r="J349" s="39"/>
      <c r="K349" s="39"/>
      <c r="L349" s="39"/>
      <c r="M349" s="660"/>
      <c r="N349" s="343"/>
      <c r="O349" s="343"/>
      <c r="P349" s="343"/>
      <c r="Q349" s="343"/>
      <c r="R349" s="600"/>
      <c r="S349" s="600"/>
      <c r="T349" s="600"/>
      <c r="U349" s="600"/>
      <c r="V349" s="600"/>
      <c r="W349" s="600"/>
      <c r="X349" s="600"/>
      <c r="Y349" s="600"/>
      <c r="Z349" s="600"/>
      <c r="AA349" s="482"/>
      <c r="AB349" s="482"/>
      <c r="AC349" s="482"/>
      <c r="AD349" s="600">
        <v>338</v>
      </c>
      <c r="AE349" s="482"/>
      <c r="AF349" s="600"/>
      <c r="AG349" s="600"/>
      <c r="AH349" s="600"/>
      <c r="AI349" s="600"/>
      <c r="AJ349" s="600"/>
      <c r="AK349" s="600"/>
      <c r="AL349" s="600"/>
      <c r="AM349" s="600"/>
      <c r="AN349" s="482"/>
      <c r="AO349" s="600"/>
      <c r="AP349" s="600"/>
      <c r="AQ349" s="600"/>
      <c r="AR349" s="600"/>
      <c r="AS349" s="600"/>
      <c r="AT349" s="600"/>
      <c r="AU349" s="600"/>
      <c r="AV349" s="600"/>
      <c r="AW349" s="482"/>
      <c r="AX349" s="482"/>
      <c r="AY349" s="482"/>
      <c r="AZ349" s="482"/>
      <c r="BA349" s="343"/>
      <c r="BB349" s="343"/>
      <c r="BC349" s="343"/>
      <c r="BD349" s="343"/>
      <c r="BE349" s="343"/>
      <c r="BF349" s="343"/>
      <c r="BG349" s="343"/>
      <c r="BH349" s="343"/>
      <c r="BI349" s="343"/>
      <c r="BJ349" s="343"/>
      <c r="BK349" s="343"/>
      <c r="BL349" s="343"/>
      <c r="BM349" s="343"/>
      <c r="BN349" s="343"/>
      <c r="BO349" s="343"/>
      <c r="BP349" s="343"/>
      <c r="BQ349" s="343"/>
      <c r="BR349" s="343"/>
      <c r="BS349" s="343"/>
      <c r="BT349" s="343"/>
      <c r="BU349" s="343"/>
      <c r="BV349" s="343"/>
      <c r="BW349" s="343"/>
      <c r="BX349" s="343"/>
    </row>
    <row r="350" spans="1:76" s="25" customFormat="1">
      <c r="A350" s="343"/>
      <c r="B350" s="343"/>
      <c r="C350" s="64"/>
      <c r="D350" s="64"/>
      <c r="E350" s="39"/>
      <c r="F350" s="39"/>
      <c r="G350" s="39"/>
      <c r="H350" s="39"/>
      <c r="I350" s="39"/>
      <c r="J350" s="39"/>
      <c r="K350" s="39"/>
      <c r="L350" s="39"/>
      <c r="M350" s="660"/>
      <c r="N350" s="343"/>
      <c r="O350" s="343"/>
      <c r="P350" s="343"/>
      <c r="Q350" s="343"/>
      <c r="R350" s="600"/>
      <c r="S350" s="600"/>
      <c r="T350" s="600"/>
      <c r="U350" s="600"/>
      <c r="V350" s="600"/>
      <c r="W350" s="600"/>
      <c r="X350" s="600"/>
      <c r="Y350" s="600"/>
      <c r="Z350" s="600"/>
      <c r="AA350" s="482"/>
      <c r="AB350" s="482"/>
      <c r="AC350" s="482"/>
      <c r="AD350" s="600">
        <v>339</v>
      </c>
      <c r="AE350" s="482"/>
      <c r="AF350" s="600"/>
      <c r="AG350" s="600"/>
      <c r="AH350" s="600"/>
      <c r="AI350" s="600"/>
      <c r="AJ350" s="600"/>
      <c r="AK350" s="600"/>
      <c r="AL350" s="600"/>
      <c r="AM350" s="600"/>
      <c r="AN350" s="482"/>
      <c r="AO350" s="600"/>
      <c r="AP350" s="600"/>
      <c r="AQ350" s="600"/>
      <c r="AR350" s="600"/>
      <c r="AS350" s="600"/>
      <c r="AT350" s="600"/>
      <c r="AU350" s="600"/>
      <c r="AV350" s="600"/>
      <c r="AW350" s="482"/>
      <c r="AX350" s="482"/>
      <c r="AY350" s="482"/>
      <c r="AZ350" s="482"/>
      <c r="BA350" s="343"/>
      <c r="BB350" s="343"/>
      <c r="BC350" s="343"/>
      <c r="BD350" s="343"/>
      <c r="BE350" s="343"/>
      <c r="BF350" s="343"/>
      <c r="BG350" s="343"/>
      <c r="BH350" s="343"/>
      <c r="BI350" s="343"/>
      <c r="BJ350" s="343"/>
      <c r="BK350" s="343"/>
      <c r="BL350" s="343"/>
      <c r="BM350" s="343"/>
      <c r="BN350" s="343"/>
      <c r="BO350" s="343"/>
      <c r="BP350" s="343"/>
      <c r="BQ350" s="343"/>
      <c r="BR350" s="343"/>
      <c r="BS350" s="343"/>
      <c r="BT350" s="343"/>
      <c r="BU350" s="343"/>
      <c r="BV350" s="343"/>
      <c r="BW350" s="343"/>
      <c r="BX350" s="343"/>
    </row>
    <row r="351" spans="1:76" s="25" customFormat="1">
      <c r="A351" s="343"/>
      <c r="B351" s="343"/>
      <c r="C351" s="64"/>
      <c r="D351" s="64"/>
      <c r="E351" s="39"/>
      <c r="F351" s="39"/>
      <c r="G351" s="39"/>
      <c r="H351" s="39"/>
      <c r="I351" s="39"/>
      <c r="J351" s="39"/>
      <c r="K351" s="39"/>
      <c r="L351" s="39"/>
      <c r="M351" s="660"/>
      <c r="N351" s="343"/>
      <c r="O351" s="343"/>
      <c r="P351" s="343"/>
      <c r="Q351" s="343"/>
      <c r="R351" s="600"/>
      <c r="S351" s="600"/>
      <c r="T351" s="600"/>
      <c r="U351" s="600"/>
      <c r="V351" s="600"/>
      <c r="W351" s="600"/>
      <c r="X351" s="600"/>
      <c r="Y351" s="600"/>
      <c r="Z351" s="600"/>
      <c r="AA351" s="482"/>
      <c r="AB351" s="482"/>
      <c r="AC351" s="482"/>
      <c r="AD351" s="600">
        <v>340</v>
      </c>
      <c r="AE351" s="482"/>
      <c r="AF351" s="600"/>
      <c r="AG351" s="600"/>
      <c r="AH351" s="600"/>
      <c r="AI351" s="600"/>
      <c r="AJ351" s="600"/>
      <c r="AK351" s="600"/>
      <c r="AL351" s="600"/>
      <c r="AM351" s="600"/>
      <c r="AN351" s="482"/>
      <c r="AO351" s="600"/>
      <c r="AP351" s="600"/>
      <c r="AQ351" s="600"/>
      <c r="AR351" s="600"/>
      <c r="AS351" s="600"/>
      <c r="AT351" s="600"/>
      <c r="AU351" s="600"/>
      <c r="AV351" s="600"/>
      <c r="AW351" s="482"/>
      <c r="AX351" s="482"/>
      <c r="AY351" s="482"/>
      <c r="AZ351" s="482"/>
      <c r="BA351" s="343"/>
      <c r="BB351" s="343"/>
      <c r="BC351" s="343"/>
      <c r="BD351" s="343"/>
      <c r="BE351" s="343"/>
      <c r="BF351" s="343"/>
      <c r="BG351" s="343"/>
      <c r="BH351" s="343"/>
      <c r="BI351" s="343"/>
      <c r="BJ351" s="343"/>
      <c r="BK351" s="343"/>
      <c r="BL351" s="343"/>
      <c r="BM351" s="343"/>
      <c r="BN351" s="343"/>
      <c r="BO351" s="343"/>
      <c r="BP351" s="343"/>
      <c r="BQ351" s="343"/>
      <c r="BR351" s="343"/>
      <c r="BS351" s="343"/>
      <c r="BT351" s="343"/>
      <c r="BU351" s="343"/>
      <c r="BV351" s="343"/>
      <c r="BW351" s="343"/>
      <c r="BX351" s="343"/>
    </row>
    <row r="352" spans="1:76" s="25" customFormat="1">
      <c r="A352" s="343"/>
      <c r="B352" s="343"/>
      <c r="C352" s="64"/>
      <c r="D352" s="64"/>
      <c r="E352" s="39"/>
      <c r="F352" s="39"/>
      <c r="G352" s="39"/>
      <c r="H352" s="39"/>
      <c r="I352" s="39"/>
      <c r="J352" s="39"/>
      <c r="K352" s="39"/>
      <c r="L352" s="39"/>
      <c r="M352" s="660"/>
      <c r="N352" s="343"/>
      <c r="O352" s="343"/>
      <c r="P352" s="343"/>
      <c r="Q352" s="343"/>
      <c r="R352" s="600"/>
      <c r="S352" s="600"/>
      <c r="T352" s="600"/>
      <c r="U352" s="600"/>
      <c r="V352" s="600"/>
      <c r="W352" s="600"/>
      <c r="X352" s="600"/>
      <c r="Y352" s="600"/>
      <c r="Z352" s="600"/>
      <c r="AA352" s="482"/>
      <c r="AB352" s="482"/>
      <c r="AC352" s="482"/>
      <c r="AD352" s="600">
        <v>341</v>
      </c>
      <c r="AE352" s="482"/>
      <c r="AF352" s="600"/>
      <c r="AG352" s="600"/>
      <c r="AH352" s="600"/>
      <c r="AI352" s="600"/>
      <c r="AJ352" s="600"/>
      <c r="AK352" s="600"/>
      <c r="AL352" s="600"/>
      <c r="AM352" s="600"/>
      <c r="AN352" s="482"/>
      <c r="AO352" s="600"/>
      <c r="AP352" s="600"/>
      <c r="AQ352" s="600"/>
      <c r="AR352" s="600"/>
      <c r="AS352" s="600"/>
      <c r="AT352" s="600"/>
      <c r="AU352" s="600"/>
      <c r="AV352" s="600"/>
      <c r="AW352" s="482"/>
      <c r="AX352" s="482"/>
      <c r="AY352" s="482"/>
      <c r="AZ352" s="482"/>
      <c r="BA352" s="343"/>
      <c r="BB352" s="343"/>
      <c r="BC352" s="343"/>
      <c r="BD352" s="343"/>
      <c r="BE352" s="343"/>
      <c r="BF352" s="343"/>
      <c r="BG352" s="343"/>
      <c r="BH352" s="343"/>
      <c r="BI352" s="343"/>
      <c r="BJ352" s="343"/>
      <c r="BK352" s="343"/>
      <c r="BL352" s="343"/>
      <c r="BM352" s="343"/>
      <c r="BN352" s="343"/>
      <c r="BO352" s="343"/>
      <c r="BP352" s="343"/>
      <c r="BQ352" s="343"/>
      <c r="BR352" s="343"/>
      <c r="BS352" s="343"/>
      <c r="BT352" s="343"/>
      <c r="BU352" s="343"/>
      <c r="BV352" s="343"/>
      <c r="BW352" s="343"/>
      <c r="BX352" s="343"/>
    </row>
    <row r="353" spans="1:76" s="25" customFormat="1">
      <c r="A353" s="343"/>
      <c r="B353" s="343"/>
      <c r="C353" s="64"/>
      <c r="D353" s="64"/>
      <c r="E353" s="39"/>
      <c r="F353" s="39"/>
      <c r="G353" s="39"/>
      <c r="H353" s="39"/>
      <c r="I353" s="39"/>
      <c r="J353" s="39"/>
      <c r="K353" s="39"/>
      <c r="L353" s="39"/>
      <c r="M353" s="660"/>
      <c r="N353" s="343"/>
      <c r="O353" s="343"/>
      <c r="P353" s="343"/>
      <c r="Q353" s="343"/>
      <c r="R353" s="600"/>
      <c r="S353" s="600"/>
      <c r="T353" s="600"/>
      <c r="U353" s="600"/>
      <c r="V353" s="600"/>
      <c r="W353" s="600"/>
      <c r="X353" s="600"/>
      <c r="Y353" s="600"/>
      <c r="Z353" s="600"/>
      <c r="AA353" s="482"/>
      <c r="AB353" s="482"/>
      <c r="AC353" s="482"/>
      <c r="AD353" s="600">
        <v>342</v>
      </c>
      <c r="AE353" s="482"/>
      <c r="AF353" s="600"/>
      <c r="AG353" s="600"/>
      <c r="AH353" s="600"/>
      <c r="AI353" s="600"/>
      <c r="AJ353" s="600"/>
      <c r="AK353" s="600"/>
      <c r="AL353" s="600"/>
      <c r="AM353" s="600"/>
      <c r="AN353" s="482"/>
      <c r="AO353" s="600"/>
      <c r="AP353" s="600"/>
      <c r="AQ353" s="600"/>
      <c r="AR353" s="600"/>
      <c r="AS353" s="600"/>
      <c r="AT353" s="600"/>
      <c r="AU353" s="600"/>
      <c r="AV353" s="600"/>
      <c r="AW353" s="482"/>
      <c r="AX353" s="482"/>
      <c r="AY353" s="482"/>
      <c r="AZ353" s="482"/>
      <c r="BA353" s="343"/>
      <c r="BB353" s="343"/>
      <c r="BC353" s="343"/>
      <c r="BD353" s="343"/>
      <c r="BE353" s="343"/>
      <c r="BF353" s="343"/>
      <c r="BG353" s="343"/>
      <c r="BH353" s="343"/>
      <c r="BI353" s="343"/>
      <c r="BJ353" s="343"/>
      <c r="BK353" s="343"/>
      <c r="BL353" s="343"/>
      <c r="BM353" s="343"/>
      <c r="BN353" s="343"/>
      <c r="BO353" s="343"/>
      <c r="BP353" s="343"/>
      <c r="BQ353" s="343"/>
      <c r="BR353" s="343"/>
      <c r="BS353" s="343"/>
      <c r="BT353" s="343"/>
      <c r="BU353" s="343"/>
      <c r="BV353" s="343"/>
      <c r="BW353" s="343"/>
      <c r="BX353" s="343"/>
    </row>
    <row r="354" spans="1:76" s="25" customFormat="1">
      <c r="A354" s="343"/>
      <c r="B354" s="343"/>
      <c r="C354" s="64"/>
      <c r="D354" s="64"/>
      <c r="E354" s="39"/>
      <c r="F354" s="39"/>
      <c r="G354" s="39"/>
      <c r="H354" s="39"/>
      <c r="I354" s="39"/>
      <c r="J354" s="39"/>
      <c r="K354" s="39"/>
      <c r="L354" s="39"/>
      <c r="M354" s="660"/>
      <c r="N354" s="343"/>
      <c r="O354" s="343"/>
      <c r="P354" s="343"/>
      <c r="Q354" s="343"/>
      <c r="R354" s="600"/>
      <c r="S354" s="600"/>
      <c r="T354" s="600"/>
      <c r="U354" s="600"/>
      <c r="V354" s="600"/>
      <c r="W354" s="600"/>
      <c r="X354" s="600"/>
      <c r="Y354" s="600"/>
      <c r="Z354" s="600"/>
      <c r="AA354" s="482"/>
      <c r="AB354" s="482"/>
      <c r="AC354" s="482"/>
      <c r="AD354" s="600">
        <v>343</v>
      </c>
      <c r="AE354" s="482"/>
      <c r="AF354" s="600"/>
      <c r="AG354" s="600"/>
      <c r="AH354" s="600"/>
      <c r="AI354" s="600"/>
      <c r="AJ354" s="600"/>
      <c r="AK354" s="600"/>
      <c r="AL354" s="600"/>
      <c r="AM354" s="600"/>
      <c r="AN354" s="482"/>
      <c r="AO354" s="600"/>
      <c r="AP354" s="600"/>
      <c r="AQ354" s="600"/>
      <c r="AR354" s="600"/>
      <c r="AS354" s="600"/>
      <c r="AT354" s="600"/>
      <c r="AU354" s="600"/>
      <c r="AV354" s="600"/>
      <c r="AW354" s="482"/>
      <c r="AX354" s="482"/>
      <c r="AY354" s="482"/>
      <c r="AZ354" s="482"/>
      <c r="BA354" s="343"/>
      <c r="BB354" s="343"/>
      <c r="BC354" s="343"/>
      <c r="BD354" s="343"/>
      <c r="BE354" s="343"/>
      <c r="BF354" s="343"/>
      <c r="BG354" s="343"/>
      <c r="BH354" s="343"/>
      <c r="BI354" s="343"/>
      <c r="BJ354" s="343"/>
      <c r="BK354" s="343"/>
      <c r="BL354" s="343"/>
      <c r="BM354" s="343"/>
      <c r="BN354" s="343"/>
      <c r="BO354" s="343"/>
      <c r="BP354" s="343"/>
      <c r="BQ354" s="343"/>
      <c r="BR354" s="343"/>
      <c r="BS354" s="343"/>
      <c r="BT354" s="343"/>
      <c r="BU354" s="343"/>
      <c r="BV354" s="343"/>
      <c r="BW354" s="343"/>
      <c r="BX354" s="343"/>
    </row>
    <row r="355" spans="1:76" s="25" customFormat="1">
      <c r="A355" s="343"/>
      <c r="B355" s="343"/>
      <c r="C355" s="64"/>
      <c r="D355" s="64"/>
      <c r="E355" s="39"/>
      <c r="F355" s="39"/>
      <c r="G355" s="39"/>
      <c r="H355" s="39"/>
      <c r="I355" s="39"/>
      <c r="J355" s="39"/>
      <c r="K355" s="39"/>
      <c r="L355" s="39"/>
      <c r="M355" s="660"/>
      <c r="N355" s="343"/>
      <c r="O355" s="343"/>
      <c r="P355" s="343"/>
      <c r="Q355" s="343"/>
      <c r="R355" s="600"/>
      <c r="S355" s="600"/>
      <c r="T355" s="600"/>
      <c r="U355" s="600"/>
      <c r="V355" s="600"/>
      <c r="W355" s="600"/>
      <c r="X355" s="600"/>
      <c r="Y355" s="600"/>
      <c r="Z355" s="600"/>
      <c r="AA355" s="482"/>
      <c r="AB355" s="482"/>
      <c r="AC355" s="482"/>
      <c r="AD355" s="600">
        <v>344</v>
      </c>
      <c r="AE355" s="482"/>
      <c r="AF355" s="600"/>
      <c r="AG355" s="600"/>
      <c r="AH355" s="600"/>
      <c r="AI355" s="600"/>
      <c r="AJ355" s="600"/>
      <c r="AK355" s="600"/>
      <c r="AL355" s="600"/>
      <c r="AM355" s="600"/>
      <c r="AN355" s="482"/>
      <c r="AO355" s="600"/>
      <c r="AP355" s="600"/>
      <c r="AQ355" s="600"/>
      <c r="AR355" s="600"/>
      <c r="AS355" s="600"/>
      <c r="AT355" s="600"/>
      <c r="AU355" s="600"/>
      <c r="AV355" s="600"/>
      <c r="AW355" s="482"/>
      <c r="AX355" s="482"/>
      <c r="AY355" s="482"/>
      <c r="AZ355" s="482"/>
      <c r="BA355" s="343"/>
      <c r="BB355" s="343"/>
      <c r="BC355" s="343"/>
      <c r="BD355" s="343"/>
      <c r="BE355" s="343"/>
      <c r="BF355" s="343"/>
      <c r="BG355" s="343"/>
      <c r="BH355" s="343"/>
      <c r="BI355" s="343"/>
      <c r="BJ355" s="343"/>
      <c r="BK355" s="343"/>
      <c r="BL355" s="343"/>
      <c r="BM355" s="343"/>
      <c r="BN355" s="343"/>
      <c r="BO355" s="343"/>
      <c r="BP355" s="343"/>
      <c r="BQ355" s="343"/>
      <c r="BR355" s="343"/>
      <c r="BS355" s="343"/>
      <c r="BT355" s="343"/>
      <c r="BU355" s="343"/>
      <c r="BV355" s="343"/>
      <c r="BW355" s="343"/>
      <c r="BX355" s="343"/>
    </row>
    <row r="356" spans="1:76" s="25" customFormat="1">
      <c r="A356" s="343"/>
      <c r="B356" s="343"/>
      <c r="C356" s="64"/>
      <c r="D356" s="64"/>
      <c r="E356" s="39"/>
      <c r="F356" s="39"/>
      <c r="G356" s="39"/>
      <c r="H356" s="39"/>
      <c r="I356" s="39"/>
      <c r="J356" s="39"/>
      <c r="K356" s="39"/>
      <c r="L356" s="39"/>
      <c r="M356" s="660"/>
      <c r="N356" s="343"/>
      <c r="O356" s="343"/>
      <c r="P356" s="343"/>
      <c r="Q356" s="343"/>
      <c r="R356" s="600"/>
      <c r="S356" s="600"/>
      <c r="T356" s="600"/>
      <c r="U356" s="600"/>
      <c r="V356" s="600"/>
      <c r="W356" s="600"/>
      <c r="X356" s="600"/>
      <c r="Y356" s="600"/>
      <c r="Z356" s="600"/>
      <c r="AA356" s="482"/>
      <c r="AB356" s="482"/>
      <c r="AC356" s="482"/>
      <c r="AD356" s="600">
        <v>345</v>
      </c>
      <c r="AE356" s="482"/>
      <c r="AF356" s="600"/>
      <c r="AG356" s="600"/>
      <c r="AH356" s="600"/>
      <c r="AI356" s="600"/>
      <c r="AJ356" s="600"/>
      <c r="AK356" s="600"/>
      <c r="AL356" s="600"/>
      <c r="AM356" s="600"/>
      <c r="AN356" s="482"/>
      <c r="AO356" s="600"/>
      <c r="AP356" s="600"/>
      <c r="AQ356" s="600"/>
      <c r="AR356" s="600"/>
      <c r="AS356" s="600"/>
      <c r="AT356" s="600"/>
      <c r="AU356" s="600"/>
      <c r="AV356" s="600"/>
      <c r="AW356" s="482"/>
      <c r="AX356" s="482"/>
      <c r="AY356" s="482"/>
      <c r="AZ356" s="482"/>
      <c r="BA356" s="343"/>
      <c r="BB356" s="343"/>
      <c r="BC356" s="343"/>
      <c r="BD356" s="343"/>
      <c r="BE356" s="343"/>
      <c r="BF356" s="343"/>
      <c r="BG356" s="343"/>
      <c r="BH356" s="343"/>
      <c r="BI356" s="343"/>
      <c r="BJ356" s="343"/>
      <c r="BK356" s="343"/>
      <c r="BL356" s="343"/>
      <c r="BM356" s="343"/>
      <c r="BN356" s="343"/>
      <c r="BO356" s="343"/>
      <c r="BP356" s="343"/>
      <c r="BQ356" s="343"/>
      <c r="BR356" s="343"/>
      <c r="BS356" s="343"/>
      <c r="BT356" s="343"/>
      <c r="BU356" s="343"/>
      <c r="BV356" s="343"/>
      <c r="BW356" s="343"/>
      <c r="BX356" s="343"/>
    </row>
    <row r="357" spans="1:76" s="25" customFormat="1">
      <c r="A357" s="343"/>
      <c r="B357" s="343"/>
      <c r="C357" s="64"/>
      <c r="D357" s="64"/>
      <c r="E357" s="39"/>
      <c r="F357" s="39"/>
      <c r="G357" s="39"/>
      <c r="H357" s="39"/>
      <c r="I357" s="39"/>
      <c r="J357" s="39"/>
      <c r="K357" s="39"/>
      <c r="L357" s="39"/>
      <c r="M357" s="660"/>
      <c r="N357" s="343"/>
      <c r="O357" s="343"/>
      <c r="P357" s="343"/>
      <c r="Q357" s="343"/>
      <c r="R357" s="600"/>
      <c r="S357" s="600"/>
      <c r="T357" s="600"/>
      <c r="U357" s="600"/>
      <c r="V357" s="600"/>
      <c r="W357" s="600"/>
      <c r="X357" s="600"/>
      <c r="Y357" s="600"/>
      <c r="Z357" s="600"/>
      <c r="AA357" s="482"/>
      <c r="AB357" s="482"/>
      <c r="AC357" s="482"/>
      <c r="AD357" s="600">
        <v>346</v>
      </c>
      <c r="AE357" s="482"/>
      <c r="AF357" s="600"/>
      <c r="AG357" s="600"/>
      <c r="AH357" s="600"/>
      <c r="AI357" s="600"/>
      <c r="AJ357" s="600"/>
      <c r="AK357" s="600"/>
      <c r="AL357" s="600"/>
      <c r="AM357" s="600"/>
      <c r="AN357" s="482"/>
      <c r="AO357" s="600"/>
      <c r="AP357" s="600"/>
      <c r="AQ357" s="600"/>
      <c r="AR357" s="600"/>
      <c r="AS357" s="600"/>
      <c r="AT357" s="600"/>
      <c r="AU357" s="600"/>
      <c r="AV357" s="600"/>
      <c r="AW357" s="482"/>
      <c r="AX357" s="482"/>
      <c r="AY357" s="482"/>
      <c r="AZ357" s="482"/>
      <c r="BA357" s="343"/>
      <c r="BB357" s="343"/>
      <c r="BC357" s="343"/>
      <c r="BD357" s="343"/>
      <c r="BE357" s="343"/>
      <c r="BF357" s="343"/>
      <c r="BG357" s="343"/>
      <c r="BH357" s="343"/>
      <c r="BI357" s="343"/>
      <c r="BJ357" s="343"/>
      <c r="BK357" s="343"/>
      <c r="BL357" s="343"/>
      <c r="BM357" s="343"/>
      <c r="BN357" s="343"/>
      <c r="BO357" s="343"/>
      <c r="BP357" s="343"/>
      <c r="BQ357" s="343"/>
      <c r="BR357" s="343"/>
      <c r="BS357" s="343"/>
      <c r="BT357" s="343"/>
      <c r="BU357" s="343"/>
      <c r="BV357" s="343"/>
      <c r="BW357" s="343"/>
      <c r="BX357" s="343"/>
    </row>
    <row r="358" spans="1:76" s="25" customFormat="1">
      <c r="A358" s="343"/>
      <c r="B358" s="343"/>
      <c r="C358" s="64"/>
      <c r="D358" s="64"/>
      <c r="E358" s="39"/>
      <c r="F358" s="39"/>
      <c r="G358" s="39"/>
      <c r="H358" s="39"/>
      <c r="I358" s="39"/>
      <c r="J358" s="39"/>
      <c r="K358" s="39"/>
      <c r="L358" s="39"/>
      <c r="M358" s="660"/>
      <c r="N358" s="343"/>
      <c r="O358" s="343"/>
      <c r="P358" s="343"/>
      <c r="Q358" s="343"/>
      <c r="R358" s="600"/>
      <c r="S358" s="600"/>
      <c r="T358" s="600"/>
      <c r="U358" s="600"/>
      <c r="V358" s="600"/>
      <c r="W358" s="600"/>
      <c r="X358" s="600"/>
      <c r="Y358" s="600"/>
      <c r="Z358" s="600"/>
      <c r="AA358" s="482"/>
      <c r="AB358" s="482"/>
      <c r="AC358" s="482"/>
      <c r="AD358" s="600">
        <v>347</v>
      </c>
      <c r="AE358" s="482"/>
      <c r="AF358" s="600"/>
      <c r="AG358" s="600"/>
      <c r="AH358" s="600"/>
      <c r="AI358" s="600"/>
      <c r="AJ358" s="600"/>
      <c r="AK358" s="600"/>
      <c r="AL358" s="600"/>
      <c r="AM358" s="600"/>
      <c r="AN358" s="482"/>
      <c r="AO358" s="600"/>
      <c r="AP358" s="600"/>
      <c r="AQ358" s="600"/>
      <c r="AR358" s="600"/>
      <c r="AS358" s="600"/>
      <c r="AT358" s="600"/>
      <c r="AU358" s="600"/>
      <c r="AV358" s="600"/>
      <c r="AW358" s="482"/>
      <c r="AX358" s="482"/>
      <c r="AY358" s="482"/>
      <c r="AZ358" s="482"/>
      <c r="BA358" s="343"/>
      <c r="BB358" s="343"/>
      <c r="BC358" s="343"/>
      <c r="BD358" s="343"/>
      <c r="BE358" s="343"/>
      <c r="BF358" s="343"/>
      <c r="BG358" s="343"/>
      <c r="BH358" s="343"/>
      <c r="BI358" s="343"/>
      <c r="BJ358" s="343"/>
      <c r="BK358" s="343"/>
      <c r="BL358" s="343"/>
      <c r="BM358" s="343"/>
      <c r="BN358" s="343"/>
      <c r="BO358" s="343"/>
      <c r="BP358" s="343"/>
      <c r="BQ358" s="343"/>
      <c r="BR358" s="343"/>
      <c r="BS358" s="343"/>
      <c r="BT358" s="343"/>
      <c r="BU358" s="343"/>
      <c r="BV358" s="343"/>
      <c r="BW358" s="343"/>
      <c r="BX358" s="343"/>
    </row>
    <row r="359" spans="1:76" s="25" customFormat="1">
      <c r="A359" s="343"/>
      <c r="B359" s="343"/>
      <c r="C359" s="64"/>
      <c r="D359" s="64"/>
      <c r="E359" s="39"/>
      <c r="F359" s="39"/>
      <c r="G359" s="39"/>
      <c r="H359" s="39"/>
      <c r="I359" s="39"/>
      <c r="J359" s="39"/>
      <c r="K359" s="39"/>
      <c r="L359" s="39"/>
      <c r="M359" s="660"/>
      <c r="N359" s="343"/>
      <c r="O359" s="343"/>
      <c r="P359" s="343"/>
      <c r="Q359" s="343"/>
      <c r="R359" s="600"/>
      <c r="S359" s="600"/>
      <c r="T359" s="600"/>
      <c r="U359" s="600"/>
      <c r="V359" s="600"/>
      <c r="W359" s="600"/>
      <c r="X359" s="600"/>
      <c r="Y359" s="600"/>
      <c r="Z359" s="600"/>
      <c r="AA359" s="482"/>
      <c r="AB359" s="482"/>
      <c r="AC359" s="482"/>
      <c r="AD359" s="600">
        <v>348</v>
      </c>
      <c r="AE359" s="482"/>
      <c r="AF359" s="600"/>
      <c r="AG359" s="600"/>
      <c r="AH359" s="600"/>
      <c r="AI359" s="600"/>
      <c r="AJ359" s="600"/>
      <c r="AK359" s="600"/>
      <c r="AL359" s="600"/>
      <c r="AM359" s="600"/>
      <c r="AN359" s="482"/>
      <c r="AO359" s="600"/>
      <c r="AP359" s="600"/>
      <c r="AQ359" s="600"/>
      <c r="AR359" s="600"/>
      <c r="AS359" s="600"/>
      <c r="AT359" s="600"/>
      <c r="AU359" s="600"/>
      <c r="AV359" s="600"/>
      <c r="AW359" s="482"/>
      <c r="AX359" s="482"/>
      <c r="AY359" s="482"/>
      <c r="AZ359" s="482"/>
      <c r="BA359" s="343"/>
      <c r="BB359" s="343"/>
      <c r="BC359" s="343"/>
      <c r="BD359" s="343"/>
      <c r="BE359" s="343"/>
      <c r="BF359" s="343"/>
      <c r="BG359" s="343"/>
      <c r="BH359" s="343"/>
      <c r="BI359" s="343"/>
      <c r="BJ359" s="343"/>
      <c r="BK359" s="343"/>
      <c r="BL359" s="343"/>
      <c r="BM359" s="343"/>
      <c r="BN359" s="343"/>
      <c r="BO359" s="343"/>
      <c r="BP359" s="343"/>
      <c r="BQ359" s="343"/>
      <c r="BR359" s="343"/>
      <c r="BS359" s="343"/>
      <c r="BT359" s="343"/>
      <c r="BU359" s="343"/>
      <c r="BV359" s="343"/>
      <c r="BW359" s="343"/>
      <c r="BX359" s="343"/>
    </row>
    <row r="360" spans="1:76" s="25" customFormat="1">
      <c r="A360" s="343"/>
      <c r="B360" s="343"/>
      <c r="C360" s="64"/>
      <c r="D360" s="64"/>
      <c r="E360" s="39"/>
      <c r="F360" s="39"/>
      <c r="G360" s="39"/>
      <c r="H360" s="39"/>
      <c r="I360" s="39"/>
      <c r="J360" s="39"/>
      <c r="K360" s="39"/>
      <c r="L360" s="39"/>
      <c r="M360" s="660"/>
      <c r="N360" s="343"/>
      <c r="O360" s="343"/>
      <c r="P360" s="343"/>
      <c r="Q360" s="343"/>
      <c r="R360" s="600"/>
      <c r="S360" s="600"/>
      <c r="T360" s="600"/>
      <c r="U360" s="600"/>
      <c r="V360" s="600"/>
      <c r="W360" s="600"/>
      <c r="X360" s="600"/>
      <c r="Y360" s="600"/>
      <c r="Z360" s="600"/>
      <c r="AA360" s="482"/>
      <c r="AB360" s="482"/>
      <c r="AC360" s="482"/>
      <c r="AD360" s="600">
        <v>349</v>
      </c>
      <c r="AE360" s="482"/>
      <c r="AF360" s="600"/>
      <c r="AG360" s="600"/>
      <c r="AH360" s="600"/>
      <c r="AI360" s="600"/>
      <c r="AJ360" s="600"/>
      <c r="AK360" s="600"/>
      <c r="AL360" s="600"/>
      <c r="AM360" s="600"/>
      <c r="AN360" s="482"/>
      <c r="AO360" s="600"/>
      <c r="AP360" s="600"/>
      <c r="AQ360" s="600"/>
      <c r="AR360" s="600"/>
      <c r="AS360" s="600"/>
      <c r="AT360" s="600"/>
      <c r="AU360" s="600"/>
      <c r="AV360" s="600"/>
      <c r="AW360" s="482"/>
      <c r="AX360" s="482"/>
      <c r="AY360" s="482"/>
      <c r="AZ360" s="482"/>
      <c r="BA360" s="343"/>
      <c r="BB360" s="343"/>
      <c r="BC360" s="343"/>
      <c r="BD360" s="343"/>
      <c r="BE360" s="343"/>
      <c r="BF360" s="343"/>
      <c r="BG360" s="343"/>
      <c r="BH360" s="343"/>
      <c r="BI360" s="343"/>
      <c r="BJ360" s="343"/>
      <c r="BK360" s="343"/>
      <c r="BL360" s="343"/>
      <c r="BM360" s="343"/>
      <c r="BN360" s="343"/>
      <c r="BO360" s="343"/>
      <c r="BP360" s="343"/>
      <c r="BQ360" s="343"/>
      <c r="BR360" s="343"/>
      <c r="BS360" s="343"/>
      <c r="BT360" s="343"/>
      <c r="BU360" s="343"/>
      <c r="BV360" s="343"/>
      <c r="BW360" s="343"/>
      <c r="BX360" s="343"/>
    </row>
    <row r="361" spans="1:76" s="25" customFormat="1">
      <c r="A361" s="343"/>
      <c r="B361" s="343"/>
      <c r="C361" s="64"/>
      <c r="D361" s="64"/>
      <c r="E361" s="39"/>
      <c r="F361" s="39"/>
      <c r="G361" s="39"/>
      <c r="H361" s="39"/>
      <c r="I361" s="39"/>
      <c r="J361" s="39"/>
      <c r="K361" s="39"/>
      <c r="L361" s="39"/>
      <c r="M361" s="660"/>
      <c r="N361" s="343"/>
      <c r="O361" s="343"/>
      <c r="P361" s="343"/>
      <c r="Q361" s="343"/>
      <c r="R361" s="600"/>
      <c r="S361" s="600"/>
      <c r="T361" s="600"/>
      <c r="U361" s="600"/>
      <c r="V361" s="600"/>
      <c r="W361" s="600"/>
      <c r="X361" s="600"/>
      <c r="Y361" s="600"/>
      <c r="Z361" s="600"/>
      <c r="AA361" s="482"/>
      <c r="AB361" s="482"/>
      <c r="AC361" s="482"/>
      <c r="AD361" s="600">
        <v>350</v>
      </c>
      <c r="AE361" s="482"/>
      <c r="AF361" s="600"/>
      <c r="AG361" s="600"/>
      <c r="AH361" s="600"/>
      <c r="AI361" s="600"/>
      <c r="AJ361" s="600"/>
      <c r="AK361" s="600"/>
      <c r="AL361" s="600"/>
      <c r="AM361" s="600"/>
      <c r="AN361" s="482"/>
      <c r="AO361" s="600"/>
      <c r="AP361" s="600"/>
      <c r="AQ361" s="600"/>
      <c r="AR361" s="600"/>
      <c r="AS361" s="600"/>
      <c r="AT361" s="600"/>
      <c r="AU361" s="600"/>
      <c r="AV361" s="600"/>
      <c r="AW361" s="482"/>
      <c r="AX361" s="482"/>
      <c r="AY361" s="482"/>
      <c r="AZ361" s="482"/>
      <c r="BA361" s="343"/>
      <c r="BB361" s="343"/>
      <c r="BC361" s="343"/>
      <c r="BD361" s="343"/>
      <c r="BE361" s="343"/>
      <c r="BF361" s="343"/>
      <c r="BG361" s="343"/>
      <c r="BH361" s="343"/>
      <c r="BI361" s="343"/>
      <c r="BJ361" s="343"/>
      <c r="BK361" s="343"/>
      <c r="BL361" s="343"/>
      <c r="BM361" s="343"/>
      <c r="BN361" s="343"/>
      <c r="BO361" s="343"/>
      <c r="BP361" s="343"/>
      <c r="BQ361" s="343"/>
      <c r="BR361" s="343"/>
      <c r="BS361" s="343"/>
      <c r="BT361" s="343"/>
      <c r="BU361" s="343"/>
      <c r="BV361" s="343"/>
      <c r="BW361" s="343"/>
      <c r="BX361" s="343"/>
    </row>
    <row r="362" spans="1:76" s="25" customFormat="1">
      <c r="A362" s="343"/>
      <c r="B362" s="343"/>
      <c r="C362" s="64"/>
      <c r="D362" s="64"/>
      <c r="E362" s="39"/>
      <c r="F362" s="39"/>
      <c r="G362" s="39"/>
      <c r="H362" s="39"/>
      <c r="I362" s="39"/>
      <c r="J362" s="39"/>
      <c r="K362" s="39"/>
      <c r="L362" s="39"/>
      <c r="M362" s="660"/>
      <c r="N362" s="343"/>
      <c r="O362" s="343"/>
      <c r="P362" s="343"/>
      <c r="Q362" s="343"/>
      <c r="R362" s="600"/>
      <c r="S362" s="600"/>
      <c r="T362" s="600"/>
      <c r="U362" s="600"/>
      <c r="V362" s="600"/>
      <c r="W362" s="600"/>
      <c r="X362" s="600"/>
      <c r="Y362" s="600"/>
      <c r="Z362" s="600"/>
      <c r="AA362" s="482"/>
      <c r="AB362" s="482"/>
      <c r="AC362" s="482"/>
      <c r="AD362" s="600">
        <v>351</v>
      </c>
      <c r="AE362" s="482"/>
      <c r="AF362" s="600"/>
      <c r="AG362" s="600"/>
      <c r="AH362" s="600"/>
      <c r="AI362" s="600"/>
      <c r="AJ362" s="600"/>
      <c r="AK362" s="600"/>
      <c r="AL362" s="600"/>
      <c r="AM362" s="600"/>
      <c r="AN362" s="482"/>
      <c r="AO362" s="600"/>
      <c r="AP362" s="600"/>
      <c r="AQ362" s="600"/>
      <c r="AR362" s="600"/>
      <c r="AS362" s="600"/>
      <c r="AT362" s="600"/>
      <c r="AU362" s="600"/>
      <c r="AV362" s="600"/>
      <c r="AW362" s="482"/>
      <c r="AX362" s="482"/>
      <c r="AY362" s="482"/>
      <c r="AZ362" s="482"/>
      <c r="BA362" s="343"/>
      <c r="BB362" s="343"/>
      <c r="BC362" s="343"/>
      <c r="BD362" s="343"/>
      <c r="BE362" s="343"/>
      <c r="BF362" s="343"/>
      <c r="BG362" s="343"/>
      <c r="BH362" s="343"/>
      <c r="BI362" s="343"/>
      <c r="BJ362" s="343"/>
      <c r="BK362" s="343"/>
      <c r="BL362" s="343"/>
      <c r="BM362" s="343"/>
      <c r="BN362" s="343"/>
      <c r="BO362" s="343"/>
      <c r="BP362" s="343"/>
      <c r="BQ362" s="343"/>
      <c r="BR362" s="343"/>
      <c r="BS362" s="343"/>
      <c r="BT362" s="343"/>
      <c r="BU362" s="343"/>
      <c r="BV362" s="343"/>
      <c r="BW362" s="343"/>
      <c r="BX362" s="343"/>
    </row>
    <row r="363" spans="1:76" s="25" customFormat="1">
      <c r="A363" s="343"/>
      <c r="B363" s="343"/>
      <c r="C363" s="64"/>
      <c r="D363" s="64"/>
      <c r="E363" s="39"/>
      <c r="F363" s="39"/>
      <c r="G363" s="39"/>
      <c r="H363" s="39"/>
      <c r="I363" s="39"/>
      <c r="J363" s="39"/>
      <c r="K363" s="39"/>
      <c r="L363" s="39"/>
      <c r="M363" s="660"/>
      <c r="N363" s="343"/>
      <c r="O363" s="343"/>
      <c r="P363" s="343"/>
      <c r="Q363" s="343"/>
      <c r="R363" s="600"/>
      <c r="S363" s="600"/>
      <c r="T363" s="600"/>
      <c r="U363" s="600"/>
      <c r="V363" s="600"/>
      <c r="W363" s="600"/>
      <c r="X363" s="600"/>
      <c r="Y363" s="600"/>
      <c r="Z363" s="600"/>
      <c r="AA363" s="482"/>
      <c r="AB363" s="482"/>
      <c r="AC363" s="482"/>
      <c r="AD363" s="600">
        <v>352</v>
      </c>
      <c r="AE363" s="482"/>
      <c r="AF363" s="600"/>
      <c r="AG363" s="600"/>
      <c r="AH363" s="600"/>
      <c r="AI363" s="600"/>
      <c r="AJ363" s="600"/>
      <c r="AK363" s="600"/>
      <c r="AL363" s="600"/>
      <c r="AM363" s="600"/>
      <c r="AN363" s="482"/>
      <c r="AO363" s="600"/>
      <c r="AP363" s="600"/>
      <c r="AQ363" s="600"/>
      <c r="AR363" s="600"/>
      <c r="AS363" s="600"/>
      <c r="AT363" s="600"/>
      <c r="AU363" s="600"/>
      <c r="AV363" s="600"/>
      <c r="AW363" s="482"/>
      <c r="AX363" s="482"/>
      <c r="AY363" s="482"/>
      <c r="AZ363" s="482"/>
      <c r="BA363" s="343"/>
      <c r="BB363" s="343"/>
      <c r="BC363" s="343"/>
      <c r="BD363" s="343"/>
      <c r="BE363" s="343"/>
      <c r="BF363" s="343"/>
      <c r="BG363" s="343"/>
      <c r="BH363" s="343"/>
      <c r="BI363" s="343"/>
      <c r="BJ363" s="343"/>
      <c r="BK363" s="343"/>
      <c r="BL363" s="343"/>
      <c r="BM363" s="343"/>
      <c r="BN363" s="343"/>
      <c r="BO363" s="343"/>
      <c r="BP363" s="343"/>
      <c r="BQ363" s="343"/>
      <c r="BR363" s="343"/>
      <c r="BS363" s="343"/>
      <c r="BT363" s="343"/>
      <c r="BU363" s="343"/>
      <c r="BV363" s="343"/>
      <c r="BW363" s="343"/>
      <c r="BX363" s="343"/>
    </row>
    <row r="364" spans="1:76" s="25" customFormat="1">
      <c r="A364" s="343"/>
      <c r="B364" s="343"/>
      <c r="C364" s="64"/>
      <c r="D364" s="64"/>
      <c r="E364" s="39"/>
      <c r="F364" s="39"/>
      <c r="G364" s="39"/>
      <c r="H364" s="39"/>
      <c r="I364" s="39"/>
      <c r="J364" s="39"/>
      <c r="K364" s="39"/>
      <c r="L364" s="39"/>
      <c r="M364" s="660"/>
      <c r="N364" s="343"/>
      <c r="O364" s="343"/>
      <c r="P364" s="343"/>
      <c r="Q364" s="343"/>
      <c r="R364" s="600"/>
      <c r="S364" s="600"/>
      <c r="T364" s="600"/>
      <c r="U364" s="600"/>
      <c r="V364" s="600"/>
      <c r="W364" s="600"/>
      <c r="X364" s="600"/>
      <c r="Y364" s="600"/>
      <c r="Z364" s="600"/>
      <c r="AA364" s="482"/>
      <c r="AB364" s="482"/>
      <c r="AC364" s="482"/>
      <c r="AD364" s="600">
        <v>353</v>
      </c>
      <c r="AE364" s="482"/>
      <c r="AF364" s="600"/>
      <c r="AG364" s="600"/>
      <c r="AH364" s="600"/>
      <c r="AI364" s="600"/>
      <c r="AJ364" s="600"/>
      <c r="AK364" s="600"/>
      <c r="AL364" s="600"/>
      <c r="AM364" s="600"/>
      <c r="AN364" s="482"/>
      <c r="AO364" s="600"/>
      <c r="AP364" s="600"/>
      <c r="AQ364" s="600"/>
      <c r="AR364" s="600"/>
      <c r="AS364" s="600"/>
      <c r="AT364" s="600"/>
      <c r="AU364" s="600"/>
      <c r="AV364" s="600"/>
      <c r="AW364" s="482"/>
      <c r="AX364" s="482"/>
      <c r="AY364" s="482"/>
      <c r="AZ364" s="482"/>
      <c r="BA364" s="343"/>
      <c r="BB364" s="343"/>
      <c r="BC364" s="343"/>
      <c r="BD364" s="343"/>
      <c r="BE364" s="343"/>
      <c r="BF364" s="343"/>
      <c r="BG364" s="343"/>
      <c r="BH364" s="343"/>
      <c r="BI364" s="343"/>
      <c r="BJ364" s="343"/>
      <c r="BK364" s="343"/>
      <c r="BL364" s="343"/>
      <c r="BM364" s="343"/>
      <c r="BN364" s="343"/>
      <c r="BO364" s="343"/>
      <c r="BP364" s="343"/>
      <c r="BQ364" s="343"/>
      <c r="BR364" s="343"/>
      <c r="BS364" s="343"/>
      <c r="BT364" s="343"/>
      <c r="BU364" s="343"/>
      <c r="BV364" s="343"/>
      <c r="BW364" s="343"/>
      <c r="BX364" s="343"/>
    </row>
    <row r="365" spans="1:76" s="25" customFormat="1">
      <c r="A365" s="343"/>
      <c r="B365" s="343"/>
      <c r="C365" s="64"/>
      <c r="D365" s="64"/>
      <c r="E365" s="39"/>
      <c r="F365" s="39"/>
      <c r="G365" s="39"/>
      <c r="H365" s="39"/>
      <c r="I365" s="39"/>
      <c r="J365" s="39"/>
      <c r="K365" s="39"/>
      <c r="L365" s="39"/>
      <c r="M365" s="660"/>
      <c r="N365" s="343"/>
      <c r="O365" s="343"/>
      <c r="P365" s="343"/>
      <c r="Q365" s="343"/>
      <c r="R365" s="600"/>
      <c r="S365" s="600"/>
      <c r="T365" s="600"/>
      <c r="U365" s="600"/>
      <c r="V365" s="600"/>
      <c r="W365" s="600"/>
      <c r="X365" s="600"/>
      <c r="Y365" s="600"/>
      <c r="Z365" s="600"/>
      <c r="AA365" s="482"/>
      <c r="AB365" s="482"/>
      <c r="AC365" s="482"/>
      <c r="AD365" s="600">
        <v>354</v>
      </c>
      <c r="AE365" s="482"/>
      <c r="AF365" s="600"/>
      <c r="AG365" s="600"/>
      <c r="AH365" s="600"/>
      <c r="AI365" s="600"/>
      <c r="AJ365" s="600"/>
      <c r="AK365" s="600"/>
      <c r="AL365" s="600"/>
      <c r="AM365" s="600"/>
      <c r="AN365" s="482"/>
      <c r="AO365" s="600"/>
      <c r="AP365" s="600"/>
      <c r="AQ365" s="600"/>
      <c r="AR365" s="600"/>
      <c r="AS365" s="600"/>
      <c r="AT365" s="600"/>
      <c r="AU365" s="600"/>
      <c r="AV365" s="600"/>
      <c r="AW365" s="482"/>
      <c r="AX365" s="482"/>
      <c r="AY365" s="482"/>
      <c r="AZ365" s="482"/>
      <c r="BA365" s="343"/>
      <c r="BB365" s="343"/>
      <c r="BC365" s="343"/>
      <c r="BD365" s="343"/>
      <c r="BE365" s="343"/>
      <c r="BF365" s="343"/>
      <c r="BG365" s="343"/>
      <c r="BH365" s="343"/>
      <c r="BI365" s="343"/>
      <c r="BJ365" s="343"/>
      <c r="BK365" s="343"/>
      <c r="BL365" s="343"/>
      <c r="BM365" s="343"/>
      <c r="BN365" s="343"/>
      <c r="BO365" s="343"/>
      <c r="BP365" s="343"/>
      <c r="BQ365" s="343"/>
      <c r="BR365" s="343"/>
      <c r="BS365" s="343"/>
      <c r="BT365" s="343"/>
      <c r="BU365" s="343"/>
      <c r="BV365" s="343"/>
      <c r="BW365" s="343"/>
      <c r="BX365" s="343"/>
    </row>
    <row r="366" spans="1:76" s="25" customFormat="1">
      <c r="A366" s="343"/>
      <c r="B366" s="343"/>
      <c r="C366" s="64"/>
      <c r="D366" s="64"/>
      <c r="E366" s="39"/>
      <c r="F366" s="39"/>
      <c r="G366" s="39"/>
      <c r="H366" s="39"/>
      <c r="I366" s="39"/>
      <c r="J366" s="39"/>
      <c r="K366" s="39"/>
      <c r="L366" s="39"/>
      <c r="M366" s="660"/>
      <c r="N366" s="343"/>
      <c r="O366" s="343"/>
      <c r="P366" s="343"/>
      <c r="Q366" s="343"/>
      <c r="R366" s="600"/>
      <c r="S366" s="600"/>
      <c r="T366" s="600"/>
      <c r="U366" s="600"/>
      <c r="V366" s="600"/>
      <c r="W366" s="600"/>
      <c r="X366" s="600"/>
      <c r="Y366" s="600"/>
      <c r="Z366" s="600"/>
      <c r="AA366" s="482"/>
      <c r="AB366" s="482"/>
      <c r="AC366" s="482"/>
      <c r="AD366" s="600">
        <v>355</v>
      </c>
      <c r="AE366" s="482"/>
      <c r="AF366" s="600"/>
      <c r="AG366" s="600"/>
      <c r="AH366" s="600"/>
      <c r="AI366" s="600"/>
      <c r="AJ366" s="600"/>
      <c r="AK366" s="600"/>
      <c r="AL366" s="600"/>
      <c r="AM366" s="600"/>
      <c r="AN366" s="482"/>
      <c r="AO366" s="600"/>
      <c r="AP366" s="600"/>
      <c r="AQ366" s="600"/>
      <c r="AR366" s="600"/>
      <c r="AS366" s="600"/>
      <c r="AT366" s="600"/>
      <c r="AU366" s="600"/>
      <c r="AV366" s="600"/>
      <c r="AW366" s="482"/>
      <c r="AX366" s="482"/>
      <c r="AY366" s="482"/>
      <c r="AZ366" s="482"/>
      <c r="BA366" s="343"/>
      <c r="BB366" s="343"/>
      <c r="BC366" s="343"/>
      <c r="BD366" s="343"/>
      <c r="BE366" s="343"/>
      <c r="BF366" s="343"/>
      <c r="BG366" s="343"/>
      <c r="BH366" s="343"/>
      <c r="BI366" s="343"/>
      <c r="BJ366" s="343"/>
      <c r="BK366" s="343"/>
      <c r="BL366" s="343"/>
      <c r="BM366" s="343"/>
      <c r="BN366" s="343"/>
      <c r="BO366" s="343"/>
      <c r="BP366" s="343"/>
      <c r="BQ366" s="343"/>
      <c r="BR366" s="343"/>
      <c r="BS366" s="343"/>
      <c r="BT366" s="343"/>
      <c r="BU366" s="343"/>
      <c r="BV366" s="343"/>
      <c r="BW366" s="343"/>
      <c r="BX366" s="343"/>
    </row>
    <row r="367" spans="1:76" s="25" customFormat="1">
      <c r="A367" s="343"/>
      <c r="B367" s="343"/>
      <c r="C367" s="64"/>
      <c r="D367" s="64"/>
      <c r="E367" s="39"/>
      <c r="F367" s="39"/>
      <c r="G367" s="39"/>
      <c r="H367" s="39"/>
      <c r="I367" s="39"/>
      <c r="J367" s="39"/>
      <c r="K367" s="39"/>
      <c r="L367" s="39"/>
      <c r="M367" s="660"/>
      <c r="N367" s="343"/>
      <c r="O367" s="343"/>
      <c r="P367" s="343"/>
      <c r="Q367" s="343"/>
      <c r="R367" s="600"/>
      <c r="S367" s="600"/>
      <c r="T367" s="600"/>
      <c r="U367" s="600"/>
      <c r="V367" s="600"/>
      <c r="W367" s="600"/>
      <c r="X367" s="600"/>
      <c r="Y367" s="600"/>
      <c r="Z367" s="600"/>
      <c r="AA367" s="482"/>
      <c r="AB367" s="482"/>
      <c r="AC367" s="482"/>
      <c r="AD367" s="600">
        <v>356</v>
      </c>
      <c r="AE367" s="482"/>
      <c r="AF367" s="600"/>
      <c r="AG367" s="600"/>
      <c r="AH367" s="600"/>
      <c r="AI367" s="600"/>
      <c r="AJ367" s="600"/>
      <c r="AK367" s="600"/>
      <c r="AL367" s="600"/>
      <c r="AM367" s="600"/>
      <c r="AN367" s="482"/>
      <c r="AO367" s="600"/>
      <c r="AP367" s="600"/>
      <c r="AQ367" s="600"/>
      <c r="AR367" s="600"/>
      <c r="AS367" s="600"/>
      <c r="AT367" s="600"/>
      <c r="AU367" s="600"/>
      <c r="AV367" s="600"/>
      <c r="AW367" s="482"/>
      <c r="AX367" s="482"/>
      <c r="AY367" s="482"/>
      <c r="AZ367" s="482"/>
      <c r="BA367" s="343"/>
      <c r="BB367" s="343"/>
      <c r="BC367" s="343"/>
      <c r="BD367" s="343"/>
      <c r="BE367" s="343"/>
      <c r="BF367" s="343"/>
      <c r="BG367" s="343"/>
      <c r="BH367" s="343"/>
      <c r="BI367" s="343"/>
      <c r="BJ367" s="343"/>
      <c r="BK367" s="343"/>
      <c r="BL367" s="343"/>
      <c r="BM367" s="343"/>
      <c r="BN367" s="343"/>
      <c r="BO367" s="343"/>
      <c r="BP367" s="343"/>
      <c r="BQ367" s="343"/>
      <c r="BR367" s="343"/>
      <c r="BS367" s="343"/>
      <c r="BT367" s="343"/>
      <c r="BU367" s="343"/>
      <c r="BV367" s="343"/>
      <c r="BW367" s="343"/>
      <c r="BX367" s="343"/>
    </row>
    <row r="368" spans="1:76" s="25" customFormat="1">
      <c r="A368" s="343"/>
      <c r="B368" s="343"/>
      <c r="C368" s="64"/>
      <c r="D368" s="64"/>
      <c r="E368" s="39"/>
      <c r="F368" s="39"/>
      <c r="G368" s="39"/>
      <c r="H368" s="39"/>
      <c r="I368" s="39"/>
      <c r="J368" s="39"/>
      <c r="K368" s="39"/>
      <c r="L368" s="39"/>
      <c r="M368" s="660"/>
      <c r="N368" s="343"/>
      <c r="O368" s="343"/>
      <c r="P368" s="343"/>
      <c r="Q368" s="343"/>
      <c r="R368" s="600"/>
      <c r="S368" s="600"/>
      <c r="T368" s="600"/>
      <c r="U368" s="600"/>
      <c r="V368" s="600"/>
      <c r="W368" s="600"/>
      <c r="X368" s="600"/>
      <c r="Y368" s="600"/>
      <c r="Z368" s="600"/>
      <c r="AA368" s="482"/>
      <c r="AB368" s="482"/>
      <c r="AC368" s="482"/>
      <c r="AD368" s="600">
        <v>357</v>
      </c>
      <c r="AE368" s="482"/>
      <c r="AF368" s="600"/>
      <c r="AG368" s="600"/>
      <c r="AH368" s="600"/>
      <c r="AI368" s="600"/>
      <c r="AJ368" s="600"/>
      <c r="AK368" s="600"/>
      <c r="AL368" s="600"/>
      <c r="AM368" s="600"/>
      <c r="AN368" s="482"/>
      <c r="AO368" s="600"/>
      <c r="AP368" s="600"/>
      <c r="AQ368" s="600"/>
      <c r="AR368" s="600"/>
      <c r="AS368" s="600"/>
      <c r="AT368" s="600"/>
      <c r="AU368" s="600"/>
      <c r="AV368" s="600"/>
      <c r="AW368" s="482"/>
      <c r="AX368" s="482"/>
      <c r="AY368" s="482"/>
      <c r="AZ368" s="482"/>
      <c r="BA368" s="343"/>
      <c r="BB368" s="343"/>
      <c r="BC368" s="343"/>
      <c r="BD368" s="343"/>
      <c r="BE368" s="343"/>
      <c r="BF368" s="343"/>
      <c r="BG368" s="343"/>
      <c r="BH368" s="343"/>
      <c r="BI368" s="343"/>
      <c r="BJ368" s="343"/>
      <c r="BK368" s="343"/>
      <c r="BL368" s="343"/>
      <c r="BM368" s="343"/>
      <c r="BN368" s="343"/>
      <c r="BO368" s="343"/>
      <c r="BP368" s="343"/>
      <c r="BQ368" s="343"/>
      <c r="BR368" s="343"/>
      <c r="BS368" s="343"/>
      <c r="BT368" s="343"/>
      <c r="BU368" s="343"/>
      <c r="BV368" s="343"/>
      <c r="BW368" s="343"/>
      <c r="BX368" s="343"/>
    </row>
    <row r="369" spans="1:76" s="25" customFormat="1">
      <c r="A369" s="343"/>
      <c r="B369" s="343"/>
      <c r="C369" s="64"/>
      <c r="D369" s="64"/>
      <c r="E369" s="39"/>
      <c r="F369" s="39"/>
      <c r="G369" s="39"/>
      <c r="H369" s="39"/>
      <c r="I369" s="39"/>
      <c r="J369" s="39"/>
      <c r="K369" s="39"/>
      <c r="L369" s="39"/>
      <c r="M369" s="660"/>
      <c r="N369" s="343"/>
      <c r="O369" s="343"/>
      <c r="P369" s="343"/>
      <c r="Q369" s="343"/>
      <c r="R369" s="600"/>
      <c r="S369" s="600"/>
      <c r="T369" s="600"/>
      <c r="U369" s="600"/>
      <c r="V369" s="600"/>
      <c r="W369" s="600"/>
      <c r="X369" s="600"/>
      <c r="Y369" s="600"/>
      <c r="Z369" s="600"/>
      <c r="AA369" s="482"/>
      <c r="AB369" s="482"/>
      <c r="AC369" s="482"/>
      <c r="AD369" s="600">
        <v>358</v>
      </c>
      <c r="AE369" s="482"/>
      <c r="AF369" s="600"/>
      <c r="AG369" s="600"/>
      <c r="AH369" s="600"/>
      <c r="AI369" s="600"/>
      <c r="AJ369" s="600"/>
      <c r="AK369" s="600"/>
      <c r="AL369" s="600"/>
      <c r="AM369" s="600"/>
      <c r="AN369" s="482"/>
      <c r="AO369" s="600"/>
      <c r="AP369" s="600"/>
      <c r="AQ369" s="600"/>
      <c r="AR369" s="600"/>
      <c r="AS369" s="600"/>
      <c r="AT369" s="600"/>
      <c r="AU369" s="600"/>
      <c r="AV369" s="600"/>
      <c r="AW369" s="482"/>
      <c r="AX369" s="482"/>
      <c r="AY369" s="482"/>
      <c r="AZ369" s="482"/>
      <c r="BA369" s="343"/>
      <c r="BB369" s="343"/>
      <c r="BC369" s="343"/>
      <c r="BD369" s="343"/>
      <c r="BE369" s="343"/>
      <c r="BF369" s="343"/>
      <c r="BG369" s="343"/>
      <c r="BH369" s="343"/>
      <c r="BI369" s="343"/>
      <c r="BJ369" s="343"/>
      <c r="BK369" s="343"/>
      <c r="BL369" s="343"/>
      <c r="BM369" s="343"/>
      <c r="BN369" s="343"/>
      <c r="BO369" s="343"/>
      <c r="BP369" s="343"/>
      <c r="BQ369" s="343"/>
      <c r="BR369" s="343"/>
      <c r="BS369" s="343"/>
      <c r="BT369" s="343"/>
      <c r="BU369" s="343"/>
      <c r="BV369" s="343"/>
      <c r="BW369" s="343"/>
      <c r="BX369" s="343"/>
    </row>
    <row r="370" spans="1:76" s="25" customFormat="1">
      <c r="A370" s="343"/>
      <c r="B370" s="343"/>
      <c r="C370" s="64"/>
      <c r="D370" s="64"/>
      <c r="E370" s="39"/>
      <c r="F370" s="39"/>
      <c r="G370" s="39"/>
      <c r="H370" s="39"/>
      <c r="I370" s="39"/>
      <c r="J370" s="39"/>
      <c r="K370" s="39"/>
      <c r="L370" s="39"/>
      <c r="M370" s="660"/>
      <c r="N370" s="343"/>
      <c r="O370" s="343"/>
      <c r="P370" s="343"/>
      <c r="Q370" s="343"/>
      <c r="R370" s="600"/>
      <c r="S370" s="600"/>
      <c r="T370" s="600"/>
      <c r="U370" s="600"/>
      <c r="V370" s="600"/>
      <c r="W370" s="600"/>
      <c r="X370" s="600"/>
      <c r="Y370" s="600"/>
      <c r="Z370" s="600"/>
      <c r="AA370" s="482"/>
      <c r="AB370" s="482"/>
      <c r="AC370" s="482"/>
      <c r="AD370" s="600">
        <v>359</v>
      </c>
      <c r="AE370" s="482"/>
      <c r="AF370" s="600"/>
      <c r="AG370" s="600"/>
      <c r="AH370" s="600"/>
      <c r="AI370" s="600"/>
      <c r="AJ370" s="600"/>
      <c r="AK370" s="600"/>
      <c r="AL370" s="600"/>
      <c r="AM370" s="600"/>
      <c r="AN370" s="482"/>
      <c r="AO370" s="600"/>
      <c r="AP370" s="600"/>
      <c r="AQ370" s="600"/>
      <c r="AR370" s="600"/>
      <c r="AS370" s="600"/>
      <c r="AT370" s="600"/>
      <c r="AU370" s="600"/>
      <c r="AV370" s="600"/>
      <c r="AW370" s="482"/>
      <c r="AX370" s="482"/>
      <c r="AY370" s="482"/>
      <c r="AZ370" s="482"/>
      <c r="BA370" s="343"/>
      <c r="BB370" s="343"/>
      <c r="BC370" s="343"/>
      <c r="BD370" s="343"/>
      <c r="BE370" s="343"/>
      <c r="BF370" s="343"/>
      <c r="BG370" s="343"/>
      <c r="BH370" s="343"/>
      <c r="BI370" s="343"/>
      <c r="BJ370" s="343"/>
      <c r="BK370" s="343"/>
      <c r="BL370" s="343"/>
      <c r="BM370" s="343"/>
      <c r="BN370" s="343"/>
      <c r="BO370" s="343"/>
      <c r="BP370" s="343"/>
      <c r="BQ370" s="343"/>
      <c r="BR370" s="343"/>
      <c r="BS370" s="343"/>
      <c r="BT370" s="343"/>
      <c r="BU370" s="343"/>
      <c r="BV370" s="343"/>
      <c r="BW370" s="343"/>
      <c r="BX370" s="343"/>
    </row>
    <row r="371" spans="1:76" s="25" customFormat="1">
      <c r="A371" s="343"/>
      <c r="B371" s="343"/>
      <c r="C371" s="64"/>
      <c r="D371" s="64"/>
      <c r="E371" s="39"/>
      <c r="F371" s="39"/>
      <c r="G371" s="39"/>
      <c r="H371" s="39"/>
      <c r="I371" s="39"/>
      <c r="J371" s="39"/>
      <c r="K371" s="39"/>
      <c r="L371" s="39"/>
      <c r="M371" s="660"/>
      <c r="N371" s="343"/>
      <c r="O371" s="343"/>
      <c r="P371" s="343"/>
      <c r="Q371" s="343"/>
      <c r="R371" s="600"/>
      <c r="S371" s="600"/>
      <c r="T371" s="600"/>
      <c r="U371" s="600"/>
      <c r="V371" s="600"/>
      <c r="W371" s="600"/>
      <c r="X371" s="600"/>
      <c r="Y371" s="600"/>
      <c r="Z371" s="600"/>
      <c r="AA371" s="482"/>
      <c r="AB371" s="482"/>
      <c r="AC371" s="482"/>
      <c r="AD371" s="600">
        <v>360</v>
      </c>
      <c r="AE371" s="482"/>
      <c r="AF371" s="600"/>
      <c r="AG371" s="600"/>
      <c r="AH371" s="600"/>
      <c r="AI371" s="600"/>
      <c r="AJ371" s="600"/>
      <c r="AK371" s="600"/>
      <c r="AL371" s="600"/>
      <c r="AM371" s="600"/>
      <c r="AN371" s="482"/>
      <c r="AO371" s="600"/>
      <c r="AP371" s="600"/>
      <c r="AQ371" s="600"/>
      <c r="AR371" s="600"/>
      <c r="AS371" s="600"/>
      <c r="AT371" s="600"/>
      <c r="AU371" s="600"/>
      <c r="AV371" s="600"/>
      <c r="AW371" s="482"/>
      <c r="AX371" s="482"/>
      <c r="AY371" s="482"/>
      <c r="AZ371" s="482"/>
      <c r="BA371" s="343"/>
      <c r="BB371" s="343"/>
      <c r="BC371" s="343"/>
      <c r="BD371" s="343"/>
      <c r="BE371" s="343"/>
      <c r="BF371" s="343"/>
      <c r="BG371" s="343"/>
      <c r="BH371" s="343"/>
      <c r="BI371" s="343"/>
      <c r="BJ371" s="343"/>
      <c r="BK371" s="343"/>
      <c r="BL371" s="343"/>
      <c r="BM371" s="343"/>
      <c r="BN371" s="343"/>
      <c r="BO371" s="343"/>
      <c r="BP371" s="343"/>
      <c r="BQ371" s="343"/>
      <c r="BR371" s="343"/>
      <c r="BS371" s="343"/>
      <c r="BT371" s="343"/>
      <c r="BU371" s="343"/>
      <c r="BV371" s="343"/>
      <c r="BW371" s="343"/>
      <c r="BX371" s="343"/>
    </row>
    <row r="372" spans="1:76" s="25" customFormat="1">
      <c r="A372" s="343"/>
      <c r="B372" s="343"/>
      <c r="C372" s="64"/>
      <c r="D372" s="64"/>
      <c r="E372" s="39"/>
      <c r="F372" s="39"/>
      <c r="G372" s="39"/>
      <c r="H372" s="39"/>
      <c r="I372" s="39"/>
      <c r="J372" s="39"/>
      <c r="K372" s="39"/>
      <c r="L372" s="39"/>
      <c r="M372" s="660"/>
      <c r="N372" s="343"/>
      <c r="O372" s="343"/>
      <c r="P372" s="343"/>
      <c r="Q372" s="343"/>
      <c r="R372" s="600"/>
      <c r="S372" s="600"/>
      <c r="T372" s="600"/>
      <c r="U372" s="600"/>
      <c r="V372" s="600"/>
      <c r="W372" s="600"/>
      <c r="X372" s="600"/>
      <c r="Y372" s="600"/>
      <c r="Z372" s="600"/>
      <c r="AA372" s="482"/>
      <c r="AB372" s="482"/>
      <c r="AC372" s="482"/>
      <c r="AD372" s="600">
        <v>361</v>
      </c>
      <c r="AE372" s="482"/>
      <c r="AF372" s="600"/>
      <c r="AG372" s="600"/>
      <c r="AH372" s="600"/>
      <c r="AI372" s="600"/>
      <c r="AJ372" s="600"/>
      <c r="AK372" s="600"/>
      <c r="AL372" s="600"/>
      <c r="AM372" s="600"/>
      <c r="AN372" s="482"/>
      <c r="AO372" s="600"/>
      <c r="AP372" s="600"/>
      <c r="AQ372" s="600"/>
      <c r="AR372" s="600"/>
      <c r="AS372" s="600"/>
      <c r="AT372" s="600"/>
      <c r="AU372" s="600"/>
      <c r="AV372" s="600"/>
      <c r="AW372" s="482"/>
      <c r="AX372" s="482"/>
      <c r="AY372" s="482"/>
      <c r="AZ372" s="482"/>
      <c r="BA372" s="343"/>
      <c r="BB372" s="343"/>
      <c r="BC372" s="343"/>
      <c r="BD372" s="343"/>
      <c r="BE372" s="343"/>
      <c r="BF372" s="343"/>
      <c r="BG372" s="343"/>
      <c r="BH372" s="343"/>
      <c r="BI372" s="343"/>
      <c r="BJ372" s="343"/>
      <c r="BK372" s="343"/>
      <c r="BL372" s="343"/>
      <c r="BM372" s="343"/>
      <c r="BN372" s="343"/>
      <c r="BO372" s="343"/>
      <c r="BP372" s="343"/>
      <c r="BQ372" s="343"/>
      <c r="BR372" s="343"/>
      <c r="BS372" s="343"/>
      <c r="BT372" s="343"/>
      <c r="BU372" s="343"/>
      <c r="BV372" s="343"/>
      <c r="BW372" s="343"/>
      <c r="BX372" s="343"/>
    </row>
    <row r="373" spans="1:76" s="25" customFormat="1">
      <c r="A373" s="343"/>
      <c r="B373" s="343"/>
      <c r="C373" s="64"/>
      <c r="D373" s="64"/>
      <c r="E373" s="39"/>
      <c r="F373" s="39"/>
      <c r="G373" s="39"/>
      <c r="H373" s="39"/>
      <c r="I373" s="39"/>
      <c r="J373" s="39"/>
      <c r="K373" s="39"/>
      <c r="L373" s="39"/>
      <c r="M373" s="660"/>
      <c r="N373" s="343"/>
      <c r="O373" s="343"/>
      <c r="P373" s="343"/>
      <c r="Q373" s="343"/>
      <c r="R373" s="600"/>
      <c r="S373" s="600"/>
      <c r="T373" s="600"/>
      <c r="U373" s="600"/>
      <c r="V373" s="600"/>
      <c r="W373" s="600"/>
      <c r="X373" s="600"/>
      <c r="Y373" s="600"/>
      <c r="Z373" s="600"/>
      <c r="AA373" s="482"/>
      <c r="AB373" s="482"/>
      <c r="AC373" s="482"/>
      <c r="AD373" s="600">
        <v>362</v>
      </c>
      <c r="AE373" s="482"/>
      <c r="AF373" s="600"/>
      <c r="AG373" s="600"/>
      <c r="AH373" s="600"/>
      <c r="AI373" s="600"/>
      <c r="AJ373" s="600"/>
      <c r="AK373" s="600"/>
      <c r="AL373" s="600"/>
      <c r="AM373" s="600"/>
      <c r="AN373" s="482"/>
      <c r="AO373" s="600"/>
      <c r="AP373" s="600"/>
      <c r="AQ373" s="600"/>
      <c r="AR373" s="600"/>
      <c r="AS373" s="600"/>
      <c r="AT373" s="600"/>
      <c r="AU373" s="600"/>
      <c r="AV373" s="600"/>
      <c r="AW373" s="482"/>
      <c r="AX373" s="482"/>
      <c r="AY373" s="482"/>
      <c r="AZ373" s="482"/>
      <c r="BA373" s="343"/>
      <c r="BB373" s="343"/>
      <c r="BC373" s="343"/>
      <c r="BD373" s="343"/>
      <c r="BE373" s="343"/>
      <c r="BF373" s="343"/>
      <c r="BG373" s="343"/>
      <c r="BH373" s="343"/>
      <c r="BI373" s="343"/>
      <c r="BJ373" s="343"/>
      <c r="BK373" s="343"/>
      <c r="BL373" s="343"/>
      <c r="BM373" s="343"/>
      <c r="BN373" s="343"/>
      <c r="BO373" s="343"/>
      <c r="BP373" s="343"/>
      <c r="BQ373" s="343"/>
      <c r="BR373" s="343"/>
      <c r="BS373" s="343"/>
      <c r="BT373" s="343"/>
      <c r="BU373" s="343"/>
      <c r="BV373" s="343"/>
      <c r="BW373" s="343"/>
      <c r="BX373" s="343"/>
    </row>
    <row r="374" spans="1:76" s="25" customFormat="1">
      <c r="A374" s="343"/>
      <c r="B374" s="343"/>
      <c r="C374" s="64"/>
      <c r="D374" s="64"/>
      <c r="E374" s="39"/>
      <c r="F374" s="39"/>
      <c r="G374" s="39"/>
      <c r="H374" s="39"/>
      <c r="I374" s="39"/>
      <c r="J374" s="39"/>
      <c r="K374" s="39"/>
      <c r="L374" s="39"/>
      <c r="M374" s="660"/>
      <c r="N374" s="343"/>
      <c r="O374" s="343"/>
      <c r="P374" s="343"/>
      <c r="Q374" s="343"/>
      <c r="R374" s="600"/>
      <c r="S374" s="600"/>
      <c r="T374" s="600"/>
      <c r="U374" s="600"/>
      <c r="V374" s="600"/>
      <c r="W374" s="600"/>
      <c r="X374" s="600"/>
      <c r="Y374" s="600"/>
      <c r="Z374" s="600"/>
      <c r="AA374" s="482"/>
      <c r="AB374" s="482"/>
      <c r="AC374" s="482"/>
      <c r="AD374" s="600">
        <v>363</v>
      </c>
      <c r="AE374" s="482"/>
      <c r="AF374" s="600"/>
      <c r="AG374" s="600"/>
      <c r="AH374" s="600"/>
      <c r="AI374" s="600"/>
      <c r="AJ374" s="600"/>
      <c r="AK374" s="600"/>
      <c r="AL374" s="600"/>
      <c r="AM374" s="600"/>
      <c r="AN374" s="482"/>
      <c r="AO374" s="600"/>
      <c r="AP374" s="600"/>
      <c r="AQ374" s="600"/>
      <c r="AR374" s="600"/>
      <c r="AS374" s="600"/>
      <c r="AT374" s="600"/>
      <c r="AU374" s="600"/>
      <c r="AV374" s="600"/>
      <c r="AW374" s="482"/>
      <c r="AX374" s="482"/>
      <c r="AY374" s="482"/>
      <c r="AZ374" s="482"/>
      <c r="BA374" s="343"/>
      <c r="BB374" s="343"/>
      <c r="BC374" s="343"/>
      <c r="BD374" s="343"/>
      <c r="BE374" s="343"/>
      <c r="BF374" s="343"/>
      <c r="BG374" s="343"/>
      <c r="BH374" s="343"/>
      <c r="BI374" s="343"/>
      <c r="BJ374" s="343"/>
      <c r="BK374" s="343"/>
      <c r="BL374" s="343"/>
      <c r="BM374" s="343"/>
      <c r="BN374" s="343"/>
      <c r="BO374" s="343"/>
      <c r="BP374" s="343"/>
      <c r="BQ374" s="343"/>
      <c r="BR374" s="343"/>
      <c r="BS374" s="343"/>
      <c r="BT374" s="343"/>
      <c r="BU374" s="343"/>
      <c r="BV374" s="343"/>
      <c r="BW374" s="343"/>
      <c r="BX374" s="343"/>
    </row>
    <row r="375" spans="1:76" s="25" customFormat="1">
      <c r="A375" s="343"/>
      <c r="B375" s="343"/>
      <c r="C375" s="64"/>
      <c r="D375" s="64"/>
      <c r="E375" s="39"/>
      <c r="F375" s="39"/>
      <c r="G375" s="39"/>
      <c r="H375" s="39"/>
      <c r="I375" s="39"/>
      <c r="J375" s="39"/>
      <c r="K375" s="39"/>
      <c r="L375" s="39"/>
      <c r="M375" s="660"/>
      <c r="N375" s="343"/>
      <c r="O375" s="343"/>
      <c r="P375" s="343"/>
      <c r="Q375" s="343"/>
      <c r="R375" s="600"/>
      <c r="S375" s="600"/>
      <c r="T375" s="600"/>
      <c r="U375" s="600"/>
      <c r="V375" s="600"/>
      <c r="W375" s="600"/>
      <c r="X375" s="600"/>
      <c r="Y375" s="600"/>
      <c r="Z375" s="600"/>
      <c r="AA375" s="482"/>
      <c r="AB375" s="482"/>
      <c r="AC375" s="482"/>
      <c r="AD375" s="600">
        <v>364</v>
      </c>
      <c r="AE375" s="482"/>
      <c r="AF375" s="600"/>
      <c r="AG375" s="600"/>
      <c r="AH375" s="600"/>
      <c r="AI375" s="600"/>
      <c r="AJ375" s="600"/>
      <c r="AK375" s="600"/>
      <c r="AL375" s="600"/>
      <c r="AM375" s="600"/>
      <c r="AN375" s="482"/>
      <c r="AO375" s="600"/>
      <c r="AP375" s="600"/>
      <c r="AQ375" s="600"/>
      <c r="AR375" s="600"/>
      <c r="AS375" s="600"/>
      <c r="AT375" s="600"/>
      <c r="AU375" s="600"/>
      <c r="AV375" s="600"/>
      <c r="AW375" s="482"/>
      <c r="AX375" s="482"/>
      <c r="AY375" s="482"/>
      <c r="AZ375" s="482"/>
      <c r="BA375" s="343"/>
      <c r="BB375" s="343"/>
      <c r="BC375" s="343"/>
      <c r="BD375" s="343"/>
      <c r="BE375" s="343"/>
      <c r="BF375" s="343"/>
      <c r="BG375" s="343"/>
      <c r="BH375" s="343"/>
      <c r="BI375" s="343"/>
      <c r="BJ375" s="343"/>
      <c r="BK375" s="343"/>
      <c r="BL375" s="343"/>
      <c r="BM375" s="343"/>
      <c r="BN375" s="343"/>
      <c r="BO375" s="343"/>
      <c r="BP375" s="343"/>
      <c r="BQ375" s="343"/>
      <c r="BR375" s="343"/>
      <c r="BS375" s="343"/>
      <c r="BT375" s="343"/>
      <c r="BU375" s="343"/>
      <c r="BV375" s="343"/>
      <c r="BW375" s="343"/>
      <c r="BX375" s="343"/>
    </row>
    <row r="376" spans="1:76" s="25" customFormat="1">
      <c r="A376" s="343"/>
      <c r="B376" s="343"/>
      <c r="C376" s="64"/>
      <c r="D376" s="64"/>
      <c r="E376" s="39"/>
      <c r="F376" s="39"/>
      <c r="G376" s="39"/>
      <c r="H376" s="39"/>
      <c r="I376" s="39"/>
      <c r="J376" s="39"/>
      <c r="K376" s="39"/>
      <c r="L376" s="39"/>
      <c r="M376" s="660"/>
      <c r="N376" s="343"/>
      <c r="O376" s="343"/>
      <c r="P376" s="343"/>
      <c r="Q376" s="343"/>
      <c r="R376" s="600"/>
      <c r="S376" s="600"/>
      <c r="T376" s="600"/>
      <c r="U376" s="600"/>
      <c r="V376" s="600"/>
      <c r="W376" s="600"/>
      <c r="X376" s="600"/>
      <c r="Y376" s="600"/>
      <c r="Z376" s="600"/>
      <c r="AA376" s="482"/>
      <c r="AB376" s="482"/>
      <c r="AC376" s="482"/>
      <c r="AD376" s="600">
        <v>365</v>
      </c>
      <c r="AE376" s="482"/>
      <c r="AF376" s="600"/>
      <c r="AG376" s="600"/>
      <c r="AH376" s="600"/>
      <c r="AI376" s="600"/>
      <c r="AJ376" s="600"/>
      <c r="AK376" s="600"/>
      <c r="AL376" s="600"/>
      <c r="AM376" s="600"/>
      <c r="AN376" s="482"/>
      <c r="AO376" s="600"/>
      <c r="AP376" s="600"/>
      <c r="AQ376" s="600"/>
      <c r="AR376" s="600"/>
      <c r="AS376" s="600"/>
      <c r="AT376" s="600"/>
      <c r="AU376" s="600"/>
      <c r="AV376" s="600"/>
      <c r="AW376" s="482"/>
      <c r="AX376" s="482"/>
      <c r="AY376" s="482"/>
      <c r="AZ376" s="482"/>
      <c r="BA376" s="343"/>
      <c r="BB376" s="343"/>
      <c r="BC376" s="343"/>
      <c r="BD376" s="343"/>
      <c r="BE376" s="343"/>
      <c r="BF376" s="343"/>
      <c r="BG376" s="343"/>
      <c r="BH376" s="343"/>
      <c r="BI376" s="343"/>
      <c r="BJ376" s="343"/>
      <c r="BK376" s="343"/>
      <c r="BL376" s="343"/>
      <c r="BM376" s="343"/>
      <c r="BN376" s="343"/>
      <c r="BO376" s="343"/>
      <c r="BP376" s="343"/>
      <c r="BQ376" s="343"/>
      <c r="BR376" s="343"/>
      <c r="BS376" s="343"/>
      <c r="BT376" s="343"/>
      <c r="BU376" s="343"/>
      <c r="BV376" s="343"/>
      <c r="BW376" s="343"/>
      <c r="BX376" s="343"/>
    </row>
    <row r="377" spans="1:76" s="25" customFormat="1">
      <c r="A377" s="343"/>
      <c r="B377" s="343"/>
      <c r="C377" s="64"/>
      <c r="D377" s="64"/>
      <c r="E377" s="39"/>
      <c r="F377" s="39"/>
      <c r="G377" s="39"/>
      <c r="H377" s="39"/>
      <c r="I377" s="39"/>
      <c r="J377" s="39"/>
      <c r="K377" s="39"/>
      <c r="L377" s="39"/>
      <c r="M377" s="660"/>
      <c r="N377" s="343"/>
      <c r="O377" s="343"/>
      <c r="P377" s="343"/>
      <c r="Q377" s="343"/>
      <c r="R377" s="600"/>
      <c r="S377" s="600"/>
      <c r="T377" s="600"/>
      <c r="U377" s="600"/>
      <c r="V377" s="600"/>
      <c r="W377" s="600"/>
      <c r="X377" s="600"/>
      <c r="Y377" s="600"/>
      <c r="Z377" s="600"/>
      <c r="AA377" s="482"/>
      <c r="AB377" s="482"/>
      <c r="AC377" s="482"/>
      <c r="AD377" s="600">
        <v>366</v>
      </c>
      <c r="AE377" s="482"/>
      <c r="AF377" s="600"/>
      <c r="AG377" s="600"/>
      <c r="AH377" s="600"/>
      <c r="AI377" s="600"/>
      <c r="AJ377" s="600"/>
      <c r="AK377" s="600"/>
      <c r="AL377" s="600"/>
      <c r="AM377" s="600"/>
      <c r="AN377" s="482"/>
      <c r="AO377" s="600"/>
      <c r="AP377" s="600"/>
      <c r="AQ377" s="600"/>
      <c r="AR377" s="600"/>
      <c r="AS377" s="600"/>
      <c r="AT377" s="600"/>
      <c r="AU377" s="600"/>
      <c r="AV377" s="600"/>
      <c r="AW377" s="482"/>
      <c r="AX377" s="482"/>
      <c r="AY377" s="482"/>
      <c r="AZ377" s="482"/>
      <c r="BA377" s="343"/>
      <c r="BB377" s="343"/>
      <c r="BC377" s="343"/>
      <c r="BD377" s="343"/>
      <c r="BE377" s="343"/>
      <c r="BF377" s="343"/>
      <c r="BG377" s="343"/>
      <c r="BH377" s="343"/>
      <c r="BI377" s="343"/>
      <c r="BJ377" s="343"/>
      <c r="BK377" s="343"/>
      <c r="BL377" s="343"/>
      <c r="BM377" s="343"/>
      <c r="BN377" s="343"/>
      <c r="BO377" s="343"/>
      <c r="BP377" s="343"/>
      <c r="BQ377" s="343"/>
      <c r="BR377" s="343"/>
      <c r="BS377" s="343"/>
      <c r="BT377" s="343"/>
      <c r="BU377" s="343"/>
      <c r="BV377" s="343"/>
      <c r="BW377" s="343"/>
      <c r="BX377" s="343"/>
    </row>
    <row r="378" spans="1:76" s="25" customFormat="1">
      <c r="A378" s="343"/>
      <c r="B378" s="343"/>
      <c r="C378" s="64"/>
      <c r="D378" s="64"/>
      <c r="E378" s="39"/>
      <c r="F378" s="39"/>
      <c r="G378" s="39"/>
      <c r="H378" s="39"/>
      <c r="I378" s="39"/>
      <c r="J378" s="39"/>
      <c r="K378" s="39"/>
      <c r="L378" s="39"/>
      <c r="M378" s="660"/>
      <c r="N378" s="343"/>
      <c r="O378" s="343"/>
      <c r="P378" s="343"/>
      <c r="Q378" s="343"/>
      <c r="R378" s="600"/>
      <c r="S378" s="600"/>
      <c r="T378" s="600"/>
      <c r="U378" s="600"/>
      <c r="V378" s="600"/>
      <c r="W378" s="600"/>
      <c r="X378" s="600"/>
      <c r="Y378" s="600"/>
      <c r="Z378" s="600"/>
      <c r="AA378" s="482"/>
      <c r="AB378" s="482"/>
      <c r="AC378" s="482"/>
      <c r="AD378" s="600">
        <v>367</v>
      </c>
      <c r="AE378" s="482"/>
      <c r="AF378" s="600"/>
      <c r="AG378" s="600"/>
      <c r="AH378" s="600"/>
      <c r="AI378" s="600"/>
      <c r="AJ378" s="600"/>
      <c r="AK378" s="600"/>
      <c r="AL378" s="600"/>
      <c r="AM378" s="600"/>
      <c r="AN378" s="482"/>
      <c r="AO378" s="600"/>
      <c r="AP378" s="600"/>
      <c r="AQ378" s="600"/>
      <c r="AR378" s="600"/>
      <c r="AS378" s="600"/>
      <c r="AT378" s="600"/>
      <c r="AU378" s="600"/>
      <c r="AV378" s="600"/>
      <c r="AW378" s="482"/>
      <c r="AX378" s="482"/>
      <c r="AY378" s="482"/>
      <c r="AZ378" s="482"/>
      <c r="BA378" s="343"/>
      <c r="BB378" s="343"/>
      <c r="BC378" s="343"/>
      <c r="BD378" s="343"/>
      <c r="BE378" s="343"/>
      <c r="BF378" s="343"/>
      <c r="BG378" s="343"/>
      <c r="BH378" s="343"/>
      <c r="BI378" s="343"/>
      <c r="BJ378" s="343"/>
      <c r="BK378" s="343"/>
      <c r="BL378" s="343"/>
      <c r="BM378" s="343"/>
      <c r="BN378" s="343"/>
      <c r="BO378" s="343"/>
      <c r="BP378" s="343"/>
      <c r="BQ378" s="343"/>
      <c r="BR378" s="343"/>
      <c r="BS378" s="343"/>
      <c r="BT378" s="343"/>
      <c r="BU378" s="343"/>
      <c r="BV378" s="343"/>
      <c r="BW378" s="343"/>
      <c r="BX378" s="343"/>
    </row>
    <row r="379" spans="1:76" s="25" customFormat="1">
      <c r="A379" s="343"/>
      <c r="B379" s="343"/>
      <c r="C379" s="64"/>
      <c r="D379" s="64"/>
      <c r="E379" s="39"/>
      <c r="F379" s="39"/>
      <c r="G379" s="39"/>
      <c r="H379" s="39"/>
      <c r="I379" s="39"/>
      <c r="J379" s="39"/>
      <c r="K379" s="39"/>
      <c r="L379" s="39"/>
      <c r="M379" s="660"/>
      <c r="N379" s="343"/>
      <c r="O379" s="343"/>
      <c r="P379" s="343"/>
      <c r="Q379" s="343"/>
      <c r="R379" s="600"/>
      <c r="S379" s="600"/>
      <c r="T379" s="600"/>
      <c r="U379" s="600"/>
      <c r="V379" s="600"/>
      <c r="W379" s="600"/>
      <c r="X379" s="600"/>
      <c r="Y379" s="600"/>
      <c r="Z379" s="600"/>
      <c r="AA379" s="482"/>
      <c r="AB379" s="482"/>
      <c r="AC379" s="482"/>
      <c r="AD379" s="600">
        <v>368</v>
      </c>
      <c r="AE379" s="482"/>
      <c r="AF379" s="600"/>
      <c r="AG379" s="600"/>
      <c r="AH379" s="600"/>
      <c r="AI379" s="600"/>
      <c r="AJ379" s="600"/>
      <c r="AK379" s="600"/>
      <c r="AL379" s="600"/>
      <c r="AM379" s="600"/>
      <c r="AN379" s="482"/>
      <c r="AO379" s="600"/>
      <c r="AP379" s="600"/>
      <c r="AQ379" s="600"/>
      <c r="AR379" s="600"/>
      <c r="AS379" s="600"/>
      <c r="AT379" s="600"/>
      <c r="AU379" s="600"/>
      <c r="AV379" s="600"/>
      <c r="AW379" s="482"/>
      <c r="AX379" s="482"/>
      <c r="AY379" s="482"/>
      <c r="AZ379" s="482"/>
      <c r="BA379" s="343"/>
      <c r="BB379" s="343"/>
      <c r="BC379" s="343"/>
      <c r="BD379" s="343"/>
      <c r="BE379" s="343"/>
      <c r="BF379" s="343"/>
      <c r="BG379" s="343"/>
      <c r="BH379" s="343"/>
      <c r="BI379" s="343"/>
      <c r="BJ379" s="343"/>
      <c r="BK379" s="343"/>
      <c r="BL379" s="343"/>
      <c r="BM379" s="343"/>
      <c r="BN379" s="343"/>
      <c r="BO379" s="343"/>
      <c r="BP379" s="343"/>
      <c r="BQ379" s="343"/>
      <c r="BR379" s="343"/>
      <c r="BS379" s="343"/>
      <c r="BT379" s="343"/>
      <c r="BU379" s="343"/>
      <c r="BV379" s="343"/>
      <c r="BW379" s="343"/>
      <c r="BX379" s="343"/>
    </row>
    <row r="380" spans="1:76" s="25" customFormat="1">
      <c r="A380" s="343"/>
      <c r="B380" s="343"/>
      <c r="C380" s="64"/>
      <c r="D380" s="64"/>
      <c r="E380" s="39"/>
      <c r="F380" s="39"/>
      <c r="G380" s="39"/>
      <c r="H380" s="39"/>
      <c r="I380" s="39"/>
      <c r="J380" s="39"/>
      <c r="K380" s="39"/>
      <c r="L380" s="39"/>
      <c r="M380" s="660"/>
      <c r="N380" s="343"/>
      <c r="O380" s="343"/>
      <c r="P380" s="343"/>
      <c r="Q380" s="343"/>
      <c r="R380" s="600"/>
      <c r="S380" s="600"/>
      <c r="T380" s="600"/>
      <c r="U380" s="600"/>
      <c r="V380" s="600"/>
      <c r="W380" s="600"/>
      <c r="X380" s="600"/>
      <c r="Y380" s="600"/>
      <c r="Z380" s="600"/>
      <c r="AA380" s="482"/>
      <c r="AB380" s="482"/>
      <c r="AC380" s="482"/>
      <c r="AD380" s="600">
        <v>369</v>
      </c>
      <c r="AE380" s="482"/>
      <c r="AF380" s="600"/>
      <c r="AG380" s="600"/>
      <c r="AH380" s="600"/>
      <c r="AI380" s="600"/>
      <c r="AJ380" s="600"/>
      <c r="AK380" s="600"/>
      <c r="AL380" s="600"/>
      <c r="AM380" s="600"/>
      <c r="AN380" s="482"/>
      <c r="AO380" s="600"/>
      <c r="AP380" s="600"/>
      <c r="AQ380" s="600"/>
      <c r="AR380" s="600"/>
      <c r="AS380" s="600"/>
      <c r="AT380" s="600"/>
      <c r="AU380" s="600"/>
      <c r="AV380" s="600"/>
      <c r="AW380" s="482"/>
      <c r="AX380" s="482"/>
      <c r="AY380" s="482"/>
      <c r="AZ380" s="482"/>
      <c r="BA380" s="343"/>
      <c r="BB380" s="343"/>
      <c r="BC380" s="343"/>
      <c r="BD380" s="343"/>
      <c r="BE380" s="343"/>
      <c r="BF380" s="343"/>
      <c r="BG380" s="343"/>
      <c r="BH380" s="343"/>
      <c r="BI380" s="343"/>
      <c r="BJ380" s="343"/>
      <c r="BK380" s="343"/>
      <c r="BL380" s="343"/>
      <c r="BM380" s="343"/>
      <c r="BN380" s="343"/>
      <c r="BO380" s="343"/>
      <c r="BP380" s="343"/>
      <c r="BQ380" s="343"/>
      <c r="BR380" s="343"/>
      <c r="BS380" s="343"/>
      <c r="BT380" s="343"/>
      <c r="BU380" s="343"/>
      <c r="BV380" s="343"/>
      <c r="BW380" s="343"/>
      <c r="BX380" s="343"/>
    </row>
    <row r="381" spans="1:76" s="25" customFormat="1">
      <c r="A381" s="343"/>
      <c r="B381" s="343"/>
      <c r="C381" s="64"/>
      <c r="D381" s="64"/>
      <c r="E381" s="39"/>
      <c r="F381" s="39"/>
      <c r="G381" s="39"/>
      <c r="H381" s="39"/>
      <c r="I381" s="39"/>
      <c r="J381" s="39"/>
      <c r="K381" s="39"/>
      <c r="L381" s="39"/>
      <c r="M381" s="660"/>
      <c r="N381" s="343"/>
      <c r="O381" s="343"/>
      <c r="P381" s="343"/>
      <c r="Q381" s="343"/>
      <c r="R381" s="600"/>
      <c r="S381" s="600"/>
      <c r="T381" s="600"/>
      <c r="U381" s="600"/>
      <c r="V381" s="600"/>
      <c r="W381" s="600"/>
      <c r="X381" s="600"/>
      <c r="Y381" s="600"/>
      <c r="Z381" s="600"/>
      <c r="AA381" s="482"/>
      <c r="AB381" s="482"/>
      <c r="AC381" s="482"/>
      <c r="AD381" s="600">
        <v>370</v>
      </c>
      <c r="AE381" s="482"/>
      <c r="AF381" s="600"/>
      <c r="AG381" s="600"/>
      <c r="AH381" s="600"/>
      <c r="AI381" s="600"/>
      <c r="AJ381" s="600"/>
      <c r="AK381" s="600"/>
      <c r="AL381" s="600"/>
      <c r="AM381" s="600"/>
      <c r="AN381" s="482"/>
      <c r="AO381" s="600"/>
      <c r="AP381" s="600"/>
      <c r="AQ381" s="600"/>
      <c r="AR381" s="600"/>
      <c r="AS381" s="600"/>
      <c r="AT381" s="600"/>
      <c r="AU381" s="600"/>
      <c r="AV381" s="600"/>
      <c r="AW381" s="482"/>
      <c r="AX381" s="482"/>
      <c r="AY381" s="482"/>
      <c r="AZ381" s="482"/>
      <c r="BA381" s="343"/>
      <c r="BB381" s="343"/>
      <c r="BC381" s="343"/>
      <c r="BD381" s="343"/>
      <c r="BE381" s="343"/>
      <c r="BF381" s="343"/>
      <c r="BG381" s="343"/>
      <c r="BH381" s="343"/>
      <c r="BI381" s="343"/>
      <c r="BJ381" s="343"/>
      <c r="BK381" s="343"/>
      <c r="BL381" s="343"/>
      <c r="BM381" s="343"/>
      <c r="BN381" s="343"/>
      <c r="BO381" s="343"/>
      <c r="BP381" s="343"/>
      <c r="BQ381" s="343"/>
      <c r="BR381" s="343"/>
      <c r="BS381" s="343"/>
      <c r="BT381" s="343"/>
      <c r="BU381" s="343"/>
      <c r="BV381" s="343"/>
      <c r="BW381" s="343"/>
      <c r="BX381" s="343"/>
    </row>
    <row r="382" spans="1:76" s="25" customFormat="1">
      <c r="A382" s="343"/>
      <c r="B382" s="343"/>
      <c r="C382" s="64"/>
      <c r="D382" s="64"/>
      <c r="E382" s="39"/>
      <c r="F382" s="39"/>
      <c r="G382" s="39"/>
      <c r="H382" s="39"/>
      <c r="I382" s="39"/>
      <c r="J382" s="39"/>
      <c r="K382" s="39"/>
      <c r="L382" s="39"/>
      <c r="M382" s="660"/>
      <c r="N382" s="343"/>
      <c r="O382" s="343"/>
      <c r="P382" s="343"/>
      <c r="Q382" s="343"/>
      <c r="R382" s="600"/>
      <c r="S382" s="600"/>
      <c r="T382" s="600"/>
      <c r="U382" s="600"/>
      <c r="V382" s="600"/>
      <c r="W382" s="600"/>
      <c r="X382" s="600"/>
      <c r="Y382" s="600"/>
      <c r="Z382" s="600"/>
      <c r="AA382" s="482"/>
      <c r="AB382" s="482"/>
      <c r="AC382" s="482"/>
      <c r="AD382" s="600">
        <v>371</v>
      </c>
      <c r="AE382" s="482"/>
      <c r="AF382" s="600"/>
      <c r="AG382" s="600"/>
      <c r="AH382" s="600"/>
      <c r="AI382" s="600"/>
      <c r="AJ382" s="600"/>
      <c r="AK382" s="600"/>
      <c r="AL382" s="600"/>
      <c r="AM382" s="600"/>
      <c r="AN382" s="482"/>
      <c r="AO382" s="600"/>
      <c r="AP382" s="600"/>
      <c r="AQ382" s="600"/>
      <c r="AR382" s="600"/>
      <c r="AS382" s="600"/>
      <c r="AT382" s="600"/>
      <c r="AU382" s="600"/>
      <c r="AV382" s="600"/>
      <c r="AW382" s="482"/>
      <c r="AX382" s="482"/>
      <c r="AY382" s="482"/>
      <c r="AZ382" s="482"/>
      <c r="BA382" s="343"/>
      <c r="BB382" s="343"/>
      <c r="BC382" s="343"/>
      <c r="BD382" s="343"/>
      <c r="BE382" s="343"/>
      <c r="BF382" s="343"/>
      <c r="BG382" s="343"/>
      <c r="BH382" s="343"/>
      <c r="BI382" s="343"/>
      <c r="BJ382" s="343"/>
      <c r="BK382" s="343"/>
      <c r="BL382" s="343"/>
      <c r="BM382" s="343"/>
      <c r="BN382" s="343"/>
      <c r="BO382" s="343"/>
      <c r="BP382" s="343"/>
      <c r="BQ382" s="343"/>
      <c r="BR382" s="343"/>
      <c r="BS382" s="343"/>
      <c r="BT382" s="343"/>
      <c r="BU382" s="343"/>
      <c r="BV382" s="343"/>
      <c r="BW382" s="343"/>
      <c r="BX382" s="343"/>
    </row>
    <row r="383" spans="1:76" s="25" customFormat="1">
      <c r="A383" s="343"/>
      <c r="B383" s="343"/>
      <c r="C383" s="64"/>
      <c r="D383" s="64"/>
      <c r="E383" s="39"/>
      <c r="F383" s="39"/>
      <c r="G383" s="39"/>
      <c r="H383" s="39"/>
      <c r="I383" s="39"/>
      <c r="J383" s="39"/>
      <c r="K383" s="39"/>
      <c r="L383" s="39"/>
      <c r="M383" s="660"/>
      <c r="N383" s="343"/>
      <c r="O383" s="343"/>
      <c r="P383" s="343"/>
      <c r="Q383" s="343"/>
      <c r="R383" s="600"/>
      <c r="S383" s="600"/>
      <c r="T383" s="600"/>
      <c r="U383" s="600"/>
      <c r="V383" s="600"/>
      <c r="W383" s="600"/>
      <c r="X383" s="600"/>
      <c r="Y383" s="600"/>
      <c r="Z383" s="600"/>
      <c r="AA383" s="482"/>
      <c r="AB383" s="482"/>
      <c r="AC383" s="482"/>
      <c r="AD383" s="600">
        <v>372</v>
      </c>
      <c r="AE383" s="482"/>
      <c r="AF383" s="600"/>
      <c r="AG383" s="600"/>
      <c r="AH383" s="600"/>
      <c r="AI383" s="600"/>
      <c r="AJ383" s="600"/>
      <c r="AK383" s="600"/>
      <c r="AL383" s="600"/>
      <c r="AM383" s="600"/>
      <c r="AN383" s="482"/>
      <c r="AO383" s="600"/>
      <c r="AP383" s="600"/>
      <c r="AQ383" s="600"/>
      <c r="AR383" s="600"/>
      <c r="AS383" s="600"/>
      <c r="AT383" s="600"/>
      <c r="AU383" s="600"/>
      <c r="AV383" s="600"/>
      <c r="AW383" s="482"/>
      <c r="AX383" s="482"/>
      <c r="AY383" s="482"/>
      <c r="AZ383" s="482"/>
      <c r="BA383" s="343"/>
      <c r="BB383" s="343"/>
      <c r="BC383" s="343"/>
      <c r="BD383" s="343"/>
      <c r="BE383" s="343"/>
      <c r="BF383" s="343"/>
      <c r="BG383" s="343"/>
      <c r="BH383" s="343"/>
      <c r="BI383" s="343"/>
      <c r="BJ383" s="343"/>
      <c r="BK383" s="343"/>
      <c r="BL383" s="343"/>
      <c r="BM383" s="343"/>
      <c r="BN383" s="343"/>
      <c r="BO383" s="343"/>
      <c r="BP383" s="343"/>
      <c r="BQ383" s="343"/>
      <c r="BR383" s="343"/>
      <c r="BS383" s="343"/>
      <c r="BT383" s="343"/>
      <c r="BU383" s="343"/>
      <c r="BV383" s="343"/>
      <c r="BW383" s="343"/>
      <c r="BX383" s="343"/>
    </row>
    <row r="384" spans="1:76" s="25" customFormat="1">
      <c r="A384" s="343"/>
      <c r="B384" s="343"/>
      <c r="C384" s="64"/>
      <c r="D384" s="64"/>
      <c r="E384" s="39"/>
      <c r="F384" s="39"/>
      <c r="G384" s="39"/>
      <c r="H384" s="39"/>
      <c r="I384" s="39"/>
      <c r="J384" s="39"/>
      <c r="K384" s="39"/>
      <c r="L384" s="39"/>
      <c r="M384" s="660"/>
      <c r="N384" s="343"/>
      <c r="O384" s="343"/>
      <c r="P384" s="343"/>
      <c r="Q384" s="343"/>
      <c r="R384" s="600"/>
      <c r="S384" s="600"/>
      <c r="T384" s="600"/>
      <c r="U384" s="600"/>
      <c r="V384" s="600"/>
      <c r="W384" s="600"/>
      <c r="X384" s="600"/>
      <c r="Y384" s="600"/>
      <c r="Z384" s="600"/>
      <c r="AA384" s="482"/>
      <c r="AB384" s="482"/>
      <c r="AC384" s="482"/>
      <c r="AD384" s="600">
        <v>373</v>
      </c>
      <c r="AE384" s="482"/>
      <c r="AF384" s="600"/>
      <c r="AG384" s="600"/>
      <c r="AH384" s="600"/>
      <c r="AI384" s="600"/>
      <c r="AJ384" s="600"/>
      <c r="AK384" s="600"/>
      <c r="AL384" s="600"/>
      <c r="AM384" s="600"/>
      <c r="AN384" s="482"/>
      <c r="AO384" s="600"/>
      <c r="AP384" s="600"/>
      <c r="AQ384" s="600"/>
      <c r="AR384" s="600"/>
      <c r="AS384" s="600"/>
      <c r="AT384" s="600"/>
      <c r="AU384" s="600"/>
      <c r="AV384" s="600"/>
      <c r="AW384" s="482"/>
      <c r="AX384" s="482"/>
      <c r="AY384" s="482"/>
      <c r="AZ384" s="482"/>
      <c r="BA384" s="343"/>
      <c r="BB384" s="343"/>
      <c r="BC384" s="343"/>
      <c r="BD384" s="343"/>
      <c r="BE384" s="343"/>
      <c r="BF384" s="343"/>
      <c r="BG384" s="343"/>
      <c r="BH384" s="343"/>
      <c r="BI384" s="343"/>
      <c r="BJ384" s="343"/>
      <c r="BK384" s="343"/>
      <c r="BL384" s="343"/>
      <c r="BM384" s="343"/>
      <c r="BN384" s="343"/>
      <c r="BO384" s="343"/>
      <c r="BP384" s="343"/>
      <c r="BQ384" s="343"/>
      <c r="BR384" s="343"/>
      <c r="BS384" s="343"/>
      <c r="BT384" s="343"/>
      <c r="BU384" s="343"/>
      <c r="BV384" s="343"/>
      <c r="BW384" s="343"/>
      <c r="BX384" s="343"/>
    </row>
    <row r="385" spans="1:76" s="25" customFormat="1">
      <c r="A385" s="343"/>
      <c r="B385" s="343"/>
      <c r="C385" s="64"/>
      <c r="D385" s="64"/>
      <c r="E385" s="39"/>
      <c r="F385" s="39"/>
      <c r="G385" s="39"/>
      <c r="H385" s="39"/>
      <c r="I385" s="39"/>
      <c r="J385" s="39"/>
      <c r="K385" s="39"/>
      <c r="L385" s="39"/>
      <c r="M385" s="660"/>
      <c r="N385" s="343"/>
      <c r="O385" s="343"/>
      <c r="P385" s="343"/>
      <c r="Q385" s="343"/>
      <c r="R385" s="600"/>
      <c r="S385" s="600"/>
      <c r="T385" s="600"/>
      <c r="U385" s="600"/>
      <c r="V385" s="600"/>
      <c r="W385" s="600"/>
      <c r="X385" s="600"/>
      <c r="Y385" s="600"/>
      <c r="Z385" s="600"/>
      <c r="AA385" s="482"/>
      <c r="AB385" s="482"/>
      <c r="AC385" s="482"/>
      <c r="AD385" s="600">
        <v>374</v>
      </c>
      <c r="AE385" s="482"/>
      <c r="AF385" s="600"/>
      <c r="AG385" s="600"/>
      <c r="AH385" s="600"/>
      <c r="AI385" s="600"/>
      <c r="AJ385" s="600"/>
      <c r="AK385" s="600"/>
      <c r="AL385" s="600"/>
      <c r="AM385" s="600"/>
      <c r="AN385" s="482"/>
      <c r="AO385" s="600"/>
      <c r="AP385" s="600"/>
      <c r="AQ385" s="600"/>
      <c r="AR385" s="600"/>
      <c r="AS385" s="600"/>
      <c r="AT385" s="600"/>
      <c r="AU385" s="600"/>
      <c r="AV385" s="600"/>
      <c r="AW385" s="482"/>
      <c r="AX385" s="482"/>
      <c r="AY385" s="482"/>
      <c r="AZ385" s="482"/>
      <c r="BA385" s="343"/>
      <c r="BB385" s="343"/>
      <c r="BC385" s="343"/>
      <c r="BD385" s="343"/>
      <c r="BE385" s="343"/>
      <c r="BF385" s="343"/>
      <c r="BG385" s="343"/>
      <c r="BH385" s="343"/>
      <c r="BI385" s="343"/>
      <c r="BJ385" s="343"/>
      <c r="BK385" s="343"/>
      <c r="BL385" s="343"/>
      <c r="BM385" s="343"/>
      <c r="BN385" s="343"/>
      <c r="BO385" s="343"/>
      <c r="BP385" s="343"/>
      <c r="BQ385" s="343"/>
      <c r="BR385" s="343"/>
      <c r="BS385" s="343"/>
      <c r="BT385" s="343"/>
      <c r="BU385" s="343"/>
      <c r="BV385" s="343"/>
      <c r="BW385" s="343"/>
      <c r="BX385" s="343"/>
    </row>
    <row r="386" spans="1:76" s="25" customFormat="1">
      <c r="A386" s="343"/>
      <c r="B386" s="343"/>
      <c r="C386" s="64"/>
      <c r="D386" s="64"/>
      <c r="E386" s="39"/>
      <c r="F386" s="39"/>
      <c r="G386" s="39"/>
      <c r="H386" s="39"/>
      <c r="I386" s="39"/>
      <c r="J386" s="39"/>
      <c r="K386" s="39"/>
      <c r="L386" s="39"/>
      <c r="M386" s="660"/>
      <c r="N386" s="343"/>
      <c r="O386" s="343"/>
      <c r="P386" s="343"/>
      <c r="Q386" s="343"/>
      <c r="R386" s="600"/>
      <c r="S386" s="600"/>
      <c r="T386" s="600"/>
      <c r="U386" s="600"/>
      <c r="V386" s="600"/>
      <c r="W386" s="600"/>
      <c r="X386" s="600"/>
      <c r="Y386" s="600"/>
      <c r="Z386" s="600"/>
      <c r="AA386" s="482"/>
      <c r="AB386" s="482"/>
      <c r="AC386" s="482"/>
      <c r="AD386" s="600">
        <v>375</v>
      </c>
      <c r="AE386" s="482"/>
      <c r="AF386" s="600"/>
      <c r="AG386" s="600"/>
      <c r="AH386" s="600"/>
      <c r="AI386" s="600"/>
      <c r="AJ386" s="600"/>
      <c r="AK386" s="600"/>
      <c r="AL386" s="600"/>
      <c r="AM386" s="600"/>
      <c r="AN386" s="482"/>
      <c r="AO386" s="600"/>
      <c r="AP386" s="600"/>
      <c r="AQ386" s="600"/>
      <c r="AR386" s="600"/>
      <c r="AS386" s="600"/>
      <c r="AT386" s="600"/>
      <c r="AU386" s="600"/>
      <c r="AV386" s="600"/>
      <c r="AW386" s="482"/>
      <c r="AX386" s="482"/>
      <c r="AY386" s="482"/>
      <c r="AZ386" s="482"/>
      <c r="BA386" s="343"/>
      <c r="BB386" s="343"/>
      <c r="BC386" s="343"/>
      <c r="BD386" s="343"/>
      <c r="BE386" s="343"/>
      <c r="BF386" s="343"/>
      <c r="BG386" s="343"/>
      <c r="BH386" s="343"/>
      <c r="BI386" s="343"/>
      <c r="BJ386" s="343"/>
      <c r="BK386" s="343"/>
      <c r="BL386" s="343"/>
      <c r="BM386" s="343"/>
      <c r="BN386" s="343"/>
      <c r="BO386" s="343"/>
      <c r="BP386" s="343"/>
      <c r="BQ386" s="343"/>
      <c r="BR386" s="343"/>
      <c r="BS386" s="343"/>
      <c r="BT386" s="343"/>
      <c r="BU386" s="343"/>
      <c r="BV386" s="343"/>
      <c r="BW386" s="343"/>
      <c r="BX386" s="343"/>
    </row>
    <row r="387" spans="1:76" s="25" customFormat="1">
      <c r="A387" s="343"/>
      <c r="B387" s="343"/>
      <c r="C387" s="64"/>
      <c r="D387" s="64"/>
      <c r="E387" s="39"/>
      <c r="F387" s="39"/>
      <c r="G387" s="39"/>
      <c r="H387" s="39"/>
      <c r="I387" s="39"/>
      <c r="J387" s="39"/>
      <c r="K387" s="39"/>
      <c r="L387" s="39"/>
      <c r="M387" s="660"/>
      <c r="N387" s="343"/>
      <c r="O387" s="343"/>
      <c r="P387" s="343"/>
      <c r="Q387" s="343"/>
      <c r="R387" s="600"/>
      <c r="S387" s="600"/>
      <c r="T387" s="600"/>
      <c r="U387" s="600"/>
      <c r="V387" s="600"/>
      <c r="W387" s="600"/>
      <c r="X387" s="600"/>
      <c r="Y387" s="600"/>
      <c r="Z387" s="600"/>
      <c r="AA387" s="482"/>
      <c r="AB387" s="482"/>
      <c r="AC387" s="482"/>
      <c r="AD387" s="600">
        <v>376</v>
      </c>
      <c r="AE387" s="482"/>
      <c r="AF387" s="600"/>
      <c r="AG387" s="600"/>
      <c r="AH387" s="600"/>
      <c r="AI387" s="600"/>
      <c r="AJ387" s="600"/>
      <c r="AK387" s="600"/>
      <c r="AL387" s="600"/>
      <c r="AM387" s="600"/>
      <c r="AN387" s="482"/>
      <c r="AO387" s="600"/>
      <c r="AP387" s="600"/>
      <c r="AQ387" s="600"/>
      <c r="AR387" s="600"/>
      <c r="AS387" s="600"/>
      <c r="AT387" s="600"/>
      <c r="AU387" s="600"/>
      <c r="AV387" s="600"/>
      <c r="AW387" s="482"/>
      <c r="AX387" s="482"/>
      <c r="AY387" s="482"/>
      <c r="AZ387" s="482"/>
      <c r="BA387" s="343"/>
      <c r="BB387" s="343"/>
      <c r="BC387" s="343"/>
      <c r="BD387" s="343"/>
      <c r="BE387" s="343"/>
      <c r="BF387" s="343"/>
      <c r="BG387" s="343"/>
      <c r="BH387" s="343"/>
      <c r="BI387" s="343"/>
      <c r="BJ387" s="343"/>
      <c r="BK387" s="343"/>
      <c r="BL387" s="343"/>
      <c r="BM387" s="343"/>
      <c r="BN387" s="343"/>
      <c r="BO387" s="343"/>
      <c r="BP387" s="343"/>
      <c r="BQ387" s="343"/>
      <c r="BR387" s="343"/>
      <c r="BS387" s="343"/>
      <c r="BT387" s="343"/>
      <c r="BU387" s="343"/>
      <c r="BV387" s="343"/>
      <c r="BW387" s="343"/>
      <c r="BX387" s="343"/>
    </row>
    <row r="388" spans="1:76" s="25" customFormat="1">
      <c r="A388" s="343"/>
      <c r="B388" s="343"/>
      <c r="C388" s="64"/>
      <c r="D388" s="64"/>
      <c r="E388" s="39"/>
      <c r="F388" s="39"/>
      <c r="G388" s="39"/>
      <c r="H388" s="39"/>
      <c r="I388" s="39"/>
      <c r="J388" s="39"/>
      <c r="K388" s="39"/>
      <c r="L388" s="39"/>
      <c r="M388" s="660"/>
      <c r="N388" s="343"/>
      <c r="O388" s="343"/>
      <c r="P388" s="343"/>
      <c r="Q388" s="343"/>
      <c r="R388" s="600"/>
      <c r="S388" s="600"/>
      <c r="T388" s="600"/>
      <c r="U388" s="600"/>
      <c r="V388" s="600"/>
      <c r="W388" s="600"/>
      <c r="X388" s="600"/>
      <c r="Y388" s="600"/>
      <c r="Z388" s="600"/>
      <c r="AA388" s="482"/>
      <c r="AB388" s="482"/>
      <c r="AC388" s="482"/>
      <c r="AD388" s="600">
        <v>377</v>
      </c>
      <c r="AE388" s="482"/>
      <c r="AF388" s="600"/>
      <c r="AG388" s="600"/>
      <c r="AH388" s="600"/>
      <c r="AI388" s="600"/>
      <c r="AJ388" s="600"/>
      <c r="AK388" s="600"/>
      <c r="AL388" s="600"/>
      <c r="AM388" s="600"/>
      <c r="AN388" s="482"/>
      <c r="AO388" s="600"/>
      <c r="AP388" s="600"/>
      <c r="AQ388" s="600"/>
      <c r="AR388" s="600"/>
      <c r="AS388" s="600"/>
      <c r="AT388" s="600"/>
      <c r="AU388" s="600"/>
      <c r="AV388" s="600"/>
      <c r="AW388" s="482"/>
      <c r="AX388" s="482"/>
      <c r="AY388" s="482"/>
      <c r="AZ388" s="482"/>
      <c r="BA388" s="343"/>
      <c r="BB388" s="343"/>
      <c r="BC388" s="343"/>
      <c r="BD388" s="343"/>
      <c r="BE388" s="343"/>
      <c r="BF388" s="343"/>
      <c r="BG388" s="343"/>
      <c r="BH388" s="343"/>
      <c r="BI388" s="343"/>
      <c r="BJ388" s="343"/>
      <c r="BK388" s="343"/>
      <c r="BL388" s="343"/>
      <c r="BM388" s="343"/>
      <c r="BN388" s="343"/>
      <c r="BO388" s="343"/>
      <c r="BP388" s="343"/>
      <c r="BQ388" s="343"/>
      <c r="BR388" s="343"/>
      <c r="BS388" s="343"/>
      <c r="BT388" s="343"/>
      <c r="BU388" s="343"/>
      <c r="BV388" s="343"/>
      <c r="BW388" s="343"/>
      <c r="BX388" s="343"/>
    </row>
    <row r="389" spans="1:76" s="25" customFormat="1">
      <c r="A389" s="343"/>
      <c r="B389" s="343"/>
      <c r="C389" s="64"/>
      <c r="D389" s="64"/>
      <c r="E389" s="39"/>
      <c r="F389" s="39"/>
      <c r="G389" s="39"/>
      <c r="H389" s="39"/>
      <c r="I389" s="39"/>
      <c r="J389" s="39"/>
      <c r="K389" s="39"/>
      <c r="L389" s="39"/>
      <c r="M389" s="660"/>
      <c r="N389" s="343"/>
      <c r="O389" s="343"/>
      <c r="P389" s="343"/>
      <c r="Q389" s="343"/>
      <c r="R389" s="600"/>
      <c r="S389" s="600"/>
      <c r="T389" s="600"/>
      <c r="U389" s="600"/>
      <c r="V389" s="600"/>
      <c r="W389" s="600"/>
      <c r="X389" s="600"/>
      <c r="Y389" s="600"/>
      <c r="Z389" s="600"/>
      <c r="AA389" s="482"/>
      <c r="AB389" s="482"/>
      <c r="AC389" s="482"/>
      <c r="AD389" s="600">
        <v>378</v>
      </c>
      <c r="AE389" s="482"/>
      <c r="AF389" s="600"/>
      <c r="AG389" s="600"/>
      <c r="AH389" s="600"/>
      <c r="AI389" s="600"/>
      <c r="AJ389" s="600"/>
      <c r="AK389" s="600"/>
      <c r="AL389" s="600"/>
      <c r="AM389" s="600"/>
      <c r="AN389" s="482"/>
      <c r="AO389" s="600"/>
      <c r="AP389" s="600"/>
      <c r="AQ389" s="600"/>
      <c r="AR389" s="600"/>
      <c r="AS389" s="600"/>
      <c r="AT389" s="600"/>
      <c r="AU389" s="600"/>
      <c r="AV389" s="600"/>
      <c r="AW389" s="482"/>
      <c r="AX389" s="482"/>
      <c r="AY389" s="482"/>
      <c r="AZ389" s="482"/>
      <c r="BA389" s="343"/>
      <c r="BB389" s="343"/>
      <c r="BC389" s="343"/>
      <c r="BD389" s="343"/>
      <c r="BE389" s="343"/>
      <c r="BF389" s="343"/>
      <c r="BG389" s="343"/>
      <c r="BH389" s="343"/>
      <c r="BI389" s="343"/>
      <c r="BJ389" s="343"/>
      <c r="BK389" s="343"/>
      <c r="BL389" s="343"/>
      <c r="BM389" s="343"/>
      <c r="BN389" s="343"/>
      <c r="BO389" s="343"/>
      <c r="BP389" s="343"/>
      <c r="BQ389" s="343"/>
      <c r="BR389" s="343"/>
      <c r="BS389" s="343"/>
      <c r="BT389" s="343"/>
      <c r="BU389" s="343"/>
      <c r="BV389" s="343"/>
      <c r="BW389" s="343"/>
      <c r="BX389" s="343"/>
    </row>
    <row r="390" spans="1:76" s="25" customFormat="1">
      <c r="A390" s="343"/>
      <c r="B390" s="343"/>
      <c r="C390" s="64"/>
      <c r="D390" s="64"/>
      <c r="E390" s="39"/>
      <c r="F390" s="39"/>
      <c r="G390" s="39"/>
      <c r="H390" s="39"/>
      <c r="I390" s="39"/>
      <c r="J390" s="39"/>
      <c r="K390" s="39"/>
      <c r="L390" s="39"/>
      <c r="M390" s="660"/>
      <c r="N390" s="343"/>
      <c r="O390" s="343"/>
      <c r="P390" s="343"/>
      <c r="Q390" s="343"/>
      <c r="R390" s="600"/>
      <c r="S390" s="600"/>
      <c r="T390" s="600"/>
      <c r="U390" s="600"/>
      <c r="V390" s="600"/>
      <c r="W390" s="600"/>
      <c r="X390" s="600"/>
      <c r="Y390" s="600"/>
      <c r="Z390" s="600"/>
      <c r="AA390" s="482"/>
      <c r="AB390" s="482"/>
      <c r="AC390" s="482"/>
      <c r="AD390" s="600">
        <v>379</v>
      </c>
      <c r="AE390" s="482"/>
      <c r="AF390" s="600"/>
      <c r="AG390" s="600"/>
      <c r="AH390" s="600"/>
      <c r="AI390" s="600"/>
      <c r="AJ390" s="600"/>
      <c r="AK390" s="600"/>
      <c r="AL390" s="600"/>
      <c r="AM390" s="600"/>
      <c r="AN390" s="482"/>
      <c r="AO390" s="600"/>
      <c r="AP390" s="600"/>
      <c r="AQ390" s="600"/>
      <c r="AR390" s="600"/>
      <c r="AS390" s="600"/>
      <c r="AT390" s="600"/>
      <c r="AU390" s="600"/>
      <c r="AV390" s="600"/>
      <c r="AW390" s="482"/>
      <c r="AX390" s="482"/>
      <c r="AY390" s="482"/>
      <c r="AZ390" s="482"/>
      <c r="BA390" s="343"/>
      <c r="BB390" s="343"/>
      <c r="BC390" s="343"/>
      <c r="BD390" s="343"/>
      <c r="BE390" s="343"/>
      <c r="BF390" s="343"/>
      <c r="BG390" s="343"/>
      <c r="BH390" s="343"/>
      <c r="BI390" s="343"/>
      <c r="BJ390" s="343"/>
      <c r="BK390" s="343"/>
      <c r="BL390" s="343"/>
      <c r="BM390" s="343"/>
      <c r="BN390" s="343"/>
      <c r="BO390" s="343"/>
      <c r="BP390" s="343"/>
      <c r="BQ390" s="343"/>
      <c r="BR390" s="343"/>
      <c r="BS390" s="343"/>
      <c r="BT390" s="343"/>
      <c r="BU390" s="343"/>
      <c r="BV390" s="343"/>
      <c r="BW390" s="343"/>
      <c r="BX390" s="343"/>
    </row>
    <row r="391" spans="1:76" s="25" customFormat="1">
      <c r="A391" s="343"/>
      <c r="B391" s="343"/>
      <c r="C391" s="64"/>
      <c r="D391" s="64"/>
      <c r="E391" s="39"/>
      <c r="F391" s="39"/>
      <c r="G391" s="39"/>
      <c r="H391" s="39"/>
      <c r="I391" s="39"/>
      <c r="J391" s="39"/>
      <c r="K391" s="39"/>
      <c r="L391" s="39"/>
      <c r="M391" s="660"/>
      <c r="N391" s="343"/>
      <c r="O391" s="343"/>
      <c r="P391" s="343"/>
      <c r="Q391" s="343"/>
      <c r="R391" s="600"/>
      <c r="S391" s="600"/>
      <c r="T391" s="600"/>
      <c r="U391" s="600"/>
      <c r="V391" s="600"/>
      <c r="W391" s="600"/>
      <c r="X391" s="600"/>
      <c r="Y391" s="600"/>
      <c r="Z391" s="600"/>
      <c r="AA391" s="482"/>
      <c r="AB391" s="482"/>
      <c r="AC391" s="482"/>
      <c r="AD391" s="600">
        <v>380</v>
      </c>
      <c r="AE391" s="482"/>
      <c r="AF391" s="600"/>
      <c r="AG391" s="600"/>
      <c r="AH391" s="600"/>
      <c r="AI391" s="600"/>
      <c r="AJ391" s="600"/>
      <c r="AK391" s="600"/>
      <c r="AL391" s="600"/>
      <c r="AM391" s="600"/>
      <c r="AN391" s="482"/>
      <c r="AO391" s="600"/>
      <c r="AP391" s="600"/>
      <c r="AQ391" s="600"/>
      <c r="AR391" s="600"/>
      <c r="AS391" s="600"/>
      <c r="AT391" s="600"/>
      <c r="AU391" s="600"/>
      <c r="AV391" s="600"/>
      <c r="AW391" s="482"/>
      <c r="AX391" s="482"/>
      <c r="AY391" s="482"/>
      <c r="AZ391" s="482"/>
      <c r="BA391" s="343"/>
      <c r="BB391" s="343"/>
      <c r="BC391" s="343"/>
      <c r="BD391" s="343"/>
      <c r="BE391" s="343"/>
      <c r="BF391" s="343"/>
      <c r="BG391" s="343"/>
      <c r="BH391" s="343"/>
      <c r="BI391" s="343"/>
      <c r="BJ391" s="343"/>
      <c r="BK391" s="343"/>
      <c r="BL391" s="343"/>
      <c r="BM391" s="343"/>
      <c r="BN391" s="343"/>
      <c r="BO391" s="343"/>
      <c r="BP391" s="343"/>
      <c r="BQ391" s="343"/>
      <c r="BR391" s="343"/>
      <c r="BS391" s="343"/>
      <c r="BT391" s="343"/>
      <c r="BU391" s="343"/>
      <c r="BV391" s="343"/>
      <c r="BW391" s="343"/>
      <c r="BX391" s="343"/>
    </row>
    <row r="392" spans="1:76" s="25" customFormat="1">
      <c r="A392" s="343"/>
      <c r="B392" s="343"/>
      <c r="C392" s="64"/>
      <c r="D392" s="64"/>
      <c r="E392" s="39"/>
      <c r="F392" s="39"/>
      <c r="G392" s="39"/>
      <c r="H392" s="39"/>
      <c r="I392" s="39"/>
      <c r="J392" s="39"/>
      <c r="K392" s="39"/>
      <c r="L392" s="39"/>
      <c r="M392" s="660"/>
      <c r="N392" s="343"/>
      <c r="O392" s="343"/>
      <c r="P392" s="343"/>
      <c r="Q392" s="343"/>
      <c r="R392" s="600"/>
      <c r="S392" s="600"/>
      <c r="T392" s="600"/>
      <c r="U392" s="600"/>
      <c r="V392" s="600"/>
      <c r="W392" s="600"/>
      <c r="X392" s="600"/>
      <c r="Y392" s="600"/>
      <c r="Z392" s="600"/>
      <c r="AA392" s="482"/>
      <c r="AB392" s="482"/>
      <c r="AC392" s="482"/>
      <c r="AD392" s="600">
        <v>381</v>
      </c>
      <c r="AE392" s="482"/>
      <c r="AF392" s="600"/>
      <c r="AG392" s="600"/>
      <c r="AH392" s="600"/>
      <c r="AI392" s="600"/>
      <c r="AJ392" s="600"/>
      <c r="AK392" s="600"/>
      <c r="AL392" s="600"/>
      <c r="AM392" s="600"/>
      <c r="AN392" s="482"/>
      <c r="AO392" s="600"/>
      <c r="AP392" s="600"/>
      <c r="AQ392" s="600"/>
      <c r="AR392" s="600"/>
      <c r="AS392" s="600"/>
      <c r="AT392" s="600"/>
      <c r="AU392" s="600"/>
      <c r="AV392" s="600"/>
      <c r="AW392" s="482"/>
      <c r="AX392" s="482"/>
      <c r="AY392" s="482"/>
      <c r="AZ392" s="482"/>
      <c r="BA392" s="343"/>
      <c r="BB392" s="343"/>
      <c r="BC392" s="343"/>
      <c r="BD392" s="343"/>
      <c r="BE392" s="343"/>
      <c r="BF392" s="343"/>
      <c r="BG392" s="343"/>
      <c r="BH392" s="343"/>
      <c r="BI392" s="343"/>
      <c r="BJ392" s="343"/>
      <c r="BK392" s="343"/>
      <c r="BL392" s="343"/>
      <c r="BM392" s="343"/>
      <c r="BN392" s="343"/>
      <c r="BO392" s="343"/>
      <c r="BP392" s="343"/>
      <c r="BQ392" s="343"/>
      <c r="BR392" s="343"/>
      <c r="BS392" s="343"/>
      <c r="BT392" s="343"/>
      <c r="BU392" s="343"/>
      <c r="BV392" s="343"/>
      <c r="BW392" s="343"/>
      <c r="BX392" s="343"/>
    </row>
    <row r="393" spans="1:76" s="25" customFormat="1">
      <c r="A393" s="343"/>
      <c r="B393" s="343"/>
      <c r="C393" s="64"/>
      <c r="D393" s="64"/>
      <c r="E393" s="39"/>
      <c r="F393" s="39"/>
      <c r="G393" s="39"/>
      <c r="H393" s="39"/>
      <c r="I393" s="39"/>
      <c r="J393" s="39"/>
      <c r="K393" s="39"/>
      <c r="L393" s="39"/>
      <c r="M393" s="660"/>
      <c r="N393" s="343"/>
      <c r="O393" s="343"/>
      <c r="P393" s="343"/>
      <c r="Q393" s="343"/>
      <c r="R393" s="600"/>
      <c r="S393" s="600"/>
      <c r="T393" s="600"/>
      <c r="U393" s="600"/>
      <c r="V393" s="600"/>
      <c r="W393" s="600"/>
      <c r="X393" s="600"/>
      <c r="Y393" s="600"/>
      <c r="Z393" s="600"/>
      <c r="AA393" s="482"/>
      <c r="AB393" s="482"/>
      <c r="AC393" s="482"/>
      <c r="AD393" s="600">
        <v>382</v>
      </c>
      <c r="AE393" s="482"/>
      <c r="AF393" s="600"/>
      <c r="AG393" s="600"/>
      <c r="AH393" s="600"/>
      <c r="AI393" s="600"/>
      <c r="AJ393" s="600"/>
      <c r="AK393" s="600"/>
      <c r="AL393" s="600"/>
      <c r="AM393" s="600"/>
      <c r="AN393" s="482"/>
      <c r="AO393" s="600"/>
      <c r="AP393" s="600"/>
      <c r="AQ393" s="600"/>
      <c r="AR393" s="600"/>
      <c r="AS393" s="600"/>
      <c r="AT393" s="600"/>
      <c r="AU393" s="600"/>
      <c r="AV393" s="600"/>
      <c r="AW393" s="482"/>
      <c r="AX393" s="482"/>
      <c r="AY393" s="482"/>
      <c r="AZ393" s="482"/>
      <c r="BA393" s="343"/>
      <c r="BB393" s="343"/>
      <c r="BC393" s="343"/>
      <c r="BD393" s="343"/>
      <c r="BE393" s="343"/>
      <c r="BF393" s="343"/>
      <c r="BG393" s="343"/>
      <c r="BH393" s="343"/>
      <c r="BI393" s="343"/>
      <c r="BJ393" s="343"/>
      <c r="BK393" s="343"/>
      <c r="BL393" s="343"/>
      <c r="BM393" s="343"/>
      <c r="BN393" s="343"/>
      <c r="BO393" s="343"/>
      <c r="BP393" s="343"/>
      <c r="BQ393" s="343"/>
      <c r="BR393" s="343"/>
      <c r="BS393" s="343"/>
      <c r="BT393" s="343"/>
      <c r="BU393" s="343"/>
      <c r="BV393" s="343"/>
      <c r="BW393" s="343"/>
      <c r="BX393" s="343"/>
    </row>
    <row r="394" spans="1:76" s="25" customFormat="1">
      <c r="A394" s="343"/>
      <c r="B394" s="343"/>
      <c r="C394" s="64"/>
      <c r="D394" s="64"/>
      <c r="E394" s="39"/>
      <c r="F394" s="39"/>
      <c r="G394" s="39"/>
      <c r="H394" s="39"/>
      <c r="I394" s="39"/>
      <c r="J394" s="39"/>
      <c r="K394" s="39"/>
      <c r="L394" s="39"/>
      <c r="M394" s="660"/>
      <c r="N394" s="343"/>
      <c r="O394" s="343"/>
      <c r="P394" s="343"/>
      <c r="Q394" s="343"/>
      <c r="R394" s="600"/>
      <c r="S394" s="600"/>
      <c r="T394" s="600"/>
      <c r="U394" s="600"/>
      <c r="V394" s="600"/>
      <c r="W394" s="600"/>
      <c r="X394" s="600"/>
      <c r="Y394" s="600"/>
      <c r="Z394" s="600"/>
      <c r="AA394" s="482"/>
      <c r="AB394" s="482"/>
      <c r="AC394" s="482"/>
      <c r="AD394" s="600">
        <v>383</v>
      </c>
      <c r="AE394" s="482"/>
      <c r="AF394" s="600"/>
      <c r="AG394" s="600"/>
      <c r="AH394" s="600"/>
      <c r="AI394" s="600"/>
      <c r="AJ394" s="600"/>
      <c r="AK394" s="600"/>
      <c r="AL394" s="600"/>
      <c r="AM394" s="600"/>
      <c r="AN394" s="482"/>
      <c r="AO394" s="600"/>
      <c r="AP394" s="600"/>
      <c r="AQ394" s="600"/>
      <c r="AR394" s="600"/>
      <c r="AS394" s="600"/>
      <c r="AT394" s="600"/>
      <c r="AU394" s="600"/>
      <c r="AV394" s="600"/>
      <c r="AW394" s="482"/>
      <c r="AX394" s="482"/>
      <c r="AY394" s="482"/>
      <c r="AZ394" s="482"/>
      <c r="BA394" s="343"/>
      <c r="BB394" s="343"/>
      <c r="BC394" s="343"/>
      <c r="BD394" s="343"/>
      <c r="BE394" s="343"/>
      <c r="BF394" s="343"/>
      <c r="BG394" s="343"/>
      <c r="BH394" s="343"/>
      <c r="BI394" s="343"/>
      <c r="BJ394" s="343"/>
      <c r="BK394" s="343"/>
      <c r="BL394" s="343"/>
      <c r="BM394" s="343"/>
      <c r="BN394" s="343"/>
      <c r="BO394" s="343"/>
      <c r="BP394" s="343"/>
      <c r="BQ394" s="343"/>
      <c r="BR394" s="343"/>
      <c r="BS394" s="343"/>
      <c r="BT394" s="343"/>
      <c r="BU394" s="343"/>
      <c r="BV394" s="343"/>
      <c r="BW394" s="343"/>
      <c r="BX394" s="343"/>
    </row>
    <row r="395" spans="1:76" s="25" customFormat="1">
      <c r="A395" s="343"/>
      <c r="B395" s="343"/>
      <c r="C395" s="64"/>
      <c r="D395" s="64"/>
      <c r="E395" s="39"/>
      <c r="F395" s="39"/>
      <c r="G395" s="39"/>
      <c r="H395" s="39"/>
      <c r="I395" s="39"/>
      <c r="J395" s="39"/>
      <c r="K395" s="39"/>
      <c r="L395" s="39"/>
      <c r="M395" s="660"/>
      <c r="N395" s="343"/>
      <c r="O395" s="343"/>
      <c r="P395" s="343"/>
      <c r="Q395" s="343"/>
      <c r="R395" s="600"/>
      <c r="S395" s="600"/>
      <c r="T395" s="600"/>
      <c r="U395" s="600"/>
      <c r="V395" s="600"/>
      <c r="W395" s="600"/>
      <c r="X395" s="600"/>
      <c r="Y395" s="600"/>
      <c r="Z395" s="600"/>
      <c r="AA395" s="482"/>
      <c r="AB395" s="482"/>
      <c r="AC395" s="482"/>
      <c r="AD395" s="600">
        <v>384</v>
      </c>
      <c r="AE395" s="482"/>
      <c r="AF395" s="600"/>
      <c r="AG395" s="600"/>
      <c r="AH395" s="600"/>
      <c r="AI395" s="600"/>
      <c r="AJ395" s="600"/>
      <c r="AK395" s="600"/>
      <c r="AL395" s="600"/>
      <c r="AM395" s="600"/>
      <c r="AN395" s="482"/>
      <c r="AO395" s="600"/>
      <c r="AP395" s="600"/>
      <c r="AQ395" s="600"/>
      <c r="AR395" s="600"/>
      <c r="AS395" s="600"/>
      <c r="AT395" s="600"/>
      <c r="AU395" s="600"/>
      <c r="AV395" s="600"/>
      <c r="AW395" s="482"/>
      <c r="AX395" s="482"/>
      <c r="AY395" s="482"/>
      <c r="AZ395" s="482"/>
      <c r="BA395" s="343"/>
      <c r="BB395" s="343"/>
      <c r="BC395" s="343"/>
      <c r="BD395" s="343"/>
      <c r="BE395" s="343"/>
      <c r="BF395" s="343"/>
      <c r="BG395" s="343"/>
      <c r="BH395" s="343"/>
      <c r="BI395" s="343"/>
      <c r="BJ395" s="343"/>
      <c r="BK395" s="343"/>
      <c r="BL395" s="343"/>
      <c r="BM395" s="343"/>
      <c r="BN395" s="343"/>
      <c r="BO395" s="343"/>
      <c r="BP395" s="343"/>
      <c r="BQ395" s="343"/>
      <c r="BR395" s="343"/>
      <c r="BS395" s="343"/>
      <c r="BT395" s="343"/>
      <c r="BU395" s="343"/>
      <c r="BV395" s="343"/>
      <c r="BW395" s="343"/>
      <c r="BX395" s="343"/>
    </row>
    <row r="396" spans="1:76" s="25" customFormat="1">
      <c r="A396" s="343"/>
      <c r="B396" s="343"/>
      <c r="C396" s="64"/>
      <c r="D396" s="64"/>
      <c r="E396" s="39"/>
      <c r="F396" s="39"/>
      <c r="G396" s="39"/>
      <c r="H396" s="39"/>
      <c r="I396" s="39"/>
      <c r="J396" s="39"/>
      <c r="K396" s="39"/>
      <c r="L396" s="39"/>
      <c r="M396" s="660"/>
      <c r="N396" s="343"/>
      <c r="O396" s="343"/>
      <c r="P396" s="343"/>
      <c r="Q396" s="343"/>
      <c r="R396" s="600"/>
      <c r="S396" s="600"/>
      <c r="T396" s="600"/>
      <c r="U396" s="600"/>
      <c r="V396" s="600"/>
      <c r="W396" s="600"/>
      <c r="X396" s="600"/>
      <c r="Y396" s="600"/>
      <c r="Z396" s="600"/>
      <c r="AA396" s="482"/>
      <c r="AB396" s="482"/>
      <c r="AC396" s="482"/>
      <c r="AD396" s="600">
        <v>385</v>
      </c>
      <c r="AE396" s="482"/>
      <c r="AF396" s="600"/>
      <c r="AG396" s="600"/>
      <c r="AH396" s="600"/>
      <c r="AI396" s="600"/>
      <c r="AJ396" s="600"/>
      <c r="AK396" s="600"/>
      <c r="AL396" s="600"/>
      <c r="AM396" s="600"/>
      <c r="AN396" s="482"/>
      <c r="AO396" s="600"/>
      <c r="AP396" s="600"/>
      <c r="AQ396" s="600"/>
      <c r="AR396" s="600"/>
      <c r="AS396" s="600"/>
      <c r="AT396" s="600"/>
      <c r="AU396" s="600"/>
      <c r="AV396" s="600"/>
      <c r="AW396" s="482"/>
      <c r="AX396" s="482"/>
      <c r="AY396" s="482"/>
      <c r="AZ396" s="482"/>
      <c r="BA396" s="343"/>
      <c r="BB396" s="343"/>
      <c r="BC396" s="343"/>
      <c r="BD396" s="343"/>
      <c r="BE396" s="343"/>
      <c r="BF396" s="343"/>
      <c r="BG396" s="343"/>
      <c r="BH396" s="343"/>
      <c r="BI396" s="343"/>
      <c r="BJ396" s="343"/>
      <c r="BK396" s="343"/>
      <c r="BL396" s="343"/>
      <c r="BM396" s="343"/>
      <c r="BN396" s="343"/>
      <c r="BO396" s="343"/>
      <c r="BP396" s="343"/>
      <c r="BQ396" s="343"/>
      <c r="BR396" s="343"/>
      <c r="BS396" s="343"/>
      <c r="BT396" s="343"/>
      <c r="BU396" s="343"/>
      <c r="BV396" s="343"/>
      <c r="BW396" s="343"/>
      <c r="BX396" s="343"/>
    </row>
    <row r="397" spans="1:76" s="25" customFormat="1">
      <c r="A397" s="343"/>
      <c r="B397" s="343"/>
      <c r="C397" s="64"/>
      <c r="D397" s="64"/>
      <c r="E397" s="39"/>
      <c r="F397" s="39"/>
      <c r="G397" s="39"/>
      <c r="H397" s="39"/>
      <c r="I397" s="39"/>
      <c r="J397" s="39"/>
      <c r="K397" s="39"/>
      <c r="L397" s="39"/>
      <c r="M397" s="660"/>
      <c r="N397" s="343"/>
      <c r="O397" s="343"/>
      <c r="P397" s="343"/>
      <c r="Q397" s="343"/>
      <c r="R397" s="600"/>
      <c r="S397" s="600"/>
      <c r="T397" s="600"/>
      <c r="U397" s="600"/>
      <c r="V397" s="600"/>
      <c r="W397" s="600"/>
      <c r="X397" s="600"/>
      <c r="Y397" s="600"/>
      <c r="Z397" s="600"/>
      <c r="AA397" s="482"/>
      <c r="AB397" s="482"/>
      <c r="AC397" s="482"/>
      <c r="AD397" s="600">
        <v>386</v>
      </c>
      <c r="AE397" s="482"/>
      <c r="AF397" s="600"/>
      <c r="AG397" s="600"/>
      <c r="AH397" s="600"/>
      <c r="AI397" s="600"/>
      <c r="AJ397" s="600"/>
      <c r="AK397" s="600"/>
      <c r="AL397" s="600"/>
      <c r="AM397" s="600"/>
      <c r="AN397" s="482"/>
      <c r="AO397" s="600"/>
      <c r="AP397" s="600"/>
      <c r="AQ397" s="600"/>
      <c r="AR397" s="600"/>
      <c r="AS397" s="600"/>
      <c r="AT397" s="600"/>
      <c r="AU397" s="600"/>
      <c r="AV397" s="600"/>
      <c r="AW397" s="482"/>
      <c r="AX397" s="482"/>
      <c r="AY397" s="482"/>
      <c r="AZ397" s="482"/>
      <c r="BA397" s="343"/>
      <c r="BB397" s="343"/>
      <c r="BC397" s="343"/>
      <c r="BD397" s="343"/>
      <c r="BE397" s="343"/>
      <c r="BF397" s="343"/>
      <c r="BG397" s="343"/>
      <c r="BH397" s="343"/>
      <c r="BI397" s="343"/>
      <c r="BJ397" s="343"/>
      <c r="BK397" s="343"/>
      <c r="BL397" s="343"/>
      <c r="BM397" s="343"/>
      <c r="BN397" s="343"/>
      <c r="BO397" s="343"/>
      <c r="BP397" s="343"/>
      <c r="BQ397" s="343"/>
      <c r="BR397" s="343"/>
      <c r="BS397" s="343"/>
      <c r="BT397" s="343"/>
      <c r="BU397" s="343"/>
      <c r="BV397" s="343"/>
      <c r="BW397" s="343"/>
      <c r="BX397" s="343"/>
    </row>
    <row r="398" spans="1:76" s="25" customFormat="1">
      <c r="A398" s="343"/>
      <c r="B398" s="343"/>
      <c r="C398" s="64"/>
      <c r="D398" s="64"/>
      <c r="E398" s="39"/>
      <c r="F398" s="39"/>
      <c r="G398" s="39"/>
      <c r="H398" s="39"/>
      <c r="I398" s="39"/>
      <c r="J398" s="39"/>
      <c r="K398" s="39"/>
      <c r="L398" s="39"/>
      <c r="M398" s="660"/>
      <c r="N398" s="343"/>
      <c r="O398" s="343"/>
      <c r="P398" s="343"/>
      <c r="Q398" s="343"/>
      <c r="R398" s="600"/>
      <c r="S398" s="600"/>
      <c r="T398" s="600"/>
      <c r="U398" s="600"/>
      <c r="V398" s="600"/>
      <c r="W398" s="600"/>
      <c r="X398" s="600"/>
      <c r="Y398" s="600"/>
      <c r="Z398" s="600"/>
      <c r="AA398" s="482"/>
      <c r="AB398" s="482"/>
      <c r="AC398" s="482"/>
      <c r="AD398" s="600">
        <v>387</v>
      </c>
      <c r="AE398" s="482"/>
      <c r="AF398" s="600"/>
      <c r="AG398" s="600"/>
      <c r="AH398" s="600"/>
      <c r="AI398" s="600"/>
      <c r="AJ398" s="600"/>
      <c r="AK398" s="600"/>
      <c r="AL398" s="600"/>
      <c r="AM398" s="600"/>
      <c r="AN398" s="482"/>
      <c r="AO398" s="600"/>
      <c r="AP398" s="600"/>
      <c r="AQ398" s="600"/>
      <c r="AR398" s="600"/>
      <c r="AS398" s="600"/>
      <c r="AT398" s="600"/>
      <c r="AU398" s="600"/>
      <c r="AV398" s="600"/>
      <c r="AW398" s="482"/>
      <c r="AX398" s="482"/>
      <c r="AY398" s="482"/>
      <c r="AZ398" s="482"/>
      <c r="BA398" s="343"/>
      <c r="BB398" s="343"/>
      <c r="BC398" s="343"/>
      <c r="BD398" s="343"/>
      <c r="BE398" s="343"/>
      <c r="BF398" s="343"/>
      <c r="BG398" s="343"/>
      <c r="BH398" s="343"/>
      <c r="BI398" s="343"/>
      <c r="BJ398" s="343"/>
      <c r="BK398" s="343"/>
      <c r="BL398" s="343"/>
      <c r="BM398" s="343"/>
      <c r="BN398" s="343"/>
      <c r="BO398" s="343"/>
      <c r="BP398" s="343"/>
      <c r="BQ398" s="343"/>
      <c r="BR398" s="343"/>
      <c r="BS398" s="343"/>
      <c r="BT398" s="343"/>
      <c r="BU398" s="343"/>
      <c r="BV398" s="343"/>
      <c r="BW398" s="343"/>
      <c r="BX398" s="343"/>
    </row>
    <row r="399" spans="1:76" s="25" customFormat="1">
      <c r="A399" s="343"/>
      <c r="B399" s="343"/>
      <c r="C399" s="64"/>
      <c r="D399" s="64"/>
      <c r="E399" s="39"/>
      <c r="F399" s="39"/>
      <c r="G399" s="39"/>
      <c r="H399" s="39"/>
      <c r="I399" s="39"/>
      <c r="J399" s="39"/>
      <c r="K399" s="39"/>
      <c r="L399" s="39"/>
      <c r="M399" s="660"/>
      <c r="N399" s="343"/>
      <c r="O399" s="343"/>
      <c r="P399" s="343"/>
      <c r="Q399" s="343"/>
      <c r="R399" s="600"/>
      <c r="S399" s="600"/>
      <c r="T399" s="600"/>
      <c r="U399" s="600"/>
      <c r="V399" s="600"/>
      <c r="W399" s="600"/>
      <c r="X399" s="600"/>
      <c r="Y399" s="600"/>
      <c r="Z399" s="600"/>
      <c r="AA399" s="482"/>
      <c r="AB399" s="482"/>
      <c r="AC399" s="482"/>
      <c r="AD399" s="600">
        <v>388</v>
      </c>
      <c r="AE399" s="482"/>
      <c r="AF399" s="600"/>
      <c r="AG399" s="600"/>
      <c r="AH399" s="600"/>
      <c r="AI399" s="600"/>
      <c r="AJ399" s="600"/>
      <c r="AK399" s="600"/>
      <c r="AL399" s="600"/>
      <c r="AM399" s="600"/>
      <c r="AN399" s="482"/>
      <c r="AO399" s="600"/>
      <c r="AP399" s="600"/>
      <c r="AQ399" s="600"/>
      <c r="AR399" s="600"/>
      <c r="AS399" s="600"/>
      <c r="AT399" s="600"/>
      <c r="AU399" s="600"/>
      <c r="AV399" s="600"/>
      <c r="AW399" s="482"/>
      <c r="AX399" s="482"/>
      <c r="AY399" s="482"/>
      <c r="AZ399" s="482"/>
      <c r="BA399" s="343"/>
      <c r="BB399" s="343"/>
      <c r="BC399" s="343"/>
      <c r="BD399" s="343"/>
      <c r="BE399" s="343"/>
      <c r="BF399" s="343"/>
      <c r="BG399" s="343"/>
      <c r="BH399" s="343"/>
      <c r="BI399" s="343"/>
      <c r="BJ399" s="343"/>
      <c r="BK399" s="343"/>
      <c r="BL399" s="343"/>
      <c r="BM399" s="343"/>
      <c r="BN399" s="343"/>
      <c r="BO399" s="343"/>
      <c r="BP399" s="343"/>
      <c r="BQ399" s="343"/>
      <c r="BR399" s="343"/>
      <c r="BS399" s="343"/>
      <c r="BT399" s="343"/>
      <c r="BU399" s="343"/>
      <c r="BV399" s="343"/>
      <c r="BW399" s="343"/>
      <c r="BX399" s="343"/>
    </row>
    <row r="400" spans="1:76" s="25" customFormat="1">
      <c r="A400" s="343"/>
      <c r="B400" s="343"/>
      <c r="C400" s="64"/>
      <c r="D400" s="64"/>
      <c r="E400" s="39"/>
      <c r="F400" s="39"/>
      <c r="G400" s="39"/>
      <c r="H400" s="39"/>
      <c r="I400" s="39"/>
      <c r="J400" s="39"/>
      <c r="K400" s="39"/>
      <c r="L400" s="39"/>
      <c r="M400" s="660"/>
      <c r="N400" s="343"/>
      <c r="O400" s="343"/>
      <c r="P400" s="343"/>
      <c r="Q400" s="343"/>
      <c r="R400" s="600"/>
      <c r="S400" s="600"/>
      <c r="T400" s="600"/>
      <c r="U400" s="600"/>
      <c r="V400" s="600"/>
      <c r="W400" s="600"/>
      <c r="X400" s="600"/>
      <c r="Y400" s="600"/>
      <c r="Z400" s="600"/>
      <c r="AA400" s="482"/>
      <c r="AB400" s="482"/>
      <c r="AC400" s="482"/>
      <c r="AD400" s="600">
        <v>389</v>
      </c>
      <c r="AE400" s="482"/>
      <c r="AF400" s="600"/>
      <c r="AG400" s="600"/>
      <c r="AH400" s="600"/>
      <c r="AI400" s="600"/>
      <c r="AJ400" s="600"/>
      <c r="AK400" s="600"/>
      <c r="AL400" s="600"/>
      <c r="AM400" s="600"/>
      <c r="AN400" s="482"/>
      <c r="AO400" s="600"/>
      <c r="AP400" s="600"/>
      <c r="AQ400" s="600"/>
      <c r="AR400" s="600"/>
      <c r="AS400" s="600"/>
      <c r="AT400" s="600"/>
      <c r="AU400" s="600"/>
      <c r="AV400" s="600"/>
      <c r="AW400" s="482"/>
      <c r="AX400" s="482"/>
      <c r="AY400" s="482"/>
      <c r="AZ400" s="482"/>
      <c r="BA400" s="343"/>
      <c r="BB400" s="343"/>
      <c r="BC400" s="343"/>
      <c r="BD400" s="343"/>
      <c r="BE400" s="343"/>
      <c r="BF400" s="343"/>
      <c r="BG400" s="343"/>
      <c r="BH400" s="343"/>
      <c r="BI400" s="343"/>
      <c r="BJ400" s="343"/>
      <c r="BK400" s="343"/>
      <c r="BL400" s="343"/>
      <c r="BM400" s="343"/>
      <c r="BN400" s="343"/>
      <c r="BO400" s="343"/>
      <c r="BP400" s="343"/>
      <c r="BQ400" s="343"/>
      <c r="BR400" s="343"/>
      <c r="BS400" s="343"/>
      <c r="BT400" s="343"/>
      <c r="BU400" s="343"/>
      <c r="BV400" s="343"/>
      <c r="BW400" s="343"/>
      <c r="BX400" s="343"/>
    </row>
    <row r="401" spans="1:76" s="25" customFormat="1">
      <c r="A401" s="343"/>
      <c r="B401" s="343"/>
      <c r="C401" s="64"/>
      <c r="D401" s="64"/>
      <c r="E401" s="39"/>
      <c r="F401" s="39"/>
      <c r="G401" s="39"/>
      <c r="H401" s="39"/>
      <c r="I401" s="39"/>
      <c r="J401" s="39"/>
      <c r="K401" s="39"/>
      <c r="L401" s="39"/>
      <c r="M401" s="660"/>
      <c r="N401" s="343"/>
      <c r="O401" s="343"/>
      <c r="P401" s="343"/>
      <c r="Q401" s="343"/>
      <c r="R401" s="600"/>
      <c r="S401" s="600"/>
      <c r="T401" s="600"/>
      <c r="U401" s="600"/>
      <c r="V401" s="600"/>
      <c r="W401" s="600"/>
      <c r="X401" s="600"/>
      <c r="Y401" s="600"/>
      <c r="Z401" s="600"/>
      <c r="AA401" s="482"/>
      <c r="AB401" s="482"/>
      <c r="AC401" s="482"/>
      <c r="AD401" s="600">
        <v>390</v>
      </c>
      <c r="AE401" s="482"/>
      <c r="AF401" s="600"/>
      <c r="AG401" s="600"/>
      <c r="AH401" s="600"/>
      <c r="AI401" s="600"/>
      <c r="AJ401" s="600"/>
      <c r="AK401" s="600"/>
      <c r="AL401" s="600"/>
      <c r="AM401" s="600"/>
      <c r="AN401" s="482"/>
      <c r="AO401" s="600"/>
      <c r="AP401" s="600"/>
      <c r="AQ401" s="600"/>
      <c r="AR401" s="600"/>
      <c r="AS401" s="600"/>
      <c r="AT401" s="600"/>
      <c r="AU401" s="600"/>
      <c r="AV401" s="600"/>
      <c r="AW401" s="482"/>
      <c r="AX401" s="482"/>
      <c r="AY401" s="482"/>
      <c r="AZ401" s="482"/>
      <c r="BA401" s="343"/>
      <c r="BB401" s="343"/>
      <c r="BC401" s="343"/>
      <c r="BD401" s="343"/>
      <c r="BE401" s="343"/>
      <c r="BF401" s="343"/>
      <c r="BG401" s="343"/>
      <c r="BH401" s="343"/>
      <c r="BI401" s="343"/>
      <c r="BJ401" s="343"/>
      <c r="BK401" s="343"/>
      <c r="BL401" s="343"/>
      <c r="BM401" s="343"/>
      <c r="BN401" s="343"/>
      <c r="BO401" s="343"/>
      <c r="BP401" s="343"/>
      <c r="BQ401" s="343"/>
      <c r="BR401" s="343"/>
      <c r="BS401" s="343"/>
      <c r="BT401" s="343"/>
      <c r="BU401" s="343"/>
      <c r="BV401" s="343"/>
      <c r="BW401" s="343"/>
      <c r="BX401" s="343"/>
    </row>
    <row r="402" spans="1:76" s="25" customFormat="1">
      <c r="A402" s="343"/>
      <c r="B402" s="343"/>
      <c r="C402" s="64"/>
      <c r="D402" s="64"/>
      <c r="E402" s="39"/>
      <c r="F402" s="39"/>
      <c r="G402" s="39"/>
      <c r="H402" s="39"/>
      <c r="I402" s="39"/>
      <c r="J402" s="39"/>
      <c r="K402" s="39"/>
      <c r="L402" s="39"/>
      <c r="M402" s="660"/>
      <c r="N402" s="343"/>
      <c r="O402" s="343"/>
      <c r="P402" s="343"/>
      <c r="Q402" s="343"/>
      <c r="R402" s="600"/>
      <c r="S402" s="600"/>
      <c r="T402" s="600"/>
      <c r="U402" s="600"/>
      <c r="V402" s="600"/>
      <c r="W402" s="600"/>
      <c r="X402" s="600"/>
      <c r="Y402" s="600"/>
      <c r="Z402" s="600"/>
      <c r="AA402" s="482"/>
      <c r="AB402" s="482"/>
      <c r="AC402" s="482"/>
      <c r="AD402" s="600">
        <v>391</v>
      </c>
      <c r="AE402" s="482"/>
      <c r="AF402" s="600"/>
      <c r="AG402" s="600"/>
      <c r="AH402" s="600"/>
      <c r="AI402" s="600"/>
      <c r="AJ402" s="600"/>
      <c r="AK402" s="600"/>
      <c r="AL402" s="600"/>
      <c r="AM402" s="600"/>
      <c r="AN402" s="482"/>
      <c r="AO402" s="600"/>
      <c r="AP402" s="600"/>
      <c r="AQ402" s="600"/>
      <c r="AR402" s="600"/>
      <c r="AS402" s="600"/>
      <c r="AT402" s="600"/>
      <c r="AU402" s="600"/>
      <c r="AV402" s="600"/>
      <c r="AW402" s="482"/>
      <c r="AX402" s="482"/>
      <c r="AY402" s="482"/>
      <c r="AZ402" s="482"/>
      <c r="BA402" s="343"/>
      <c r="BB402" s="343"/>
      <c r="BC402" s="343"/>
      <c r="BD402" s="343"/>
      <c r="BE402" s="343"/>
      <c r="BF402" s="343"/>
      <c r="BG402" s="343"/>
      <c r="BH402" s="343"/>
      <c r="BI402" s="343"/>
      <c r="BJ402" s="343"/>
      <c r="BK402" s="343"/>
      <c r="BL402" s="343"/>
      <c r="BM402" s="343"/>
      <c r="BN402" s="343"/>
      <c r="BO402" s="343"/>
      <c r="BP402" s="343"/>
      <c r="BQ402" s="343"/>
      <c r="BR402" s="343"/>
      <c r="BS402" s="343"/>
      <c r="BT402" s="343"/>
      <c r="BU402" s="343"/>
      <c r="BV402" s="343"/>
      <c r="BW402" s="343"/>
      <c r="BX402" s="343"/>
    </row>
    <row r="403" spans="1:76" s="25" customFormat="1">
      <c r="A403" s="343"/>
      <c r="B403" s="343"/>
      <c r="C403" s="64"/>
      <c r="D403" s="64"/>
      <c r="E403" s="39"/>
      <c r="F403" s="39"/>
      <c r="G403" s="39"/>
      <c r="H403" s="39"/>
      <c r="I403" s="39"/>
      <c r="J403" s="39"/>
      <c r="K403" s="39"/>
      <c r="L403" s="39"/>
      <c r="M403" s="660"/>
      <c r="N403" s="343"/>
      <c r="O403" s="343"/>
      <c r="P403" s="343"/>
      <c r="Q403" s="343"/>
      <c r="R403" s="600"/>
      <c r="S403" s="600"/>
      <c r="T403" s="600"/>
      <c r="U403" s="600"/>
      <c r="V403" s="600"/>
      <c r="W403" s="600"/>
      <c r="X403" s="600"/>
      <c r="Y403" s="600"/>
      <c r="Z403" s="600"/>
      <c r="AA403" s="482"/>
      <c r="AB403" s="482"/>
      <c r="AC403" s="482"/>
      <c r="AD403" s="600">
        <v>392</v>
      </c>
      <c r="AE403" s="482"/>
      <c r="AF403" s="600"/>
      <c r="AG403" s="600"/>
      <c r="AH403" s="600"/>
      <c r="AI403" s="600"/>
      <c r="AJ403" s="600"/>
      <c r="AK403" s="600"/>
      <c r="AL403" s="600"/>
      <c r="AM403" s="600"/>
      <c r="AN403" s="482"/>
      <c r="AO403" s="600"/>
      <c r="AP403" s="600"/>
      <c r="AQ403" s="600"/>
      <c r="AR403" s="600"/>
      <c r="AS403" s="600"/>
      <c r="AT403" s="600"/>
      <c r="AU403" s="600"/>
      <c r="AV403" s="600"/>
      <c r="AW403" s="482"/>
      <c r="AX403" s="482"/>
      <c r="AY403" s="482"/>
      <c r="AZ403" s="482"/>
      <c r="BA403" s="343"/>
      <c r="BB403" s="343"/>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row>
    <row r="404" spans="1:76" s="25" customFormat="1">
      <c r="A404" s="343"/>
      <c r="B404" s="343"/>
      <c r="C404" s="64"/>
      <c r="D404" s="64"/>
      <c r="E404" s="39"/>
      <c r="F404" s="39"/>
      <c r="G404" s="39"/>
      <c r="H404" s="39"/>
      <c r="I404" s="39"/>
      <c r="J404" s="39"/>
      <c r="K404" s="39"/>
      <c r="L404" s="39"/>
      <c r="M404" s="660"/>
      <c r="N404" s="343"/>
      <c r="O404" s="343"/>
      <c r="P404" s="343"/>
      <c r="Q404" s="343"/>
      <c r="R404" s="600"/>
      <c r="S404" s="600"/>
      <c r="T404" s="600"/>
      <c r="U404" s="600"/>
      <c r="V404" s="600"/>
      <c r="W404" s="600"/>
      <c r="X404" s="600"/>
      <c r="Y404" s="600"/>
      <c r="Z404" s="600"/>
      <c r="AA404" s="482"/>
      <c r="AB404" s="482"/>
      <c r="AC404" s="482"/>
      <c r="AD404" s="600">
        <v>393</v>
      </c>
      <c r="AE404" s="482"/>
      <c r="AF404" s="600"/>
      <c r="AG404" s="600"/>
      <c r="AH404" s="600"/>
      <c r="AI404" s="600"/>
      <c r="AJ404" s="600"/>
      <c r="AK404" s="600"/>
      <c r="AL404" s="600"/>
      <c r="AM404" s="600"/>
      <c r="AN404" s="482"/>
      <c r="AO404" s="600"/>
      <c r="AP404" s="600"/>
      <c r="AQ404" s="600"/>
      <c r="AR404" s="600"/>
      <c r="AS404" s="600"/>
      <c r="AT404" s="600"/>
      <c r="AU404" s="600"/>
      <c r="AV404" s="600"/>
      <c r="AW404" s="482"/>
      <c r="AX404" s="482"/>
      <c r="AY404" s="482"/>
      <c r="AZ404" s="482"/>
      <c r="BA404" s="343"/>
      <c r="BB404" s="343"/>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row>
    <row r="405" spans="1:76" s="25" customFormat="1">
      <c r="A405" s="343"/>
      <c r="B405" s="343"/>
      <c r="C405" s="64"/>
      <c r="D405" s="64"/>
      <c r="E405" s="39"/>
      <c r="F405" s="39"/>
      <c r="G405" s="39"/>
      <c r="H405" s="39"/>
      <c r="I405" s="39"/>
      <c r="J405" s="39"/>
      <c r="K405" s="39"/>
      <c r="L405" s="39"/>
      <c r="M405" s="660"/>
      <c r="N405" s="343"/>
      <c r="O405" s="343"/>
      <c r="P405" s="343"/>
      <c r="Q405" s="343"/>
      <c r="R405" s="600"/>
      <c r="S405" s="600"/>
      <c r="T405" s="600"/>
      <c r="U405" s="600"/>
      <c r="V405" s="600"/>
      <c r="W405" s="600"/>
      <c r="X405" s="600"/>
      <c r="Y405" s="600"/>
      <c r="Z405" s="600"/>
      <c r="AA405" s="482"/>
      <c r="AB405" s="482"/>
      <c r="AC405" s="482"/>
      <c r="AD405" s="600">
        <v>394</v>
      </c>
      <c r="AE405" s="482"/>
      <c r="AF405" s="600"/>
      <c r="AG405" s="600"/>
      <c r="AH405" s="600"/>
      <c r="AI405" s="600"/>
      <c r="AJ405" s="600"/>
      <c r="AK405" s="600"/>
      <c r="AL405" s="600"/>
      <c r="AM405" s="600"/>
      <c r="AN405" s="482"/>
      <c r="AO405" s="600"/>
      <c r="AP405" s="600"/>
      <c r="AQ405" s="600"/>
      <c r="AR405" s="600"/>
      <c r="AS405" s="600"/>
      <c r="AT405" s="600"/>
      <c r="AU405" s="600"/>
      <c r="AV405" s="600"/>
      <c r="AW405" s="482"/>
      <c r="AX405" s="482"/>
      <c r="AY405" s="482"/>
      <c r="AZ405" s="482"/>
      <c r="BA405" s="343"/>
      <c r="BB405" s="343"/>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row>
    <row r="406" spans="1:76" s="25" customFormat="1">
      <c r="A406" s="343"/>
      <c r="B406" s="343"/>
      <c r="C406" s="64"/>
      <c r="D406" s="64"/>
      <c r="E406" s="39"/>
      <c r="F406" s="39"/>
      <c r="G406" s="39"/>
      <c r="H406" s="39"/>
      <c r="I406" s="39"/>
      <c r="J406" s="39"/>
      <c r="K406" s="39"/>
      <c r="L406" s="39"/>
      <c r="M406" s="660"/>
      <c r="N406" s="343"/>
      <c r="O406" s="343"/>
      <c r="P406" s="343"/>
      <c r="Q406" s="343"/>
      <c r="R406" s="600"/>
      <c r="S406" s="600"/>
      <c r="T406" s="600"/>
      <c r="U406" s="600"/>
      <c r="V406" s="600"/>
      <c r="W406" s="600"/>
      <c r="X406" s="600"/>
      <c r="Y406" s="600"/>
      <c r="Z406" s="600"/>
      <c r="AA406" s="482"/>
      <c r="AB406" s="482"/>
      <c r="AC406" s="482"/>
      <c r="AD406" s="600">
        <v>395</v>
      </c>
      <c r="AE406" s="482"/>
      <c r="AF406" s="600"/>
      <c r="AG406" s="600"/>
      <c r="AH406" s="600"/>
      <c r="AI406" s="600"/>
      <c r="AJ406" s="600"/>
      <c r="AK406" s="600"/>
      <c r="AL406" s="600"/>
      <c r="AM406" s="600"/>
      <c r="AN406" s="482"/>
      <c r="AO406" s="600"/>
      <c r="AP406" s="600"/>
      <c r="AQ406" s="600"/>
      <c r="AR406" s="600"/>
      <c r="AS406" s="600"/>
      <c r="AT406" s="600"/>
      <c r="AU406" s="600"/>
      <c r="AV406" s="600"/>
      <c r="AW406" s="482"/>
      <c r="AX406" s="482"/>
      <c r="AY406" s="482"/>
      <c r="AZ406" s="482"/>
      <c r="BA406" s="343"/>
      <c r="BB406" s="343"/>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row>
    <row r="407" spans="1:76" s="25" customFormat="1">
      <c r="A407" s="343"/>
      <c r="B407" s="343"/>
      <c r="C407" s="64"/>
      <c r="D407" s="64"/>
      <c r="E407" s="39"/>
      <c r="F407" s="39"/>
      <c r="G407" s="39"/>
      <c r="H407" s="39"/>
      <c r="I407" s="39"/>
      <c r="J407" s="39"/>
      <c r="K407" s="39"/>
      <c r="L407" s="39"/>
      <c r="M407" s="660"/>
      <c r="N407" s="343"/>
      <c r="O407" s="343"/>
      <c r="P407" s="343"/>
      <c r="Q407" s="343"/>
      <c r="R407" s="600"/>
      <c r="S407" s="600"/>
      <c r="T407" s="600"/>
      <c r="U407" s="600"/>
      <c r="V407" s="600"/>
      <c r="W407" s="600"/>
      <c r="X407" s="600"/>
      <c r="Y407" s="600"/>
      <c r="Z407" s="600"/>
      <c r="AA407" s="482"/>
      <c r="AB407" s="482"/>
      <c r="AC407" s="482"/>
      <c r="AD407" s="600">
        <v>396</v>
      </c>
      <c r="AE407" s="482"/>
      <c r="AF407" s="600"/>
      <c r="AG407" s="600"/>
      <c r="AH407" s="600"/>
      <c r="AI407" s="600"/>
      <c r="AJ407" s="600"/>
      <c r="AK407" s="600"/>
      <c r="AL407" s="600"/>
      <c r="AM407" s="600"/>
      <c r="AN407" s="482"/>
      <c r="AO407" s="600"/>
      <c r="AP407" s="600"/>
      <c r="AQ407" s="600"/>
      <c r="AR407" s="600"/>
      <c r="AS407" s="600"/>
      <c r="AT407" s="600"/>
      <c r="AU407" s="600"/>
      <c r="AV407" s="600"/>
      <c r="AW407" s="482"/>
      <c r="AX407" s="482"/>
      <c r="AY407" s="482"/>
      <c r="AZ407" s="482"/>
      <c r="BA407" s="343"/>
      <c r="BB407" s="343"/>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row>
    <row r="408" spans="1:76" s="25" customFormat="1">
      <c r="A408" s="343"/>
      <c r="B408" s="343"/>
      <c r="C408" s="64"/>
      <c r="D408" s="64"/>
      <c r="E408" s="39"/>
      <c r="F408" s="39"/>
      <c r="G408" s="39"/>
      <c r="H408" s="39"/>
      <c r="I408" s="39"/>
      <c r="J408" s="39"/>
      <c r="K408" s="39"/>
      <c r="L408" s="39"/>
      <c r="M408" s="660"/>
      <c r="N408" s="343"/>
      <c r="O408" s="343"/>
      <c r="P408" s="343"/>
      <c r="Q408" s="343"/>
      <c r="R408" s="600"/>
      <c r="S408" s="600"/>
      <c r="T408" s="600"/>
      <c r="U408" s="600"/>
      <c r="V408" s="600"/>
      <c r="W408" s="600"/>
      <c r="X408" s="600"/>
      <c r="Y408" s="600"/>
      <c r="Z408" s="600"/>
      <c r="AA408" s="482"/>
      <c r="AB408" s="482"/>
      <c r="AC408" s="482"/>
      <c r="AD408" s="600">
        <v>397</v>
      </c>
      <c r="AE408" s="482"/>
      <c r="AF408" s="600"/>
      <c r="AG408" s="600"/>
      <c r="AH408" s="600"/>
      <c r="AI408" s="600"/>
      <c r="AJ408" s="600"/>
      <c r="AK408" s="600"/>
      <c r="AL408" s="600"/>
      <c r="AM408" s="600"/>
      <c r="AN408" s="482"/>
      <c r="AO408" s="600"/>
      <c r="AP408" s="600"/>
      <c r="AQ408" s="600"/>
      <c r="AR408" s="600"/>
      <c r="AS408" s="600"/>
      <c r="AT408" s="600"/>
      <c r="AU408" s="600"/>
      <c r="AV408" s="600"/>
      <c r="AW408" s="482"/>
      <c r="AX408" s="482"/>
      <c r="AY408" s="482"/>
      <c r="AZ408" s="482"/>
      <c r="BA408" s="343"/>
      <c r="BB408" s="343"/>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row>
    <row r="409" spans="1:76" s="25" customFormat="1">
      <c r="A409" s="343"/>
      <c r="B409" s="343"/>
      <c r="C409" s="64"/>
      <c r="D409" s="64"/>
      <c r="E409" s="39"/>
      <c r="F409" s="39"/>
      <c r="G409" s="39"/>
      <c r="H409" s="39"/>
      <c r="I409" s="39"/>
      <c r="J409" s="39"/>
      <c r="K409" s="39"/>
      <c r="L409" s="39"/>
      <c r="M409" s="660"/>
      <c r="N409" s="343"/>
      <c r="O409" s="343"/>
      <c r="P409" s="343"/>
      <c r="Q409" s="343"/>
      <c r="R409" s="600"/>
      <c r="S409" s="600"/>
      <c r="T409" s="600"/>
      <c r="U409" s="600"/>
      <c r="V409" s="600"/>
      <c r="W409" s="600"/>
      <c r="X409" s="600"/>
      <c r="Y409" s="600"/>
      <c r="Z409" s="600"/>
      <c r="AA409" s="482"/>
      <c r="AB409" s="482"/>
      <c r="AC409" s="482"/>
      <c r="AD409" s="600">
        <v>398</v>
      </c>
      <c r="AE409" s="482"/>
      <c r="AF409" s="600"/>
      <c r="AG409" s="600"/>
      <c r="AH409" s="600"/>
      <c r="AI409" s="600"/>
      <c r="AJ409" s="600"/>
      <c r="AK409" s="600"/>
      <c r="AL409" s="600"/>
      <c r="AM409" s="600"/>
      <c r="AN409" s="482"/>
      <c r="AO409" s="600"/>
      <c r="AP409" s="600"/>
      <c r="AQ409" s="600"/>
      <c r="AR409" s="600"/>
      <c r="AS409" s="600"/>
      <c r="AT409" s="600"/>
      <c r="AU409" s="600"/>
      <c r="AV409" s="600"/>
      <c r="AW409" s="482"/>
      <c r="AX409" s="482"/>
      <c r="AY409" s="482"/>
      <c r="AZ409" s="482"/>
      <c r="BA409" s="343"/>
      <c r="BB409" s="343"/>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row>
    <row r="410" spans="1:76" s="25" customFormat="1">
      <c r="A410" s="343"/>
      <c r="B410" s="343"/>
      <c r="C410" s="64"/>
      <c r="D410" s="64"/>
      <c r="E410" s="39"/>
      <c r="F410" s="39"/>
      <c r="G410" s="39"/>
      <c r="H410" s="39"/>
      <c r="I410" s="39"/>
      <c r="J410" s="39"/>
      <c r="K410" s="39"/>
      <c r="L410" s="39"/>
      <c r="M410" s="660"/>
      <c r="N410" s="343"/>
      <c r="O410" s="343"/>
      <c r="P410" s="343"/>
      <c r="Q410" s="343"/>
      <c r="R410" s="600"/>
      <c r="S410" s="600"/>
      <c r="T410" s="600"/>
      <c r="U410" s="600"/>
      <c r="V410" s="600"/>
      <c r="W410" s="600"/>
      <c r="X410" s="600"/>
      <c r="Y410" s="600"/>
      <c r="Z410" s="600"/>
      <c r="AA410" s="482"/>
      <c r="AB410" s="482"/>
      <c r="AC410" s="482"/>
      <c r="AD410" s="600">
        <v>399</v>
      </c>
      <c r="AE410" s="482"/>
      <c r="AF410" s="600"/>
      <c r="AG410" s="600"/>
      <c r="AH410" s="600"/>
      <c r="AI410" s="600"/>
      <c r="AJ410" s="600"/>
      <c r="AK410" s="600"/>
      <c r="AL410" s="600"/>
      <c r="AM410" s="600"/>
      <c r="AN410" s="482"/>
      <c r="AO410" s="600"/>
      <c r="AP410" s="600"/>
      <c r="AQ410" s="600"/>
      <c r="AR410" s="600"/>
      <c r="AS410" s="600"/>
      <c r="AT410" s="600"/>
      <c r="AU410" s="600"/>
      <c r="AV410" s="600"/>
      <c r="AW410" s="482"/>
      <c r="AX410" s="482"/>
      <c r="AY410" s="482"/>
      <c r="AZ410" s="482"/>
      <c r="BA410" s="343"/>
      <c r="BB410" s="343"/>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row>
    <row r="411" spans="1:76" s="25" customFormat="1">
      <c r="A411" s="343"/>
      <c r="B411" s="343"/>
      <c r="C411" s="64"/>
      <c r="D411" s="64"/>
      <c r="E411" s="39"/>
      <c r="F411" s="39"/>
      <c r="G411" s="39"/>
      <c r="H411" s="39"/>
      <c r="I411" s="39"/>
      <c r="J411" s="39"/>
      <c r="K411" s="39"/>
      <c r="L411" s="39"/>
      <c r="M411" s="660"/>
      <c r="N411" s="343"/>
      <c r="O411" s="343"/>
      <c r="P411" s="343"/>
      <c r="Q411" s="343"/>
      <c r="R411" s="600"/>
      <c r="S411" s="600"/>
      <c r="T411" s="600"/>
      <c r="U411" s="600"/>
      <c r="V411" s="600"/>
      <c r="W411" s="600"/>
      <c r="X411" s="600"/>
      <c r="Y411" s="600"/>
      <c r="Z411" s="600"/>
      <c r="AA411" s="482"/>
      <c r="AB411" s="482"/>
      <c r="AC411" s="482"/>
      <c r="AD411" s="600">
        <v>400</v>
      </c>
      <c r="AE411" s="482"/>
      <c r="AF411" s="600"/>
      <c r="AG411" s="600"/>
      <c r="AH411" s="600"/>
      <c r="AI411" s="600"/>
      <c r="AJ411" s="600"/>
      <c r="AK411" s="600"/>
      <c r="AL411" s="600"/>
      <c r="AM411" s="600"/>
      <c r="AN411" s="482"/>
      <c r="AO411" s="600"/>
      <c r="AP411" s="600"/>
      <c r="AQ411" s="600"/>
      <c r="AR411" s="600"/>
      <c r="AS411" s="600"/>
      <c r="AT411" s="600"/>
      <c r="AU411" s="600"/>
      <c r="AV411" s="600"/>
      <c r="AW411" s="482"/>
      <c r="AX411" s="482"/>
      <c r="AY411" s="482"/>
      <c r="AZ411" s="482"/>
      <c r="BA411" s="343"/>
      <c r="BB411" s="343"/>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row>
    <row r="412" spans="1:76" s="25" customFormat="1">
      <c r="A412" s="343"/>
      <c r="B412" s="343"/>
      <c r="C412" s="64"/>
      <c r="D412" s="64"/>
      <c r="E412" s="39"/>
      <c r="F412" s="39"/>
      <c r="G412" s="39"/>
      <c r="H412" s="39"/>
      <c r="I412" s="39"/>
      <c r="J412" s="39"/>
      <c r="K412" s="39"/>
      <c r="L412" s="39"/>
      <c r="M412" s="660"/>
      <c r="N412" s="343"/>
      <c r="O412" s="343"/>
      <c r="P412" s="343"/>
      <c r="Q412" s="343"/>
      <c r="R412" s="600"/>
      <c r="S412" s="600"/>
      <c r="T412" s="600"/>
      <c r="U412" s="600"/>
      <c r="V412" s="600"/>
      <c r="W412" s="600"/>
      <c r="X412" s="600"/>
      <c r="Y412" s="600"/>
      <c r="Z412" s="600"/>
      <c r="AA412" s="482"/>
      <c r="AB412" s="482"/>
      <c r="AC412" s="482"/>
      <c r="AD412" s="600">
        <v>401</v>
      </c>
      <c r="AE412" s="482"/>
      <c r="AF412" s="600"/>
      <c r="AG412" s="600"/>
      <c r="AH412" s="600"/>
      <c r="AI412" s="600"/>
      <c r="AJ412" s="600"/>
      <c r="AK412" s="600"/>
      <c r="AL412" s="600"/>
      <c r="AM412" s="600"/>
      <c r="AN412" s="482"/>
      <c r="AO412" s="600"/>
      <c r="AP412" s="600"/>
      <c r="AQ412" s="600"/>
      <c r="AR412" s="600"/>
      <c r="AS412" s="600"/>
      <c r="AT412" s="600"/>
      <c r="AU412" s="600"/>
      <c r="AV412" s="600"/>
      <c r="AW412" s="482"/>
      <c r="AX412" s="482"/>
      <c r="AY412" s="482"/>
      <c r="AZ412" s="482"/>
      <c r="BA412" s="343"/>
      <c r="BB412" s="343"/>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row>
    <row r="413" spans="1:76" s="25" customFormat="1">
      <c r="A413" s="343"/>
      <c r="B413" s="343"/>
      <c r="C413" s="64"/>
      <c r="D413" s="64"/>
      <c r="E413" s="39"/>
      <c r="F413" s="39"/>
      <c r="G413" s="39"/>
      <c r="H413" s="39"/>
      <c r="I413" s="39"/>
      <c r="J413" s="39"/>
      <c r="K413" s="39"/>
      <c r="L413" s="39"/>
      <c r="M413" s="660"/>
      <c r="N413" s="343"/>
      <c r="O413" s="343"/>
      <c r="P413" s="343"/>
      <c r="Q413" s="343"/>
      <c r="R413" s="600"/>
      <c r="S413" s="600"/>
      <c r="T413" s="600"/>
      <c r="U413" s="600"/>
      <c r="V413" s="600"/>
      <c r="W413" s="600"/>
      <c r="X413" s="600"/>
      <c r="Y413" s="600"/>
      <c r="Z413" s="600"/>
      <c r="AA413" s="482"/>
      <c r="AB413" s="482"/>
      <c r="AC413" s="482"/>
      <c r="AD413" s="600">
        <v>402</v>
      </c>
      <c r="AE413" s="482"/>
      <c r="AF413" s="600"/>
      <c r="AG413" s="600"/>
      <c r="AH413" s="600"/>
      <c r="AI413" s="600"/>
      <c r="AJ413" s="600"/>
      <c r="AK413" s="600"/>
      <c r="AL413" s="600"/>
      <c r="AM413" s="600"/>
      <c r="AN413" s="482"/>
      <c r="AO413" s="600"/>
      <c r="AP413" s="600"/>
      <c r="AQ413" s="600"/>
      <c r="AR413" s="600"/>
      <c r="AS413" s="600"/>
      <c r="AT413" s="600"/>
      <c r="AU413" s="600"/>
      <c r="AV413" s="600"/>
      <c r="AW413" s="482"/>
      <c r="AX413" s="482"/>
      <c r="AY413" s="482"/>
      <c r="AZ413" s="482"/>
      <c r="BA413" s="343"/>
      <c r="BB413" s="343"/>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row>
    <row r="414" spans="1:76" s="25" customFormat="1">
      <c r="A414" s="343"/>
      <c r="B414" s="343"/>
      <c r="C414" s="64"/>
      <c r="D414" s="64"/>
      <c r="E414" s="39"/>
      <c r="F414" s="39"/>
      <c r="G414" s="39"/>
      <c r="H414" s="39"/>
      <c r="I414" s="39"/>
      <c r="J414" s="39"/>
      <c r="K414" s="39"/>
      <c r="L414" s="39"/>
      <c r="M414" s="660"/>
      <c r="N414" s="343"/>
      <c r="O414" s="343"/>
      <c r="P414" s="343"/>
      <c r="Q414" s="343"/>
      <c r="R414" s="600"/>
      <c r="S414" s="600"/>
      <c r="T414" s="600"/>
      <c r="U414" s="600"/>
      <c r="V414" s="600"/>
      <c r="W414" s="600"/>
      <c r="X414" s="600"/>
      <c r="Y414" s="600"/>
      <c r="Z414" s="600"/>
      <c r="AA414" s="482"/>
      <c r="AB414" s="482"/>
      <c r="AC414" s="482"/>
      <c r="AD414" s="600">
        <v>403</v>
      </c>
      <c r="AE414" s="482"/>
      <c r="AF414" s="600"/>
      <c r="AG414" s="600"/>
      <c r="AH414" s="600"/>
      <c r="AI414" s="600"/>
      <c r="AJ414" s="600"/>
      <c r="AK414" s="600"/>
      <c r="AL414" s="600"/>
      <c r="AM414" s="600"/>
      <c r="AN414" s="482"/>
      <c r="AO414" s="600"/>
      <c r="AP414" s="600"/>
      <c r="AQ414" s="600"/>
      <c r="AR414" s="600"/>
      <c r="AS414" s="600"/>
      <c r="AT414" s="600"/>
      <c r="AU414" s="600"/>
      <c r="AV414" s="600"/>
      <c r="AW414" s="482"/>
      <c r="AX414" s="482"/>
      <c r="AY414" s="482"/>
      <c r="AZ414" s="482"/>
      <c r="BA414" s="343"/>
      <c r="BB414" s="343"/>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row>
    <row r="415" spans="1:76" s="25" customFormat="1">
      <c r="A415" s="343"/>
      <c r="B415" s="343"/>
      <c r="C415" s="64"/>
      <c r="D415" s="64"/>
      <c r="E415" s="39"/>
      <c r="F415" s="39"/>
      <c r="G415" s="39"/>
      <c r="H415" s="39"/>
      <c r="I415" s="39"/>
      <c r="J415" s="39"/>
      <c r="K415" s="39"/>
      <c r="L415" s="39"/>
      <c r="M415" s="660"/>
      <c r="N415" s="343"/>
      <c r="O415" s="343"/>
      <c r="P415" s="343"/>
      <c r="Q415" s="343"/>
      <c r="R415" s="600"/>
      <c r="S415" s="600"/>
      <c r="T415" s="600"/>
      <c r="U415" s="600"/>
      <c r="V415" s="600"/>
      <c r="W415" s="600"/>
      <c r="X415" s="600"/>
      <c r="Y415" s="600"/>
      <c r="Z415" s="600"/>
      <c r="AA415" s="482"/>
      <c r="AB415" s="482"/>
      <c r="AC415" s="482"/>
      <c r="AD415" s="600">
        <v>404</v>
      </c>
      <c r="AE415" s="482"/>
      <c r="AF415" s="600"/>
      <c r="AG415" s="600"/>
      <c r="AH415" s="600"/>
      <c r="AI415" s="600"/>
      <c r="AJ415" s="600"/>
      <c r="AK415" s="600"/>
      <c r="AL415" s="600"/>
      <c r="AM415" s="600"/>
      <c r="AN415" s="482"/>
      <c r="AO415" s="600"/>
      <c r="AP415" s="600"/>
      <c r="AQ415" s="600"/>
      <c r="AR415" s="600"/>
      <c r="AS415" s="600"/>
      <c r="AT415" s="600"/>
      <c r="AU415" s="600"/>
      <c r="AV415" s="600"/>
      <c r="AW415" s="482"/>
      <c r="AX415" s="482"/>
      <c r="AY415" s="482"/>
      <c r="AZ415" s="482"/>
      <c r="BA415" s="343"/>
      <c r="BB415" s="343"/>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row>
    <row r="416" spans="1:76" s="25" customFormat="1">
      <c r="A416" s="343"/>
      <c r="B416" s="343"/>
      <c r="C416" s="64"/>
      <c r="D416" s="64"/>
      <c r="E416" s="39"/>
      <c r="F416" s="39"/>
      <c r="G416" s="39"/>
      <c r="H416" s="39"/>
      <c r="I416" s="39"/>
      <c r="J416" s="39"/>
      <c r="K416" s="39"/>
      <c r="L416" s="39"/>
      <c r="M416" s="660"/>
      <c r="N416" s="343"/>
      <c r="O416" s="343"/>
      <c r="P416" s="343"/>
      <c r="Q416" s="343"/>
      <c r="R416" s="600"/>
      <c r="S416" s="600"/>
      <c r="T416" s="600"/>
      <c r="U416" s="600"/>
      <c r="V416" s="600"/>
      <c r="W416" s="600"/>
      <c r="X416" s="600"/>
      <c r="Y416" s="600"/>
      <c r="Z416" s="600"/>
      <c r="AA416" s="482"/>
      <c r="AB416" s="482"/>
      <c r="AC416" s="482"/>
      <c r="AD416" s="600">
        <v>405</v>
      </c>
      <c r="AE416" s="482"/>
      <c r="AF416" s="600"/>
      <c r="AG416" s="600"/>
      <c r="AH416" s="600"/>
      <c r="AI416" s="600"/>
      <c r="AJ416" s="600"/>
      <c r="AK416" s="600"/>
      <c r="AL416" s="600"/>
      <c r="AM416" s="600"/>
      <c r="AN416" s="482"/>
      <c r="AO416" s="600"/>
      <c r="AP416" s="600"/>
      <c r="AQ416" s="600"/>
      <c r="AR416" s="600"/>
      <c r="AS416" s="600"/>
      <c r="AT416" s="600"/>
      <c r="AU416" s="600"/>
      <c r="AV416" s="600"/>
      <c r="AW416" s="482"/>
      <c r="AX416" s="482"/>
      <c r="AY416" s="482"/>
      <c r="AZ416" s="482"/>
      <c r="BA416" s="343"/>
      <c r="BB416" s="343"/>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row>
    <row r="417" spans="1:76" s="25" customFormat="1">
      <c r="A417" s="343"/>
      <c r="B417" s="343"/>
      <c r="C417" s="64"/>
      <c r="D417" s="64"/>
      <c r="E417" s="39"/>
      <c r="F417" s="39"/>
      <c r="G417" s="39"/>
      <c r="H417" s="39"/>
      <c r="I417" s="39"/>
      <c r="J417" s="39"/>
      <c r="K417" s="39"/>
      <c r="L417" s="39"/>
      <c r="M417" s="660"/>
      <c r="N417" s="343"/>
      <c r="O417" s="343"/>
      <c r="P417" s="343"/>
      <c r="Q417" s="343"/>
      <c r="R417" s="600"/>
      <c r="S417" s="600"/>
      <c r="T417" s="600"/>
      <c r="U417" s="600"/>
      <c r="V417" s="600"/>
      <c r="W417" s="600"/>
      <c r="X417" s="600"/>
      <c r="Y417" s="600"/>
      <c r="Z417" s="600"/>
      <c r="AA417" s="482"/>
      <c r="AB417" s="482"/>
      <c r="AC417" s="482"/>
      <c r="AD417" s="600">
        <v>406</v>
      </c>
      <c r="AE417" s="482"/>
      <c r="AF417" s="600"/>
      <c r="AG417" s="600"/>
      <c r="AH417" s="600"/>
      <c r="AI417" s="600"/>
      <c r="AJ417" s="600"/>
      <c r="AK417" s="600"/>
      <c r="AL417" s="600"/>
      <c r="AM417" s="600"/>
      <c r="AN417" s="482"/>
      <c r="AO417" s="600"/>
      <c r="AP417" s="600"/>
      <c r="AQ417" s="600"/>
      <c r="AR417" s="600"/>
      <c r="AS417" s="600"/>
      <c r="AT417" s="600"/>
      <c r="AU417" s="600"/>
      <c r="AV417" s="600"/>
      <c r="AW417" s="482"/>
      <c r="AX417" s="482"/>
      <c r="AY417" s="482"/>
      <c r="AZ417" s="482"/>
      <c r="BA417" s="343"/>
      <c r="BB417" s="343"/>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row>
    <row r="418" spans="1:76" s="25" customFormat="1">
      <c r="A418" s="343"/>
      <c r="B418" s="343"/>
      <c r="C418" s="64"/>
      <c r="D418" s="64"/>
      <c r="E418" s="39"/>
      <c r="F418" s="39"/>
      <c r="G418" s="39"/>
      <c r="H418" s="39"/>
      <c r="I418" s="39"/>
      <c r="J418" s="39"/>
      <c r="K418" s="39"/>
      <c r="L418" s="39"/>
      <c r="M418" s="660"/>
      <c r="N418" s="343"/>
      <c r="O418" s="343"/>
      <c r="P418" s="343"/>
      <c r="Q418" s="343"/>
      <c r="R418" s="600"/>
      <c r="S418" s="600"/>
      <c r="T418" s="600"/>
      <c r="U418" s="600"/>
      <c r="V418" s="600"/>
      <c r="W418" s="600"/>
      <c r="X418" s="600"/>
      <c r="Y418" s="600"/>
      <c r="Z418" s="600"/>
      <c r="AA418" s="482"/>
      <c r="AB418" s="482"/>
      <c r="AC418" s="482"/>
      <c r="AD418" s="600">
        <v>407</v>
      </c>
      <c r="AE418" s="482"/>
      <c r="AF418" s="600"/>
      <c r="AG418" s="600"/>
      <c r="AH418" s="600"/>
      <c r="AI418" s="600"/>
      <c r="AJ418" s="600"/>
      <c r="AK418" s="600"/>
      <c r="AL418" s="600"/>
      <c r="AM418" s="600"/>
      <c r="AN418" s="482"/>
      <c r="AO418" s="600"/>
      <c r="AP418" s="600"/>
      <c r="AQ418" s="600"/>
      <c r="AR418" s="600"/>
      <c r="AS418" s="600"/>
      <c r="AT418" s="600"/>
      <c r="AU418" s="600"/>
      <c r="AV418" s="600"/>
      <c r="AW418" s="482"/>
      <c r="AX418" s="482"/>
      <c r="AY418" s="482"/>
      <c r="AZ418" s="482"/>
      <c r="BA418" s="343"/>
      <c r="BB418" s="343"/>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row>
    <row r="419" spans="1:76" s="25" customFormat="1">
      <c r="A419" s="343"/>
      <c r="B419" s="343"/>
      <c r="C419" s="64"/>
      <c r="D419" s="64"/>
      <c r="E419" s="39"/>
      <c r="F419" s="39"/>
      <c r="G419" s="39"/>
      <c r="H419" s="39"/>
      <c r="I419" s="39"/>
      <c r="J419" s="39"/>
      <c r="K419" s="39"/>
      <c r="L419" s="39"/>
      <c r="M419" s="660"/>
      <c r="N419" s="343"/>
      <c r="O419" s="343"/>
      <c r="P419" s="343"/>
      <c r="Q419" s="343"/>
      <c r="R419" s="600"/>
      <c r="S419" s="600"/>
      <c r="T419" s="600"/>
      <c r="U419" s="600"/>
      <c r="V419" s="600"/>
      <c r="W419" s="600"/>
      <c r="X419" s="600"/>
      <c r="Y419" s="600"/>
      <c r="Z419" s="600"/>
      <c r="AA419" s="482"/>
      <c r="AB419" s="482"/>
      <c r="AC419" s="482"/>
      <c r="AD419" s="600">
        <v>408</v>
      </c>
      <c r="AE419" s="482"/>
      <c r="AF419" s="600"/>
      <c r="AG419" s="600"/>
      <c r="AH419" s="600"/>
      <c r="AI419" s="600"/>
      <c r="AJ419" s="600"/>
      <c r="AK419" s="600"/>
      <c r="AL419" s="600"/>
      <c r="AM419" s="600"/>
      <c r="AN419" s="482"/>
      <c r="AO419" s="600"/>
      <c r="AP419" s="600"/>
      <c r="AQ419" s="600"/>
      <c r="AR419" s="600"/>
      <c r="AS419" s="600"/>
      <c r="AT419" s="600"/>
      <c r="AU419" s="600"/>
      <c r="AV419" s="600"/>
      <c r="AW419" s="482"/>
      <c r="AX419" s="482"/>
      <c r="AY419" s="482"/>
      <c r="AZ419" s="482"/>
      <c r="BA419" s="343"/>
      <c r="BB419" s="343"/>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row>
    <row r="420" spans="1:76" s="25" customFormat="1">
      <c r="A420" s="343"/>
      <c r="B420" s="343"/>
      <c r="C420" s="64"/>
      <c r="D420" s="64"/>
      <c r="E420" s="39"/>
      <c r="F420" s="39"/>
      <c r="G420" s="39"/>
      <c r="H420" s="39"/>
      <c r="I420" s="39"/>
      <c r="J420" s="39"/>
      <c r="K420" s="39"/>
      <c r="L420" s="39"/>
      <c r="M420" s="660"/>
      <c r="N420" s="343"/>
      <c r="O420" s="343"/>
      <c r="P420" s="343"/>
      <c r="Q420" s="343"/>
      <c r="R420" s="600"/>
      <c r="S420" s="600"/>
      <c r="T420" s="600"/>
      <c r="U420" s="600"/>
      <c r="V420" s="600"/>
      <c r="W420" s="600"/>
      <c r="X420" s="600"/>
      <c r="Y420" s="600"/>
      <c r="Z420" s="600"/>
      <c r="AA420" s="482"/>
      <c r="AB420" s="482"/>
      <c r="AC420" s="482"/>
      <c r="AD420" s="600">
        <v>409</v>
      </c>
      <c r="AE420" s="482"/>
      <c r="AF420" s="600"/>
      <c r="AG420" s="600"/>
      <c r="AH420" s="600"/>
      <c r="AI420" s="600"/>
      <c r="AJ420" s="600"/>
      <c r="AK420" s="600"/>
      <c r="AL420" s="600"/>
      <c r="AM420" s="600"/>
      <c r="AN420" s="482"/>
      <c r="AO420" s="600"/>
      <c r="AP420" s="600"/>
      <c r="AQ420" s="600"/>
      <c r="AR420" s="600"/>
      <c r="AS420" s="600"/>
      <c r="AT420" s="600"/>
      <c r="AU420" s="600"/>
      <c r="AV420" s="600"/>
      <c r="AW420" s="482"/>
      <c r="AX420" s="482"/>
      <c r="AY420" s="482"/>
      <c r="AZ420" s="482"/>
      <c r="BA420" s="343"/>
      <c r="BB420" s="343"/>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row>
    <row r="421" spans="1:76" s="25" customFormat="1">
      <c r="A421" s="343"/>
      <c r="B421" s="343"/>
      <c r="C421" s="64"/>
      <c r="D421" s="64"/>
      <c r="E421" s="39"/>
      <c r="F421" s="39"/>
      <c r="G421" s="39"/>
      <c r="H421" s="39"/>
      <c r="I421" s="39"/>
      <c r="J421" s="39"/>
      <c r="K421" s="39"/>
      <c r="L421" s="39"/>
      <c r="M421" s="660"/>
      <c r="N421" s="343"/>
      <c r="O421" s="343"/>
      <c r="P421" s="343"/>
      <c r="Q421" s="343"/>
      <c r="R421" s="600"/>
      <c r="S421" s="600"/>
      <c r="T421" s="600"/>
      <c r="U421" s="600"/>
      <c r="V421" s="600"/>
      <c r="W421" s="600"/>
      <c r="X421" s="600"/>
      <c r="Y421" s="600"/>
      <c r="Z421" s="600"/>
      <c r="AA421" s="482"/>
      <c r="AB421" s="482"/>
      <c r="AC421" s="482"/>
      <c r="AD421" s="600">
        <v>410</v>
      </c>
      <c r="AE421" s="482"/>
      <c r="AF421" s="600"/>
      <c r="AG421" s="600"/>
      <c r="AH421" s="600"/>
      <c r="AI421" s="600"/>
      <c r="AJ421" s="600"/>
      <c r="AK421" s="600"/>
      <c r="AL421" s="600"/>
      <c r="AM421" s="600"/>
      <c r="AN421" s="482"/>
      <c r="AO421" s="600"/>
      <c r="AP421" s="600"/>
      <c r="AQ421" s="600"/>
      <c r="AR421" s="600"/>
      <c r="AS421" s="600"/>
      <c r="AT421" s="600"/>
      <c r="AU421" s="600"/>
      <c r="AV421" s="600"/>
      <c r="AW421" s="482"/>
      <c r="AX421" s="482"/>
      <c r="AY421" s="482"/>
      <c r="AZ421" s="482"/>
      <c r="BA421" s="343"/>
      <c r="BB421" s="343"/>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row>
    <row r="422" spans="1:76" s="25" customFormat="1">
      <c r="A422" s="343"/>
      <c r="B422" s="343"/>
      <c r="C422" s="64"/>
      <c r="D422" s="64"/>
      <c r="E422" s="39"/>
      <c r="F422" s="39"/>
      <c r="G422" s="39"/>
      <c r="H422" s="39"/>
      <c r="I422" s="39"/>
      <c r="J422" s="39"/>
      <c r="K422" s="39"/>
      <c r="L422" s="39"/>
      <c r="M422" s="660"/>
      <c r="N422" s="343"/>
      <c r="O422" s="343"/>
      <c r="P422" s="343"/>
      <c r="Q422" s="343"/>
      <c r="R422" s="600"/>
      <c r="S422" s="600"/>
      <c r="T422" s="600"/>
      <c r="U422" s="600"/>
      <c r="V422" s="600"/>
      <c r="W422" s="600"/>
      <c r="X422" s="600"/>
      <c r="Y422" s="600"/>
      <c r="Z422" s="600"/>
      <c r="AA422" s="482"/>
      <c r="AB422" s="482"/>
      <c r="AC422" s="482"/>
      <c r="AD422" s="600">
        <v>411</v>
      </c>
      <c r="AE422" s="482"/>
      <c r="AF422" s="600"/>
      <c r="AG422" s="600"/>
      <c r="AH422" s="600"/>
      <c r="AI422" s="600"/>
      <c r="AJ422" s="600"/>
      <c r="AK422" s="600"/>
      <c r="AL422" s="600"/>
      <c r="AM422" s="600"/>
      <c r="AN422" s="482"/>
      <c r="AO422" s="600"/>
      <c r="AP422" s="600"/>
      <c r="AQ422" s="600"/>
      <c r="AR422" s="600"/>
      <c r="AS422" s="600"/>
      <c r="AT422" s="600"/>
      <c r="AU422" s="600"/>
      <c r="AV422" s="600"/>
      <c r="AW422" s="482"/>
      <c r="AX422" s="482"/>
      <c r="AY422" s="482"/>
      <c r="AZ422" s="482"/>
      <c r="BA422" s="343"/>
      <c r="BB422" s="343"/>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row>
    <row r="423" spans="1:76" s="25" customFormat="1">
      <c r="A423" s="343"/>
      <c r="B423" s="343"/>
      <c r="C423" s="64"/>
      <c r="D423" s="64"/>
      <c r="E423" s="39"/>
      <c r="F423" s="39"/>
      <c r="G423" s="39"/>
      <c r="H423" s="39"/>
      <c r="I423" s="39"/>
      <c r="J423" s="39"/>
      <c r="K423" s="39"/>
      <c r="L423" s="39"/>
      <c r="M423" s="660"/>
      <c r="N423" s="343"/>
      <c r="O423" s="343"/>
      <c r="P423" s="343"/>
      <c r="Q423" s="343"/>
      <c r="R423" s="600"/>
      <c r="S423" s="600"/>
      <c r="T423" s="600"/>
      <c r="U423" s="600"/>
      <c r="V423" s="600"/>
      <c r="W423" s="600"/>
      <c r="X423" s="600"/>
      <c r="Y423" s="600"/>
      <c r="Z423" s="600"/>
      <c r="AA423" s="482"/>
      <c r="AB423" s="482"/>
      <c r="AC423" s="482"/>
      <c r="AD423" s="600">
        <v>412</v>
      </c>
      <c r="AE423" s="482"/>
      <c r="AF423" s="600"/>
      <c r="AG423" s="600"/>
      <c r="AH423" s="600"/>
      <c r="AI423" s="600"/>
      <c r="AJ423" s="600"/>
      <c r="AK423" s="600"/>
      <c r="AL423" s="600"/>
      <c r="AM423" s="600"/>
      <c r="AN423" s="482"/>
      <c r="AO423" s="600"/>
      <c r="AP423" s="600"/>
      <c r="AQ423" s="600"/>
      <c r="AR423" s="600"/>
      <c r="AS423" s="600"/>
      <c r="AT423" s="600"/>
      <c r="AU423" s="600"/>
      <c r="AV423" s="600"/>
      <c r="AW423" s="482"/>
      <c r="AX423" s="482"/>
      <c r="AY423" s="482"/>
      <c r="AZ423" s="482"/>
      <c r="BA423" s="343"/>
      <c r="BB423" s="343"/>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row>
    <row r="424" spans="1:76" s="25" customFormat="1">
      <c r="A424" s="343"/>
      <c r="B424" s="343"/>
      <c r="C424" s="64"/>
      <c r="D424" s="64"/>
      <c r="E424" s="39"/>
      <c r="F424" s="39"/>
      <c r="G424" s="39"/>
      <c r="H424" s="39"/>
      <c r="I424" s="39"/>
      <c r="J424" s="39"/>
      <c r="K424" s="39"/>
      <c r="L424" s="39"/>
      <c r="M424" s="660"/>
      <c r="N424" s="343"/>
      <c r="O424" s="343"/>
      <c r="P424" s="343"/>
      <c r="Q424" s="343"/>
      <c r="R424" s="600"/>
      <c r="S424" s="600"/>
      <c r="T424" s="600"/>
      <c r="U424" s="600"/>
      <c r="V424" s="600"/>
      <c r="W424" s="600"/>
      <c r="X424" s="600"/>
      <c r="Y424" s="600"/>
      <c r="Z424" s="600"/>
      <c r="AA424" s="482"/>
      <c r="AB424" s="482"/>
      <c r="AC424" s="482"/>
      <c r="AD424" s="600">
        <v>413</v>
      </c>
      <c r="AE424" s="482"/>
      <c r="AF424" s="600"/>
      <c r="AG424" s="600"/>
      <c r="AH424" s="600"/>
      <c r="AI424" s="600"/>
      <c r="AJ424" s="600"/>
      <c r="AK424" s="600"/>
      <c r="AL424" s="600"/>
      <c r="AM424" s="600"/>
      <c r="AN424" s="482"/>
      <c r="AO424" s="600"/>
      <c r="AP424" s="600"/>
      <c r="AQ424" s="600"/>
      <c r="AR424" s="600"/>
      <c r="AS424" s="600"/>
      <c r="AT424" s="600"/>
      <c r="AU424" s="600"/>
      <c r="AV424" s="600"/>
      <c r="AW424" s="482"/>
      <c r="AX424" s="482"/>
      <c r="AY424" s="482"/>
      <c r="AZ424" s="482"/>
      <c r="BA424" s="343"/>
      <c r="BB424" s="343"/>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row>
    <row r="425" spans="1:76" s="25" customFormat="1">
      <c r="A425" s="343"/>
      <c r="B425" s="343"/>
      <c r="C425" s="64"/>
      <c r="D425" s="64"/>
      <c r="E425" s="39"/>
      <c r="F425" s="39"/>
      <c r="G425" s="39"/>
      <c r="H425" s="39"/>
      <c r="I425" s="39"/>
      <c r="J425" s="39"/>
      <c r="K425" s="39"/>
      <c r="L425" s="39"/>
      <c r="M425" s="660"/>
      <c r="N425" s="343"/>
      <c r="O425" s="343"/>
      <c r="P425" s="343"/>
      <c r="Q425" s="343"/>
      <c r="R425" s="600"/>
      <c r="S425" s="600"/>
      <c r="T425" s="600"/>
      <c r="U425" s="600"/>
      <c r="V425" s="600"/>
      <c r="W425" s="600"/>
      <c r="X425" s="600"/>
      <c r="Y425" s="600"/>
      <c r="Z425" s="600"/>
      <c r="AA425" s="482"/>
      <c r="AB425" s="482"/>
      <c r="AC425" s="482"/>
      <c r="AD425" s="600">
        <v>414</v>
      </c>
      <c r="AE425" s="482"/>
      <c r="AF425" s="600"/>
      <c r="AG425" s="600"/>
      <c r="AH425" s="600"/>
      <c r="AI425" s="600"/>
      <c r="AJ425" s="600"/>
      <c r="AK425" s="600"/>
      <c r="AL425" s="600"/>
      <c r="AM425" s="600"/>
      <c r="AN425" s="482"/>
      <c r="AO425" s="600"/>
      <c r="AP425" s="600"/>
      <c r="AQ425" s="600"/>
      <c r="AR425" s="600"/>
      <c r="AS425" s="600"/>
      <c r="AT425" s="600"/>
      <c r="AU425" s="600"/>
      <c r="AV425" s="600"/>
      <c r="AW425" s="482"/>
      <c r="AX425" s="482"/>
      <c r="AY425" s="482"/>
      <c r="AZ425" s="482"/>
      <c r="BA425" s="343"/>
      <c r="BB425" s="343"/>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row>
    <row r="426" spans="1:76" s="25" customFormat="1">
      <c r="A426" s="343"/>
      <c r="B426" s="343"/>
      <c r="C426" s="64"/>
      <c r="D426" s="64"/>
      <c r="E426" s="39"/>
      <c r="F426" s="39"/>
      <c r="G426" s="39"/>
      <c r="H426" s="39"/>
      <c r="I426" s="39"/>
      <c r="J426" s="39"/>
      <c r="K426" s="39"/>
      <c r="L426" s="39"/>
      <c r="M426" s="660"/>
      <c r="N426" s="343"/>
      <c r="O426" s="343"/>
      <c r="P426" s="343"/>
      <c r="Q426" s="343"/>
      <c r="R426" s="600"/>
      <c r="S426" s="600"/>
      <c r="T426" s="600"/>
      <c r="U426" s="600"/>
      <c r="V426" s="600"/>
      <c r="W426" s="600"/>
      <c r="X426" s="600"/>
      <c r="Y426" s="600"/>
      <c r="Z426" s="600"/>
      <c r="AA426" s="482"/>
      <c r="AB426" s="482"/>
      <c r="AC426" s="482"/>
      <c r="AD426" s="600">
        <v>415</v>
      </c>
      <c r="AE426" s="482"/>
      <c r="AF426" s="600"/>
      <c r="AG426" s="600"/>
      <c r="AH426" s="600"/>
      <c r="AI426" s="600"/>
      <c r="AJ426" s="600"/>
      <c r="AK426" s="600"/>
      <c r="AL426" s="600"/>
      <c r="AM426" s="600"/>
      <c r="AN426" s="482"/>
      <c r="AO426" s="600"/>
      <c r="AP426" s="600"/>
      <c r="AQ426" s="600"/>
      <c r="AR426" s="600"/>
      <c r="AS426" s="600"/>
      <c r="AT426" s="600"/>
      <c r="AU426" s="600"/>
      <c r="AV426" s="600"/>
      <c r="AW426" s="482"/>
      <c r="AX426" s="482"/>
      <c r="AY426" s="482"/>
      <c r="AZ426" s="482"/>
      <c r="BA426" s="343"/>
      <c r="BB426" s="343"/>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row>
    <row r="427" spans="1:76" s="25" customFormat="1">
      <c r="A427" s="343"/>
      <c r="B427" s="343"/>
      <c r="C427" s="64"/>
      <c r="D427" s="64"/>
      <c r="E427" s="39"/>
      <c r="F427" s="39"/>
      <c r="G427" s="39"/>
      <c r="H427" s="39"/>
      <c r="I427" s="39"/>
      <c r="J427" s="39"/>
      <c r="K427" s="39"/>
      <c r="L427" s="39"/>
      <c r="M427" s="660"/>
      <c r="N427" s="343"/>
      <c r="O427" s="343"/>
      <c r="P427" s="343"/>
      <c r="Q427" s="343"/>
      <c r="R427" s="600"/>
      <c r="S427" s="600"/>
      <c r="T427" s="600"/>
      <c r="U427" s="600"/>
      <c r="V427" s="600"/>
      <c r="W427" s="600"/>
      <c r="X427" s="600"/>
      <c r="Y427" s="600"/>
      <c r="Z427" s="600"/>
      <c r="AA427" s="482"/>
      <c r="AB427" s="482"/>
      <c r="AC427" s="482"/>
      <c r="AD427" s="600">
        <v>416</v>
      </c>
      <c r="AE427" s="482"/>
      <c r="AF427" s="600"/>
      <c r="AG427" s="600"/>
      <c r="AH427" s="600"/>
      <c r="AI427" s="600"/>
      <c r="AJ427" s="600"/>
      <c r="AK427" s="600"/>
      <c r="AL427" s="600"/>
      <c r="AM427" s="600"/>
      <c r="AN427" s="482"/>
      <c r="AO427" s="600"/>
      <c r="AP427" s="600"/>
      <c r="AQ427" s="600"/>
      <c r="AR427" s="600"/>
      <c r="AS427" s="600"/>
      <c r="AT427" s="600"/>
      <c r="AU427" s="600"/>
      <c r="AV427" s="600"/>
      <c r="AW427" s="482"/>
      <c r="AX427" s="482"/>
      <c r="AY427" s="482"/>
      <c r="AZ427" s="482"/>
      <c r="BA427" s="343"/>
      <c r="BB427" s="343"/>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row>
    <row r="428" spans="1:76" s="25" customFormat="1">
      <c r="A428" s="343"/>
      <c r="B428" s="343"/>
      <c r="C428" s="64"/>
      <c r="D428" s="64"/>
      <c r="E428" s="39"/>
      <c r="F428" s="39"/>
      <c r="G428" s="39"/>
      <c r="H428" s="39"/>
      <c r="I428" s="39"/>
      <c r="J428" s="39"/>
      <c r="K428" s="39"/>
      <c r="L428" s="39"/>
      <c r="M428" s="660"/>
      <c r="N428" s="343"/>
      <c r="O428" s="343"/>
      <c r="P428" s="343"/>
      <c r="Q428" s="343"/>
      <c r="R428" s="600"/>
      <c r="S428" s="600"/>
      <c r="T428" s="600"/>
      <c r="U428" s="600"/>
      <c r="V428" s="600"/>
      <c r="W428" s="600"/>
      <c r="X428" s="600"/>
      <c r="Y428" s="600"/>
      <c r="Z428" s="600"/>
      <c r="AA428" s="482"/>
      <c r="AB428" s="482"/>
      <c r="AC428" s="482"/>
      <c r="AD428" s="600">
        <v>417</v>
      </c>
      <c r="AE428" s="482"/>
      <c r="AF428" s="600"/>
      <c r="AG428" s="600"/>
      <c r="AH428" s="600"/>
      <c r="AI428" s="600"/>
      <c r="AJ428" s="600"/>
      <c r="AK428" s="600"/>
      <c r="AL428" s="600"/>
      <c r="AM428" s="600"/>
      <c r="AN428" s="482"/>
      <c r="AO428" s="600"/>
      <c r="AP428" s="600"/>
      <c r="AQ428" s="600"/>
      <c r="AR428" s="600"/>
      <c r="AS428" s="600"/>
      <c r="AT428" s="600"/>
      <c r="AU428" s="600"/>
      <c r="AV428" s="600"/>
      <c r="AW428" s="482"/>
      <c r="AX428" s="482"/>
      <c r="AY428" s="482"/>
      <c r="AZ428" s="482"/>
      <c r="BA428" s="343"/>
      <c r="BB428" s="343"/>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row>
    <row r="429" spans="1:76" s="25" customFormat="1">
      <c r="A429" s="343"/>
      <c r="B429" s="343"/>
      <c r="C429" s="64"/>
      <c r="D429" s="64"/>
      <c r="E429" s="39"/>
      <c r="F429" s="39"/>
      <c r="G429" s="39"/>
      <c r="H429" s="39"/>
      <c r="I429" s="39"/>
      <c r="J429" s="39"/>
      <c r="K429" s="39"/>
      <c r="L429" s="39"/>
      <c r="M429" s="660"/>
      <c r="N429" s="343"/>
      <c r="O429" s="343"/>
      <c r="P429" s="343"/>
      <c r="Q429" s="343"/>
      <c r="R429" s="600"/>
      <c r="S429" s="600"/>
      <c r="T429" s="600"/>
      <c r="U429" s="600"/>
      <c r="V429" s="600"/>
      <c r="W429" s="600"/>
      <c r="X429" s="600"/>
      <c r="Y429" s="600"/>
      <c r="Z429" s="600"/>
      <c r="AA429" s="482"/>
      <c r="AB429" s="482"/>
      <c r="AC429" s="482"/>
      <c r="AD429" s="600">
        <v>418</v>
      </c>
      <c r="AE429" s="482"/>
      <c r="AF429" s="600"/>
      <c r="AG429" s="600"/>
      <c r="AH429" s="600"/>
      <c r="AI429" s="600"/>
      <c r="AJ429" s="600"/>
      <c r="AK429" s="600"/>
      <c r="AL429" s="600"/>
      <c r="AM429" s="600"/>
      <c r="AN429" s="482"/>
      <c r="AO429" s="600"/>
      <c r="AP429" s="600"/>
      <c r="AQ429" s="600"/>
      <c r="AR429" s="600"/>
      <c r="AS429" s="600"/>
      <c r="AT429" s="600"/>
      <c r="AU429" s="600"/>
      <c r="AV429" s="600"/>
      <c r="AW429" s="482"/>
      <c r="AX429" s="482"/>
      <c r="AY429" s="482"/>
      <c r="AZ429" s="482"/>
      <c r="BA429" s="343"/>
      <c r="BB429" s="343"/>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row>
    <row r="430" spans="1:76" s="25" customFormat="1">
      <c r="A430" s="343"/>
      <c r="B430" s="343"/>
      <c r="C430" s="64"/>
      <c r="D430" s="64"/>
      <c r="E430" s="39"/>
      <c r="F430" s="39"/>
      <c r="G430" s="39"/>
      <c r="H430" s="39"/>
      <c r="I430" s="39"/>
      <c r="J430" s="39"/>
      <c r="K430" s="39"/>
      <c r="L430" s="39"/>
      <c r="M430" s="660"/>
      <c r="N430" s="343"/>
      <c r="O430" s="343"/>
      <c r="P430" s="343"/>
      <c r="Q430" s="343"/>
      <c r="R430" s="600"/>
      <c r="S430" s="600"/>
      <c r="T430" s="600"/>
      <c r="U430" s="600"/>
      <c r="V430" s="600"/>
      <c r="W430" s="600"/>
      <c r="X430" s="600"/>
      <c r="Y430" s="600"/>
      <c r="Z430" s="600"/>
      <c r="AA430" s="482"/>
      <c r="AB430" s="482"/>
      <c r="AC430" s="482"/>
      <c r="AD430" s="600">
        <v>419</v>
      </c>
      <c r="AE430" s="482"/>
      <c r="AF430" s="600"/>
      <c r="AG430" s="600"/>
      <c r="AH430" s="600"/>
      <c r="AI430" s="600"/>
      <c r="AJ430" s="600"/>
      <c r="AK430" s="600"/>
      <c r="AL430" s="600"/>
      <c r="AM430" s="600"/>
      <c r="AN430" s="482"/>
      <c r="AO430" s="600"/>
      <c r="AP430" s="600"/>
      <c r="AQ430" s="600"/>
      <c r="AR430" s="600"/>
      <c r="AS430" s="600"/>
      <c r="AT430" s="600"/>
      <c r="AU430" s="600"/>
      <c r="AV430" s="600"/>
      <c r="AW430" s="482"/>
      <c r="AX430" s="482"/>
      <c r="AY430" s="482"/>
      <c r="AZ430" s="482"/>
      <c r="BA430" s="343"/>
      <c r="BB430" s="343"/>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row>
    <row r="431" spans="1:76" s="25" customFormat="1">
      <c r="A431" s="343"/>
      <c r="B431" s="343"/>
      <c r="C431" s="64"/>
      <c r="D431" s="64"/>
      <c r="E431" s="39"/>
      <c r="F431" s="39"/>
      <c r="G431" s="39"/>
      <c r="H431" s="39"/>
      <c r="I431" s="39"/>
      <c r="J431" s="39"/>
      <c r="K431" s="39"/>
      <c r="L431" s="39"/>
      <c r="M431" s="660"/>
      <c r="N431" s="343"/>
      <c r="O431" s="343"/>
      <c r="P431" s="343"/>
      <c r="Q431" s="343"/>
      <c r="R431" s="600"/>
      <c r="S431" s="600"/>
      <c r="T431" s="600"/>
      <c r="U431" s="600"/>
      <c r="V431" s="600"/>
      <c r="W431" s="600"/>
      <c r="X431" s="600"/>
      <c r="Y431" s="600"/>
      <c r="Z431" s="600"/>
      <c r="AA431" s="482"/>
      <c r="AB431" s="482"/>
      <c r="AC431" s="482"/>
      <c r="AD431" s="600">
        <v>420</v>
      </c>
      <c r="AE431" s="482"/>
      <c r="AF431" s="600"/>
      <c r="AG431" s="600"/>
      <c r="AH431" s="600"/>
      <c r="AI431" s="600"/>
      <c r="AJ431" s="600"/>
      <c r="AK431" s="600"/>
      <c r="AL431" s="600"/>
      <c r="AM431" s="600"/>
      <c r="AN431" s="482"/>
      <c r="AO431" s="600"/>
      <c r="AP431" s="600"/>
      <c r="AQ431" s="600"/>
      <c r="AR431" s="600"/>
      <c r="AS431" s="600"/>
      <c r="AT431" s="600"/>
      <c r="AU431" s="600"/>
      <c r="AV431" s="600"/>
      <c r="AW431" s="482"/>
      <c r="AX431" s="482"/>
      <c r="AY431" s="482"/>
      <c r="AZ431" s="482"/>
      <c r="BA431" s="343"/>
      <c r="BB431" s="343"/>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row>
    <row r="432" spans="1:76" s="25" customFormat="1">
      <c r="A432" s="343"/>
      <c r="B432" s="343"/>
      <c r="C432" s="64"/>
      <c r="D432" s="64"/>
      <c r="E432" s="39"/>
      <c r="F432" s="39"/>
      <c r="G432" s="39"/>
      <c r="H432" s="39"/>
      <c r="I432" s="39"/>
      <c r="J432" s="39"/>
      <c r="K432" s="39"/>
      <c r="L432" s="39"/>
      <c r="M432" s="660"/>
      <c r="N432" s="343"/>
      <c r="O432" s="343"/>
      <c r="P432" s="343"/>
      <c r="Q432" s="343"/>
      <c r="R432" s="600"/>
      <c r="S432" s="600"/>
      <c r="T432" s="600"/>
      <c r="U432" s="600"/>
      <c r="V432" s="600"/>
      <c r="W432" s="600"/>
      <c r="X432" s="600"/>
      <c r="Y432" s="600"/>
      <c r="Z432" s="600"/>
      <c r="AA432" s="482"/>
      <c r="AB432" s="482"/>
      <c r="AC432" s="482"/>
      <c r="AD432" s="600">
        <v>421</v>
      </c>
      <c r="AE432" s="482"/>
      <c r="AF432" s="600"/>
      <c r="AG432" s="600"/>
      <c r="AH432" s="600"/>
      <c r="AI432" s="600"/>
      <c r="AJ432" s="600"/>
      <c r="AK432" s="600"/>
      <c r="AL432" s="600"/>
      <c r="AM432" s="600"/>
      <c r="AN432" s="482"/>
      <c r="AO432" s="600"/>
      <c r="AP432" s="600"/>
      <c r="AQ432" s="600"/>
      <c r="AR432" s="600"/>
      <c r="AS432" s="600"/>
      <c r="AT432" s="600"/>
      <c r="AU432" s="600"/>
      <c r="AV432" s="600"/>
      <c r="AW432" s="482"/>
      <c r="AX432" s="482"/>
      <c r="AY432" s="482"/>
      <c r="AZ432" s="482"/>
      <c r="BA432" s="343"/>
      <c r="BB432" s="343"/>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row>
    <row r="433" spans="1:76" s="25" customFormat="1">
      <c r="A433" s="343"/>
      <c r="B433" s="343"/>
      <c r="C433" s="64"/>
      <c r="D433" s="64"/>
      <c r="E433" s="39"/>
      <c r="F433" s="39"/>
      <c r="G433" s="39"/>
      <c r="H433" s="39"/>
      <c r="I433" s="39"/>
      <c r="J433" s="39"/>
      <c r="K433" s="39"/>
      <c r="L433" s="39"/>
      <c r="M433" s="660"/>
      <c r="N433" s="343"/>
      <c r="O433" s="343"/>
      <c r="P433" s="343"/>
      <c r="Q433" s="343"/>
      <c r="R433" s="600"/>
      <c r="S433" s="600"/>
      <c r="T433" s="600"/>
      <c r="U433" s="600"/>
      <c r="V433" s="600"/>
      <c r="W433" s="600"/>
      <c r="X433" s="600"/>
      <c r="Y433" s="600"/>
      <c r="Z433" s="600"/>
      <c r="AA433" s="482"/>
      <c r="AB433" s="482"/>
      <c r="AC433" s="482"/>
      <c r="AD433" s="600">
        <v>422</v>
      </c>
      <c r="AE433" s="482"/>
      <c r="AF433" s="600"/>
      <c r="AG433" s="600"/>
      <c r="AH433" s="600"/>
      <c r="AI433" s="600"/>
      <c r="AJ433" s="600"/>
      <c r="AK433" s="600"/>
      <c r="AL433" s="600"/>
      <c r="AM433" s="600"/>
      <c r="AN433" s="482"/>
      <c r="AO433" s="600"/>
      <c r="AP433" s="600"/>
      <c r="AQ433" s="600"/>
      <c r="AR433" s="600"/>
      <c r="AS433" s="600"/>
      <c r="AT433" s="600"/>
      <c r="AU433" s="600"/>
      <c r="AV433" s="600"/>
      <c r="AW433" s="482"/>
      <c r="AX433" s="482"/>
      <c r="AY433" s="482"/>
      <c r="AZ433" s="482"/>
      <c r="BA433" s="343"/>
      <c r="BB433" s="343"/>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row>
    <row r="434" spans="1:76" s="25" customFormat="1">
      <c r="A434" s="343"/>
      <c r="B434" s="343"/>
      <c r="C434" s="64"/>
      <c r="D434" s="64"/>
      <c r="E434" s="39"/>
      <c r="F434" s="39"/>
      <c r="G434" s="39"/>
      <c r="H434" s="39"/>
      <c r="I434" s="39"/>
      <c r="J434" s="39"/>
      <c r="K434" s="39"/>
      <c r="L434" s="39"/>
      <c r="M434" s="660"/>
      <c r="N434" s="343"/>
      <c r="O434" s="343"/>
      <c r="P434" s="343"/>
      <c r="Q434" s="343"/>
      <c r="R434" s="600"/>
      <c r="S434" s="600"/>
      <c r="T434" s="600"/>
      <c r="U434" s="600"/>
      <c r="V434" s="600"/>
      <c r="W434" s="600"/>
      <c r="X434" s="600"/>
      <c r="Y434" s="600"/>
      <c r="Z434" s="600"/>
      <c r="AA434" s="482"/>
      <c r="AB434" s="482"/>
      <c r="AC434" s="482"/>
      <c r="AD434" s="600">
        <v>423</v>
      </c>
      <c r="AE434" s="482"/>
      <c r="AF434" s="600"/>
      <c r="AG434" s="600"/>
      <c r="AH434" s="600"/>
      <c r="AI434" s="600"/>
      <c r="AJ434" s="600"/>
      <c r="AK434" s="600"/>
      <c r="AL434" s="600"/>
      <c r="AM434" s="600"/>
      <c r="AN434" s="482"/>
      <c r="AO434" s="600"/>
      <c r="AP434" s="600"/>
      <c r="AQ434" s="600"/>
      <c r="AR434" s="600"/>
      <c r="AS434" s="600"/>
      <c r="AT434" s="600"/>
      <c r="AU434" s="600"/>
      <c r="AV434" s="600"/>
      <c r="AW434" s="482"/>
      <c r="AX434" s="482"/>
      <c r="AY434" s="482"/>
      <c r="AZ434" s="482"/>
      <c r="BA434" s="343"/>
      <c r="BB434" s="343"/>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row>
    <row r="435" spans="1:76" s="25" customFormat="1">
      <c r="A435" s="343"/>
      <c r="B435" s="343"/>
      <c r="C435" s="64"/>
      <c r="D435" s="64"/>
      <c r="E435" s="39"/>
      <c r="F435" s="39"/>
      <c r="G435" s="39"/>
      <c r="H435" s="39"/>
      <c r="I435" s="39"/>
      <c r="J435" s="39"/>
      <c r="K435" s="39"/>
      <c r="L435" s="39"/>
      <c r="M435" s="660"/>
      <c r="N435" s="343"/>
      <c r="O435" s="343"/>
      <c r="P435" s="343"/>
      <c r="Q435" s="343"/>
      <c r="R435" s="600"/>
      <c r="S435" s="600"/>
      <c r="T435" s="600"/>
      <c r="U435" s="600"/>
      <c r="V435" s="600"/>
      <c r="W435" s="600"/>
      <c r="X435" s="600"/>
      <c r="Y435" s="600"/>
      <c r="Z435" s="600"/>
      <c r="AA435" s="482"/>
      <c r="AB435" s="482"/>
      <c r="AC435" s="482"/>
      <c r="AD435" s="600">
        <v>424</v>
      </c>
      <c r="AE435" s="482"/>
      <c r="AF435" s="600"/>
      <c r="AG435" s="600"/>
      <c r="AH435" s="600"/>
      <c r="AI435" s="600"/>
      <c r="AJ435" s="600"/>
      <c r="AK435" s="600"/>
      <c r="AL435" s="600"/>
      <c r="AM435" s="600"/>
      <c r="AN435" s="482"/>
      <c r="AO435" s="600"/>
      <c r="AP435" s="600"/>
      <c r="AQ435" s="600"/>
      <c r="AR435" s="600"/>
      <c r="AS435" s="600"/>
      <c r="AT435" s="600"/>
      <c r="AU435" s="600"/>
      <c r="AV435" s="600"/>
      <c r="AW435" s="482"/>
      <c r="AX435" s="482"/>
      <c r="AY435" s="482"/>
      <c r="AZ435" s="482"/>
      <c r="BA435" s="343"/>
      <c r="BB435" s="343"/>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row>
    <row r="436" spans="1:76" s="25" customFormat="1">
      <c r="A436" s="343"/>
      <c r="B436" s="343"/>
      <c r="C436" s="64"/>
      <c r="D436" s="64"/>
      <c r="E436" s="39"/>
      <c r="F436" s="39"/>
      <c r="G436" s="39"/>
      <c r="H436" s="39"/>
      <c r="I436" s="39"/>
      <c r="J436" s="39"/>
      <c r="K436" s="39"/>
      <c r="L436" s="39"/>
      <c r="M436" s="660"/>
      <c r="N436" s="343"/>
      <c r="O436" s="343"/>
      <c r="P436" s="343"/>
      <c r="Q436" s="343"/>
      <c r="R436" s="600"/>
      <c r="S436" s="600"/>
      <c r="T436" s="600"/>
      <c r="U436" s="600"/>
      <c r="V436" s="600"/>
      <c r="W436" s="600"/>
      <c r="X436" s="600"/>
      <c r="Y436" s="600"/>
      <c r="Z436" s="600"/>
      <c r="AA436" s="482"/>
      <c r="AB436" s="482"/>
      <c r="AC436" s="482"/>
      <c r="AD436" s="600">
        <v>425</v>
      </c>
      <c r="AE436" s="482"/>
      <c r="AF436" s="600"/>
      <c r="AG436" s="600"/>
      <c r="AH436" s="600"/>
      <c r="AI436" s="600"/>
      <c r="AJ436" s="600"/>
      <c r="AK436" s="600"/>
      <c r="AL436" s="600"/>
      <c r="AM436" s="600"/>
      <c r="AN436" s="482"/>
      <c r="AO436" s="600"/>
      <c r="AP436" s="600"/>
      <c r="AQ436" s="600"/>
      <c r="AR436" s="600"/>
      <c r="AS436" s="600"/>
      <c r="AT436" s="600"/>
      <c r="AU436" s="600"/>
      <c r="AV436" s="600"/>
      <c r="AW436" s="482"/>
      <c r="AX436" s="482"/>
      <c r="AY436" s="482"/>
      <c r="AZ436" s="482"/>
      <c r="BA436" s="343"/>
      <c r="BB436" s="343"/>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row>
    <row r="437" spans="1:76" s="25" customFormat="1">
      <c r="A437" s="343"/>
      <c r="B437" s="343"/>
      <c r="C437" s="64"/>
      <c r="D437" s="64"/>
      <c r="E437" s="39"/>
      <c r="F437" s="39"/>
      <c r="G437" s="39"/>
      <c r="H437" s="39"/>
      <c r="I437" s="39"/>
      <c r="J437" s="39"/>
      <c r="K437" s="39"/>
      <c r="L437" s="39"/>
      <c r="M437" s="660"/>
      <c r="N437" s="343"/>
      <c r="O437" s="343"/>
      <c r="P437" s="343"/>
      <c r="Q437" s="343"/>
      <c r="R437" s="600"/>
      <c r="S437" s="600"/>
      <c r="T437" s="600"/>
      <c r="U437" s="600"/>
      <c r="V437" s="600"/>
      <c r="W437" s="600"/>
      <c r="X437" s="600"/>
      <c r="Y437" s="600"/>
      <c r="Z437" s="600"/>
      <c r="AA437" s="482"/>
      <c r="AB437" s="482"/>
      <c r="AC437" s="482"/>
      <c r="AD437" s="600">
        <v>426</v>
      </c>
      <c r="AE437" s="482"/>
      <c r="AF437" s="600"/>
      <c r="AG437" s="600"/>
      <c r="AH437" s="600"/>
      <c r="AI437" s="600"/>
      <c r="AJ437" s="600"/>
      <c r="AK437" s="600"/>
      <c r="AL437" s="600"/>
      <c r="AM437" s="600"/>
      <c r="AN437" s="482"/>
      <c r="AO437" s="600"/>
      <c r="AP437" s="600"/>
      <c r="AQ437" s="600"/>
      <c r="AR437" s="600"/>
      <c r="AS437" s="600"/>
      <c r="AT437" s="600"/>
      <c r="AU437" s="600"/>
      <c r="AV437" s="600"/>
      <c r="AW437" s="482"/>
      <c r="AX437" s="482"/>
      <c r="AY437" s="482"/>
      <c r="AZ437" s="482"/>
      <c r="BA437" s="343"/>
      <c r="BB437" s="343"/>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row>
    <row r="438" spans="1:76" s="25" customFormat="1">
      <c r="A438" s="343"/>
      <c r="B438" s="343"/>
      <c r="C438" s="64"/>
      <c r="D438" s="64"/>
      <c r="E438" s="39"/>
      <c r="F438" s="39"/>
      <c r="G438" s="39"/>
      <c r="H438" s="39"/>
      <c r="I438" s="39"/>
      <c r="J438" s="39"/>
      <c r="K438" s="39"/>
      <c r="L438" s="39"/>
      <c r="M438" s="660"/>
      <c r="N438" s="343"/>
      <c r="O438" s="343"/>
      <c r="P438" s="343"/>
      <c r="Q438" s="343"/>
      <c r="R438" s="600"/>
      <c r="S438" s="600"/>
      <c r="T438" s="600"/>
      <c r="U438" s="600"/>
      <c r="V438" s="600"/>
      <c r="W438" s="600"/>
      <c r="X438" s="600"/>
      <c r="Y438" s="600"/>
      <c r="Z438" s="600"/>
      <c r="AA438" s="482"/>
      <c r="AB438" s="482"/>
      <c r="AC438" s="482"/>
      <c r="AD438" s="600">
        <v>427</v>
      </c>
      <c r="AE438" s="482"/>
      <c r="AF438" s="600"/>
      <c r="AG438" s="600"/>
      <c r="AH438" s="600"/>
      <c r="AI438" s="600"/>
      <c r="AJ438" s="600"/>
      <c r="AK438" s="600"/>
      <c r="AL438" s="600"/>
      <c r="AM438" s="600"/>
      <c r="AN438" s="482"/>
      <c r="AO438" s="600"/>
      <c r="AP438" s="600"/>
      <c r="AQ438" s="600"/>
      <c r="AR438" s="600"/>
      <c r="AS438" s="600"/>
      <c r="AT438" s="600"/>
      <c r="AU438" s="600"/>
      <c r="AV438" s="600"/>
      <c r="AW438" s="482"/>
      <c r="AX438" s="482"/>
      <c r="AY438" s="482"/>
      <c r="AZ438" s="482"/>
      <c r="BA438" s="343"/>
      <c r="BB438" s="343"/>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row>
    <row r="439" spans="1:76" s="25" customFormat="1">
      <c r="A439" s="343"/>
      <c r="B439" s="343"/>
      <c r="C439" s="64"/>
      <c r="D439" s="64"/>
      <c r="E439" s="39"/>
      <c r="F439" s="39"/>
      <c r="G439" s="39"/>
      <c r="H439" s="39"/>
      <c r="I439" s="39"/>
      <c r="J439" s="39"/>
      <c r="K439" s="39"/>
      <c r="L439" s="39"/>
      <c r="M439" s="660"/>
      <c r="N439" s="343"/>
      <c r="O439" s="343"/>
      <c r="P439" s="343"/>
      <c r="Q439" s="343"/>
      <c r="R439" s="600"/>
      <c r="S439" s="600"/>
      <c r="T439" s="600"/>
      <c r="U439" s="600"/>
      <c r="V439" s="600"/>
      <c r="W439" s="600"/>
      <c r="X439" s="600"/>
      <c r="Y439" s="600"/>
      <c r="Z439" s="600"/>
      <c r="AA439" s="482"/>
      <c r="AB439" s="482"/>
      <c r="AC439" s="482"/>
      <c r="AD439" s="600">
        <v>428</v>
      </c>
      <c r="AE439" s="482"/>
      <c r="AF439" s="600"/>
      <c r="AG439" s="600"/>
      <c r="AH439" s="600"/>
      <c r="AI439" s="600"/>
      <c r="AJ439" s="600"/>
      <c r="AK439" s="600"/>
      <c r="AL439" s="600"/>
      <c r="AM439" s="600"/>
      <c r="AN439" s="482"/>
      <c r="AO439" s="600"/>
      <c r="AP439" s="600"/>
      <c r="AQ439" s="600"/>
      <c r="AR439" s="600"/>
      <c r="AS439" s="600"/>
      <c r="AT439" s="600"/>
      <c r="AU439" s="600"/>
      <c r="AV439" s="600"/>
      <c r="AW439" s="482"/>
      <c r="AX439" s="482"/>
      <c r="AY439" s="482"/>
      <c r="AZ439" s="482"/>
      <c r="BA439" s="343"/>
      <c r="BB439" s="343"/>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row>
    <row r="440" spans="1:76" s="25" customFormat="1">
      <c r="A440" s="343"/>
      <c r="B440" s="343"/>
      <c r="C440" s="64"/>
      <c r="D440" s="64"/>
      <c r="E440" s="39"/>
      <c r="F440" s="39"/>
      <c r="G440" s="39"/>
      <c r="H440" s="39"/>
      <c r="I440" s="39"/>
      <c r="J440" s="39"/>
      <c r="K440" s="39"/>
      <c r="L440" s="39"/>
      <c r="M440" s="660"/>
      <c r="N440" s="343"/>
      <c r="O440" s="343"/>
      <c r="P440" s="343"/>
      <c r="Q440" s="343"/>
      <c r="R440" s="600"/>
      <c r="S440" s="600"/>
      <c r="T440" s="600"/>
      <c r="U440" s="600"/>
      <c r="V440" s="600"/>
      <c r="W440" s="600"/>
      <c r="X440" s="600"/>
      <c r="Y440" s="600"/>
      <c r="Z440" s="600"/>
      <c r="AA440" s="482"/>
      <c r="AB440" s="482"/>
      <c r="AC440" s="482"/>
      <c r="AD440" s="600">
        <v>429</v>
      </c>
      <c r="AE440" s="482"/>
      <c r="AF440" s="600"/>
      <c r="AG440" s="600"/>
      <c r="AH440" s="600"/>
      <c r="AI440" s="600"/>
      <c r="AJ440" s="600"/>
      <c r="AK440" s="600"/>
      <c r="AL440" s="600"/>
      <c r="AM440" s="600"/>
      <c r="AN440" s="482"/>
      <c r="AO440" s="600"/>
      <c r="AP440" s="600"/>
      <c r="AQ440" s="600"/>
      <c r="AR440" s="600"/>
      <c r="AS440" s="600"/>
      <c r="AT440" s="600"/>
      <c r="AU440" s="600"/>
      <c r="AV440" s="600"/>
      <c r="AW440" s="482"/>
      <c r="AX440" s="482"/>
      <c r="AY440" s="482"/>
      <c r="AZ440" s="482"/>
      <c r="BA440" s="343"/>
      <c r="BB440" s="343"/>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row>
    <row r="441" spans="1:76" s="25" customFormat="1">
      <c r="A441" s="343"/>
      <c r="B441" s="343"/>
      <c r="C441" s="64"/>
      <c r="D441" s="64"/>
      <c r="E441" s="39"/>
      <c r="F441" s="39"/>
      <c r="G441" s="39"/>
      <c r="H441" s="39"/>
      <c r="I441" s="39"/>
      <c r="J441" s="39"/>
      <c r="K441" s="39"/>
      <c r="L441" s="39"/>
      <c r="M441" s="660"/>
      <c r="N441" s="343"/>
      <c r="O441" s="343"/>
      <c r="P441" s="343"/>
      <c r="Q441" s="343"/>
      <c r="R441" s="600"/>
      <c r="S441" s="600"/>
      <c r="T441" s="600"/>
      <c r="U441" s="600"/>
      <c r="V441" s="600"/>
      <c r="W441" s="600"/>
      <c r="X441" s="600"/>
      <c r="Y441" s="600"/>
      <c r="Z441" s="600"/>
      <c r="AA441" s="482"/>
      <c r="AB441" s="482"/>
      <c r="AC441" s="482"/>
      <c r="AD441" s="600">
        <v>430</v>
      </c>
      <c r="AE441" s="482"/>
      <c r="AF441" s="600"/>
      <c r="AG441" s="600"/>
      <c r="AH441" s="600"/>
      <c r="AI441" s="600"/>
      <c r="AJ441" s="600"/>
      <c r="AK441" s="600"/>
      <c r="AL441" s="600"/>
      <c r="AM441" s="600"/>
      <c r="AN441" s="482"/>
      <c r="AO441" s="600"/>
      <c r="AP441" s="600"/>
      <c r="AQ441" s="600"/>
      <c r="AR441" s="600"/>
      <c r="AS441" s="600"/>
      <c r="AT441" s="600"/>
      <c r="AU441" s="600"/>
      <c r="AV441" s="600"/>
      <c r="AW441" s="482"/>
      <c r="AX441" s="482"/>
      <c r="AY441" s="482"/>
      <c r="AZ441" s="482"/>
      <c r="BA441" s="343"/>
      <c r="BB441" s="343"/>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row>
    <row r="442" spans="1:76" s="25" customFormat="1">
      <c r="A442" s="343"/>
      <c r="B442" s="343"/>
      <c r="C442" s="64"/>
      <c r="D442" s="64"/>
      <c r="E442" s="39"/>
      <c r="F442" s="39"/>
      <c r="G442" s="39"/>
      <c r="H442" s="39"/>
      <c r="I442" s="39"/>
      <c r="J442" s="39"/>
      <c r="K442" s="39"/>
      <c r="L442" s="39"/>
      <c r="M442" s="660"/>
      <c r="N442" s="343"/>
      <c r="O442" s="343"/>
      <c r="P442" s="343"/>
      <c r="Q442" s="343"/>
      <c r="R442" s="600"/>
      <c r="S442" s="600"/>
      <c r="T442" s="600"/>
      <c r="U442" s="600"/>
      <c r="V442" s="600"/>
      <c r="W442" s="600"/>
      <c r="X442" s="600"/>
      <c r="Y442" s="600"/>
      <c r="Z442" s="600"/>
      <c r="AA442" s="482"/>
      <c r="AB442" s="482"/>
      <c r="AC442" s="482"/>
      <c r="AD442" s="600">
        <v>431</v>
      </c>
      <c r="AE442" s="482"/>
      <c r="AF442" s="600"/>
      <c r="AG442" s="600"/>
      <c r="AH442" s="600"/>
      <c r="AI442" s="600"/>
      <c r="AJ442" s="600"/>
      <c r="AK442" s="600"/>
      <c r="AL442" s="600"/>
      <c r="AM442" s="600"/>
      <c r="AN442" s="482"/>
      <c r="AO442" s="600"/>
      <c r="AP442" s="600"/>
      <c r="AQ442" s="600"/>
      <c r="AR442" s="600"/>
      <c r="AS442" s="600"/>
      <c r="AT442" s="600"/>
      <c r="AU442" s="600"/>
      <c r="AV442" s="600"/>
      <c r="AW442" s="482"/>
      <c r="AX442" s="482"/>
      <c r="AY442" s="482"/>
      <c r="AZ442" s="482"/>
      <c r="BA442" s="343"/>
      <c r="BB442" s="343"/>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row>
    <row r="443" spans="1:76" s="25" customFormat="1">
      <c r="A443" s="343"/>
      <c r="B443" s="343"/>
      <c r="C443" s="64"/>
      <c r="D443" s="64"/>
      <c r="E443" s="39"/>
      <c r="F443" s="39"/>
      <c r="G443" s="39"/>
      <c r="H443" s="39"/>
      <c r="I443" s="39"/>
      <c r="J443" s="39"/>
      <c r="K443" s="39"/>
      <c r="L443" s="39"/>
      <c r="M443" s="660"/>
      <c r="N443" s="343"/>
      <c r="O443" s="343"/>
      <c r="P443" s="343"/>
      <c r="Q443" s="343"/>
      <c r="R443" s="600"/>
      <c r="S443" s="600"/>
      <c r="T443" s="600"/>
      <c r="U443" s="600"/>
      <c r="V443" s="600"/>
      <c r="W443" s="600"/>
      <c r="X443" s="600"/>
      <c r="Y443" s="600"/>
      <c r="Z443" s="600"/>
      <c r="AA443" s="482"/>
      <c r="AB443" s="482"/>
      <c r="AC443" s="482"/>
      <c r="AD443" s="600">
        <v>432</v>
      </c>
      <c r="AE443" s="482"/>
      <c r="AF443" s="600"/>
      <c r="AG443" s="600"/>
      <c r="AH443" s="600"/>
      <c r="AI443" s="600"/>
      <c r="AJ443" s="600"/>
      <c r="AK443" s="600"/>
      <c r="AL443" s="600"/>
      <c r="AM443" s="600"/>
      <c r="AN443" s="482"/>
      <c r="AO443" s="600"/>
      <c r="AP443" s="600"/>
      <c r="AQ443" s="600"/>
      <c r="AR443" s="600"/>
      <c r="AS443" s="600"/>
      <c r="AT443" s="600"/>
      <c r="AU443" s="600"/>
      <c r="AV443" s="600"/>
      <c r="AW443" s="482"/>
      <c r="AX443" s="482"/>
      <c r="AY443" s="482"/>
      <c r="AZ443" s="482"/>
      <c r="BA443" s="343"/>
      <c r="BB443" s="343"/>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row>
    <row r="444" spans="1:76" s="25" customFormat="1">
      <c r="A444" s="343"/>
      <c r="B444" s="343"/>
      <c r="C444" s="64"/>
      <c r="D444" s="64"/>
      <c r="E444" s="39"/>
      <c r="F444" s="39"/>
      <c r="G444" s="39"/>
      <c r="H444" s="39"/>
      <c r="I444" s="39"/>
      <c r="J444" s="39"/>
      <c r="K444" s="39"/>
      <c r="L444" s="39"/>
      <c r="M444" s="660"/>
      <c r="N444" s="343"/>
      <c r="O444" s="343"/>
      <c r="P444" s="343"/>
      <c r="Q444" s="343"/>
      <c r="R444" s="600"/>
      <c r="S444" s="600"/>
      <c r="T444" s="600"/>
      <c r="U444" s="600"/>
      <c r="V444" s="600"/>
      <c r="W444" s="600"/>
      <c r="X444" s="600"/>
      <c r="Y444" s="600"/>
      <c r="Z444" s="600"/>
      <c r="AA444" s="482"/>
      <c r="AB444" s="482"/>
      <c r="AC444" s="482"/>
      <c r="AD444" s="600">
        <v>433</v>
      </c>
      <c r="AE444" s="482"/>
      <c r="AF444" s="600"/>
      <c r="AG444" s="600"/>
      <c r="AH444" s="600"/>
      <c r="AI444" s="600"/>
      <c r="AJ444" s="600"/>
      <c r="AK444" s="600"/>
      <c r="AL444" s="600"/>
      <c r="AM444" s="600"/>
      <c r="AN444" s="482"/>
      <c r="AO444" s="600"/>
      <c r="AP444" s="600"/>
      <c r="AQ444" s="600"/>
      <c r="AR444" s="600"/>
      <c r="AS444" s="600"/>
      <c r="AT444" s="600"/>
      <c r="AU444" s="600"/>
      <c r="AV444" s="600"/>
      <c r="AW444" s="482"/>
      <c r="AX444" s="482"/>
      <c r="AY444" s="482"/>
      <c r="AZ444" s="482"/>
      <c r="BA444" s="343"/>
      <c r="BB444" s="343"/>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row>
    <row r="445" spans="1:76" s="25" customFormat="1">
      <c r="A445" s="343"/>
      <c r="B445" s="343"/>
      <c r="C445" s="64"/>
      <c r="D445" s="64"/>
      <c r="E445" s="39"/>
      <c r="F445" s="39"/>
      <c r="G445" s="39"/>
      <c r="H445" s="39"/>
      <c r="I445" s="39"/>
      <c r="J445" s="39"/>
      <c r="K445" s="39"/>
      <c r="L445" s="39"/>
      <c r="M445" s="660"/>
      <c r="N445" s="343"/>
      <c r="O445" s="343"/>
      <c r="P445" s="343"/>
      <c r="Q445" s="343"/>
      <c r="R445" s="600"/>
      <c r="S445" s="600"/>
      <c r="T445" s="600"/>
      <c r="U445" s="600"/>
      <c r="V445" s="600"/>
      <c r="W445" s="600"/>
      <c r="X445" s="600"/>
      <c r="Y445" s="600"/>
      <c r="Z445" s="600"/>
      <c r="AA445" s="482"/>
      <c r="AB445" s="482"/>
      <c r="AC445" s="482"/>
      <c r="AD445" s="600">
        <v>434</v>
      </c>
      <c r="AE445" s="482"/>
      <c r="AF445" s="600"/>
      <c r="AG445" s="600"/>
      <c r="AH445" s="600"/>
      <c r="AI445" s="600"/>
      <c r="AJ445" s="600"/>
      <c r="AK445" s="600"/>
      <c r="AL445" s="600"/>
      <c r="AM445" s="600"/>
      <c r="AN445" s="482"/>
      <c r="AO445" s="600"/>
      <c r="AP445" s="600"/>
      <c r="AQ445" s="600"/>
      <c r="AR445" s="600"/>
      <c r="AS445" s="600"/>
      <c r="AT445" s="600"/>
      <c r="AU445" s="600"/>
      <c r="AV445" s="600"/>
      <c r="AW445" s="482"/>
      <c r="AX445" s="482"/>
      <c r="AY445" s="482"/>
      <c r="AZ445" s="482"/>
      <c r="BA445" s="343"/>
      <c r="BB445" s="343"/>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row>
    <row r="446" spans="1:76" s="25" customFormat="1">
      <c r="A446" s="343"/>
      <c r="B446" s="343"/>
      <c r="C446" s="64"/>
      <c r="D446" s="64"/>
      <c r="E446" s="39"/>
      <c r="F446" s="39"/>
      <c r="G446" s="39"/>
      <c r="H446" s="39"/>
      <c r="I446" s="39"/>
      <c r="J446" s="39"/>
      <c r="K446" s="39"/>
      <c r="L446" s="39"/>
      <c r="M446" s="660"/>
      <c r="N446" s="343"/>
      <c r="O446" s="343"/>
      <c r="P446" s="343"/>
      <c r="Q446" s="343"/>
      <c r="R446" s="600"/>
      <c r="S446" s="600"/>
      <c r="T446" s="600"/>
      <c r="U446" s="600"/>
      <c r="V446" s="600"/>
      <c r="W446" s="600"/>
      <c r="X446" s="600"/>
      <c r="Y446" s="600"/>
      <c r="Z446" s="600"/>
      <c r="AA446" s="482"/>
      <c r="AB446" s="482"/>
      <c r="AC446" s="482"/>
      <c r="AD446" s="600">
        <v>435</v>
      </c>
      <c r="AE446" s="482"/>
      <c r="AF446" s="600"/>
      <c r="AG446" s="600"/>
      <c r="AH446" s="600"/>
      <c r="AI446" s="600"/>
      <c r="AJ446" s="600"/>
      <c r="AK446" s="600"/>
      <c r="AL446" s="600"/>
      <c r="AM446" s="600"/>
      <c r="AN446" s="482"/>
      <c r="AO446" s="600"/>
      <c r="AP446" s="600"/>
      <c r="AQ446" s="600"/>
      <c r="AR446" s="600"/>
      <c r="AS446" s="600"/>
      <c r="AT446" s="600"/>
      <c r="AU446" s="600"/>
      <c r="AV446" s="600"/>
      <c r="AW446" s="482"/>
      <c r="AX446" s="482"/>
      <c r="AY446" s="482"/>
      <c r="AZ446" s="482"/>
      <c r="BA446" s="343"/>
      <c r="BB446" s="343"/>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row>
    <row r="447" spans="1:76" s="25" customFormat="1">
      <c r="A447" s="343"/>
      <c r="B447" s="343"/>
      <c r="C447" s="64"/>
      <c r="D447" s="64"/>
      <c r="E447" s="39"/>
      <c r="F447" s="39"/>
      <c r="G447" s="39"/>
      <c r="H447" s="39"/>
      <c r="I447" s="39"/>
      <c r="J447" s="39"/>
      <c r="K447" s="39"/>
      <c r="L447" s="39"/>
      <c r="M447" s="660"/>
      <c r="N447" s="343"/>
      <c r="O447" s="343"/>
      <c r="P447" s="343"/>
      <c r="Q447" s="343"/>
      <c r="R447" s="600"/>
      <c r="S447" s="600"/>
      <c r="T447" s="600"/>
      <c r="U447" s="600"/>
      <c r="V447" s="600"/>
      <c r="W447" s="600"/>
      <c r="X447" s="600"/>
      <c r="Y447" s="600"/>
      <c r="Z447" s="600"/>
      <c r="AA447" s="482"/>
      <c r="AB447" s="482"/>
      <c r="AC447" s="482"/>
      <c r="AD447" s="600">
        <v>436</v>
      </c>
      <c r="AE447" s="482"/>
      <c r="AF447" s="600"/>
      <c r="AG447" s="600"/>
      <c r="AH447" s="600"/>
      <c r="AI447" s="600"/>
      <c r="AJ447" s="600"/>
      <c r="AK447" s="600"/>
      <c r="AL447" s="600"/>
      <c r="AM447" s="600"/>
      <c r="AN447" s="482"/>
      <c r="AO447" s="600"/>
      <c r="AP447" s="600"/>
      <c r="AQ447" s="600"/>
      <c r="AR447" s="600"/>
      <c r="AS447" s="600"/>
      <c r="AT447" s="600"/>
      <c r="AU447" s="600"/>
      <c r="AV447" s="600"/>
      <c r="AW447" s="482"/>
      <c r="AX447" s="482"/>
      <c r="AY447" s="482"/>
      <c r="AZ447" s="482"/>
      <c r="BA447" s="343"/>
      <c r="BB447" s="343"/>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row>
    <row r="448" spans="1:76" s="25" customFormat="1">
      <c r="A448" s="343"/>
      <c r="B448" s="343"/>
      <c r="C448" s="64"/>
      <c r="D448" s="64"/>
      <c r="E448" s="39"/>
      <c r="F448" s="39"/>
      <c r="G448" s="39"/>
      <c r="H448" s="39"/>
      <c r="I448" s="39"/>
      <c r="J448" s="39"/>
      <c r="K448" s="39"/>
      <c r="L448" s="39"/>
      <c r="M448" s="660"/>
      <c r="N448" s="343"/>
      <c r="O448" s="343"/>
      <c r="P448" s="343"/>
      <c r="Q448" s="343"/>
      <c r="R448" s="600"/>
      <c r="S448" s="600"/>
      <c r="T448" s="600"/>
      <c r="U448" s="600"/>
      <c r="V448" s="600"/>
      <c r="W448" s="600"/>
      <c r="X448" s="600"/>
      <c r="Y448" s="600"/>
      <c r="Z448" s="600"/>
      <c r="AA448" s="482"/>
      <c r="AB448" s="482"/>
      <c r="AC448" s="482"/>
      <c r="AD448" s="600">
        <v>437</v>
      </c>
      <c r="AE448" s="482"/>
      <c r="AF448" s="600"/>
      <c r="AG448" s="600"/>
      <c r="AH448" s="600"/>
      <c r="AI448" s="600"/>
      <c r="AJ448" s="600"/>
      <c r="AK448" s="600"/>
      <c r="AL448" s="600"/>
      <c r="AM448" s="600"/>
      <c r="AN448" s="482"/>
      <c r="AO448" s="600"/>
      <c r="AP448" s="600"/>
      <c r="AQ448" s="600"/>
      <c r="AR448" s="600"/>
      <c r="AS448" s="600"/>
      <c r="AT448" s="600"/>
      <c r="AU448" s="600"/>
      <c r="AV448" s="600"/>
      <c r="AW448" s="482"/>
      <c r="AX448" s="482"/>
      <c r="AY448" s="482"/>
      <c r="AZ448" s="482"/>
      <c r="BA448" s="343"/>
      <c r="BB448" s="343"/>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row>
    <row r="449" spans="1:76" s="25" customFormat="1">
      <c r="A449" s="343"/>
      <c r="B449" s="343"/>
      <c r="C449" s="64"/>
      <c r="D449" s="64"/>
      <c r="E449" s="39"/>
      <c r="F449" s="39"/>
      <c r="G449" s="39"/>
      <c r="H449" s="39"/>
      <c r="I449" s="39"/>
      <c r="J449" s="39"/>
      <c r="K449" s="39"/>
      <c r="L449" s="39"/>
      <c r="M449" s="660"/>
      <c r="N449" s="343"/>
      <c r="O449" s="343"/>
      <c r="P449" s="343"/>
      <c r="Q449" s="343"/>
      <c r="R449" s="600"/>
      <c r="S449" s="600"/>
      <c r="T449" s="600"/>
      <c r="U449" s="600"/>
      <c r="V449" s="600"/>
      <c r="W449" s="600"/>
      <c r="X449" s="600"/>
      <c r="Y449" s="600"/>
      <c r="Z449" s="600"/>
      <c r="AA449" s="482"/>
      <c r="AB449" s="482"/>
      <c r="AC449" s="482"/>
      <c r="AD449" s="600">
        <v>438</v>
      </c>
      <c r="AE449" s="482"/>
      <c r="AF449" s="600"/>
      <c r="AG449" s="600"/>
      <c r="AH449" s="600"/>
      <c r="AI449" s="600"/>
      <c r="AJ449" s="600"/>
      <c r="AK449" s="600"/>
      <c r="AL449" s="600"/>
      <c r="AM449" s="600"/>
      <c r="AN449" s="482"/>
      <c r="AO449" s="600"/>
      <c r="AP449" s="600"/>
      <c r="AQ449" s="600"/>
      <c r="AR449" s="600"/>
      <c r="AS449" s="600"/>
      <c r="AT449" s="600"/>
      <c r="AU449" s="600"/>
      <c r="AV449" s="600"/>
      <c r="AW449" s="482"/>
      <c r="AX449" s="482"/>
      <c r="AY449" s="482"/>
      <c r="AZ449" s="482"/>
      <c r="BA449" s="343"/>
      <c r="BB449" s="343"/>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row>
    <row r="450" spans="1:76" s="25" customFormat="1">
      <c r="A450" s="343"/>
      <c r="B450" s="343"/>
      <c r="C450" s="64"/>
      <c r="D450" s="64"/>
      <c r="E450" s="39"/>
      <c r="F450" s="39"/>
      <c r="G450" s="39"/>
      <c r="H450" s="39"/>
      <c r="I450" s="39"/>
      <c r="J450" s="39"/>
      <c r="K450" s="39"/>
      <c r="L450" s="39"/>
      <c r="M450" s="660"/>
      <c r="N450" s="343"/>
      <c r="O450" s="343"/>
      <c r="P450" s="343"/>
      <c r="Q450" s="343"/>
      <c r="R450" s="600"/>
      <c r="S450" s="600"/>
      <c r="T450" s="600"/>
      <c r="U450" s="600"/>
      <c r="V450" s="600"/>
      <c r="W450" s="600"/>
      <c r="X450" s="600"/>
      <c r="Y450" s="600"/>
      <c r="Z450" s="600"/>
      <c r="AA450" s="482"/>
      <c r="AB450" s="482"/>
      <c r="AC450" s="482"/>
      <c r="AD450" s="600">
        <v>439</v>
      </c>
      <c r="AE450" s="482"/>
      <c r="AF450" s="600"/>
      <c r="AG450" s="600"/>
      <c r="AH450" s="600"/>
      <c r="AI450" s="600"/>
      <c r="AJ450" s="600"/>
      <c r="AK450" s="600"/>
      <c r="AL450" s="600"/>
      <c r="AM450" s="600"/>
      <c r="AN450" s="482"/>
      <c r="AO450" s="600"/>
      <c r="AP450" s="600"/>
      <c r="AQ450" s="600"/>
      <c r="AR450" s="600"/>
      <c r="AS450" s="600"/>
      <c r="AT450" s="600"/>
      <c r="AU450" s="600"/>
      <c r="AV450" s="600"/>
      <c r="AW450" s="482"/>
      <c r="AX450" s="482"/>
      <c r="AY450" s="482"/>
      <c r="AZ450" s="482"/>
      <c r="BA450" s="343"/>
      <c r="BB450" s="343"/>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row>
    <row r="451" spans="1:76" s="25" customFormat="1">
      <c r="A451" s="343"/>
      <c r="B451" s="343"/>
      <c r="C451" s="64"/>
      <c r="D451" s="64"/>
      <c r="E451" s="39"/>
      <c r="F451" s="39"/>
      <c r="G451" s="39"/>
      <c r="H451" s="39"/>
      <c r="I451" s="39"/>
      <c r="J451" s="39"/>
      <c r="K451" s="39"/>
      <c r="L451" s="39"/>
      <c r="M451" s="660"/>
      <c r="N451" s="343"/>
      <c r="O451" s="343"/>
      <c r="P451" s="343"/>
      <c r="Q451" s="343"/>
      <c r="R451" s="600"/>
      <c r="S451" s="600"/>
      <c r="T451" s="600"/>
      <c r="U451" s="600"/>
      <c r="V451" s="600"/>
      <c r="W451" s="600"/>
      <c r="X451" s="600"/>
      <c r="Y451" s="600"/>
      <c r="Z451" s="600"/>
      <c r="AA451" s="482"/>
      <c r="AB451" s="482"/>
      <c r="AC451" s="482"/>
      <c r="AD451" s="600">
        <v>440</v>
      </c>
      <c r="AE451" s="482"/>
      <c r="AF451" s="600"/>
      <c r="AG451" s="600"/>
      <c r="AH451" s="600"/>
      <c r="AI451" s="600"/>
      <c r="AJ451" s="600"/>
      <c r="AK451" s="600"/>
      <c r="AL451" s="600"/>
      <c r="AM451" s="600"/>
      <c r="AN451" s="482"/>
      <c r="AO451" s="600"/>
      <c r="AP451" s="600"/>
      <c r="AQ451" s="600"/>
      <c r="AR451" s="600"/>
      <c r="AS451" s="600"/>
      <c r="AT451" s="600"/>
      <c r="AU451" s="600"/>
      <c r="AV451" s="600"/>
      <c r="AW451" s="482"/>
      <c r="AX451" s="482"/>
      <c r="AY451" s="482"/>
      <c r="AZ451" s="482"/>
      <c r="BA451" s="343"/>
      <c r="BB451" s="343"/>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row>
    <row r="452" spans="1:76" s="25" customFormat="1">
      <c r="A452" s="343"/>
      <c r="B452" s="343"/>
      <c r="C452" s="64"/>
      <c r="D452" s="64"/>
      <c r="E452" s="39"/>
      <c r="F452" s="39"/>
      <c r="G452" s="39"/>
      <c r="H452" s="39"/>
      <c r="I452" s="39"/>
      <c r="J452" s="39"/>
      <c r="K452" s="39"/>
      <c r="L452" s="39"/>
      <c r="M452" s="660"/>
      <c r="N452" s="343"/>
      <c r="O452" s="343"/>
      <c r="P452" s="343"/>
      <c r="Q452" s="343"/>
      <c r="R452" s="600"/>
      <c r="S452" s="600"/>
      <c r="T452" s="600"/>
      <c r="U452" s="600"/>
      <c r="V452" s="600"/>
      <c r="W452" s="600"/>
      <c r="X452" s="600"/>
      <c r="Y452" s="600"/>
      <c r="Z452" s="600"/>
      <c r="AA452" s="482"/>
      <c r="AB452" s="482"/>
      <c r="AC452" s="482"/>
      <c r="AD452" s="600">
        <v>441</v>
      </c>
      <c r="AE452" s="482"/>
      <c r="AF452" s="600"/>
      <c r="AG452" s="600"/>
      <c r="AH452" s="600"/>
      <c r="AI452" s="600"/>
      <c r="AJ452" s="600"/>
      <c r="AK452" s="600"/>
      <c r="AL452" s="600"/>
      <c r="AM452" s="600"/>
      <c r="AN452" s="482"/>
      <c r="AO452" s="600"/>
      <c r="AP452" s="600"/>
      <c r="AQ452" s="600"/>
      <c r="AR452" s="600"/>
      <c r="AS452" s="600"/>
      <c r="AT452" s="600"/>
      <c r="AU452" s="600"/>
      <c r="AV452" s="600"/>
      <c r="AW452" s="482"/>
      <c r="AX452" s="482"/>
      <c r="AY452" s="482"/>
      <c r="AZ452" s="482"/>
      <c r="BA452" s="343"/>
      <c r="BB452" s="343"/>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row>
    <row r="453" spans="1:76" s="25" customFormat="1">
      <c r="A453" s="343"/>
      <c r="B453" s="343"/>
      <c r="C453" s="64"/>
      <c r="D453" s="64"/>
      <c r="E453" s="39"/>
      <c r="F453" s="39"/>
      <c r="G453" s="39"/>
      <c r="H453" s="39"/>
      <c r="I453" s="39"/>
      <c r="J453" s="39"/>
      <c r="K453" s="39"/>
      <c r="L453" s="39"/>
      <c r="M453" s="660"/>
      <c r="N453" s="343"/>
      <c r="O453" s="343"/>
      <c r="P453" s="343"/>
      <c r="Q453" s="343"/>
      <c r="R453" s="600"/>
      <c r="S453" s="600"/>
      <c r="T453" s="600"/>
      <c r="U453" s="600"/>
      <c r="V453" s="600"/>
      <c r="W453" s="600"/>
      <c r="X453" s="600"/>
      <c r="Y453" s="600"/>
      <c r="Z453" s="600"/>
      <c r="AA453" s="482"/>
      <c r="AB453" s="482"/>
      <c r="AC453" s="482"/>
      <c r="AD453" s="600">
        <v>442</v>
      </c>
      <c r="AE453" s="482"/>
      <c r="AF453" s="600"/>
      <c r="AG453" s="600"/>
      <c r="AH453" s="600"/>
      <c r="AI453" s="600"/>
      <c r="AJ453" s="600"/>
      <c r="AK453" s="600"/>
      <c r="AL453" s="600"/>
      <c r="AM453" s="600"/>
      <c r="AN453" s="482"/>
      <c r="AO453" s="600"/>
      <c r="AP453" s="600"/>
      <c r="AQ453" s="600"/>
      <c r="AR453" s="600"/>
      <c r="AS453" s="600"/>
      <c r="AT453" s="600"/>
      <c r="AU453" s="600"/>
      <c r="AV453" s="600"/>
      <c r="AW453" s="482"/>
      <c r="AX453" s="482"/>
      <c r="AY453" s="482"/>
      <c r="AZ453" s="482"/>
      <c r="BA453" s="343"/>
      <c r="BB453" s="343"/>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row>
    <row r="454" spans="1:76" s="25" customFormat="1">
      <c r="A454" s="343"/>
      <c r="B454" s="343"/>
      <c r="C454" s="64"/>
      <c r="D454" s="64"/>
      <c r="E454" s="39"/>
      <c r="F454" s="39"/>
      <c r="G454" s="39"/>
      <c r="H454" s="39"/>
      <c r="I454" s="39"/>
      <c r="J454" s="39"/>
      <c r="K454" s="39"/>
      <c r="L454" s="39"/>
      <c r="M454" s="660"/>
      <c r="N454" s="343"/>
      <c r="O454" s="343"/>
      <c r="P454" s="343"/>
      <c r="Q454" s="343"/>
      <c r="R454" s="600"/>
      <c r="S454" s="600"/>
      <c r="T454" s="600"/>
      <c r="U454" s="600"/>
      <c r="V454" s="600"/>
      <c r="W454" s="600"/>
      <c r="X454" s="600"/>
      <c r="Y454" s="600"/>
      <c r="Z454" s="600"/>
      <c r="AA454" s="482"/>
      <c r="AB454" s="482"/>
      <c r="AC454" s="482"/>
      <c r="AD454" s="600">
        <v>443</v>
      </c>
      <c r="AE454" s="482"/>
      <c r="AF454" s="600"/>
      <c r="AG454" s="600"/>
      <c r="AH454" s="600"/>
      <c r="AI454" s="600"/>
      <c r="AJ454" s="600"/>
      <c r="AK454" s="600"/>
      <c r="AL454" s="600"/>
      <c r="AM454" s="600"/>
      <c r="AN454" s="482"/>
      <c r="AO454" s="600"/>
      <c r="AP454" s="600"/>
      <c r="AQ454" s="600"/>
      <c r="AR454" s="600"/>
      <c r="AS454" s="600"/>
      <c r="AT454" s="600"/>
      <c r="AU454" s="600"/>
      <c r="AV454" s="600"/>
      <c r="AW454" s="482"/>
      <c r="AX454" s="482"/>
      <c r="AY454" s="482"/>
      <c r="AZ454" s="482"/>
      <c r="BA454" s="343"/>
      <c r="BB454" s="343"/>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row>
    <row r="455" spans="1:76" s="25" customFormat="1">
      <c r="A455" s="343"/>
      <c r="B455" s="343"/>
      <c r="C455" s="64"/>
      <c r="D455" s="64"/>
      <c r="E455" s="39"/>
      <c r="F455" s="39"/>
      <c r="G455" s="39"/>
      <c r="H455" s="39"/>
      <c r="I455" s="39"/>
      <c r="J455" s="39"/>
      <c r="K455" s="39"/>
      <c r="L455" s="39"/>
      <c r="M455" s="660"/>
      <c r="N455" s="343"/>
      <c r="O455" s="343"/>
      <c r="P455" s="343"/>
      <c r="Q455" s="343"/>
      <c r="R455" s="600"/>
      <c r="S455" s="600"/>
      <c r="T455" s="600"/>
      <c r="U455" s="600"/>
      <c r="V455" s="600"/>
      <c r="W455" s="600"/>
      <c r="X455" s="600"/>
      <c r="Y455" s="600"/>
      <c r="Z455" s="600"/>
      <c r="AA455" s="482"/>
      <c r="AB455" s="482"/>
      <c r="AC455" s="482"/>
      <c r="AD455" s="600">
        <v>444</v>
      </c>
      <c r="AE455" s="482"/>
      <c r="AF455" s="600"/>
      <c r="AG455" s="600"/>
      <c r="AH455" s="600"/>
      <c r="AI455" s="600"/>
      <c r="AJ455" s="600"/>
      <c r="AK455" s="600"/>
      <c r="AL455" s="600"/>
      <c r="AM455" s="600"/>
      <c r="AN455" s="482"/>
      <c r="AO455" s="600"/>
      <c r="AP455" s="600"/>
      <c r="AQ455" s="600"/>
      <c r="AR455" s="600"/>
      <c r="AS455" s="600"/>
      <c r="AT455" s="600"/>
      <c r="AU455" s="600"/>
      <c r="AV455" s="600"/>
      <c r="AW455" s="482"/>
      <c r="AX455" s="482"/>
      <c r="AY455" s="482"/>
      <c r="AZ455" s="482"/>
      <c r="BA455" s="343"/>
      <c r="BB455" s="343"/>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row>
    <row r="456" spans="1:76" s="25" customFormat="1">
      <c r="A456" s="343"/>
      <c r="B456" s="343"/>
      <c r="C456" s="64"/>
      <c r="D456" s="64"/>
      <c r="E456" s="39"/>
      <c r="F456" s="39"/>
      <c r="G456" s="39"/>
      <c r="H456" s="39"/>
      <c r="I456" s="39"/>
      <c r="J456" s="39"/>
      <c r="K456" s="39"/>
      <c r="L456" s="39"/>
      <c r="M456" s="660"/>
      <c r="N456" s="343"/>
      <c r="O456" s="343"/>
      <c r="P456" s="343"/>
      <c r="Q456" s="343"/>
      <c r="R456" s="600"/>
      <c r="S456" s="600"/>
      <c r="T456" s="600"/>
      <c r="U456" s="600"/>
      <c r="V456" s="600"/>
      <c r="W456" s="600"/>
      <c r="X456" s="600"/>
      <c r="Y456" s="600"/>
      <c r="Z456" s="600"/>
      <c r="AA456" s="482"/>
      <c r="AB456" s="482"/>
      <c r="AC456" s="482"/>
      <c r="AD456" s="600">
        <v>445</v>
      </c>
      <c r="AE456" s="482"/>
      <c r="AF456" s="600"/>
      <c r="AG456" s="600"/>
      <c r="AH456" s="600"/>
      <c r="AI456" s="600"/>
      <c r="AJ456" s="600"/>
      <c r="AK456" s="600"/>
      <c r="AL456" s="600"/>
      <c r="AM456" s="600"/>
      <c r="AN456" s="482"/>
      <c r="AO456" s="600"/>
      <c r="AP456" s="600"/>
      <c r="AQ456" s="600"/>
      <c r="AR456" s="600"/>
      <c r="AS456" s="600"/>
      <c r="AT456" s="600"/>
      <c r="AU456" s="600"/>
      <c r="AV456" s="600"/>
      <c r="AW456" s="482"/>
      <c r="AX456" s="482"/>
      <c r="AY456" s="482"/>
      <c r="AZ456" s="482"/>
      <c r="BA456" s="343"/>
      <c r="BB456" s="343"/>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row>
    <row r="457" spans="1:76" s="25" customFormat="1">
      <c r="A457" s="343"/>
      <c r="B457" s="343"/>
      <c r="C457" s="64"/>
      <c r="D457" s="64"/>
      <c r="E457" s="39"/>
      <c r="F457" s="39"/>
      <c r="G457" s="39"/>
      <c r="H457" s="39"/>
      <c r="I457" s="39"/>
      <c r="J457" s="39"/>
      <c r="K457" s="39"/>
      <c r="L457" s="39"/>
      <c r="M457" s="660"/>
      <c r="N457" s="343"/>
      <c r="O457" s="343"/>
      <c r="P457" s="343"/>
      <c r="Q457" s="343"/>
      <c r="R457" s="600"/>
      <c r="S457" s="600"/>
      <c r="T457" s="600"/>
      <c r="U457" s="600"/>
      <c r="V457" s="600"/>
      <c r="W457" s="600"/>
      <c r="X457" s="600"/>
      <c r="Y457" s="600"/>
      <c r="Z457" s="600"/>
      <c r="AA457" s="482"/>
      <c r="AB457" s="482"/>
      <c r="AC457" s="482"/>
      <c r="AD457" s="600">
        <v>446</v>
      </c>
      <c r="AE457" s="482"/>
      <c r="AF457" s="600"/>
      <c r="AG457" s="600"/>
      <c r="AH457" s="600"/>
      <c r="AI457" s="600"/>
      <c r="AJ457" s="600"/>
      <c r="AK457" s="600"/>
      <c r="AL457" s="600"/>
      <c r="AM457" s="600"/>
      <c r="AN457" s="482"/>
      <c r="AO457" s="600"/>
      <c r="AP457" s="600"/>
      <c r="AQ457" s="600"/>
      <c r="AR457" s="600"/>
      <c r="AS457" s="600"/>
      <c r="AT457" s="600"/>
      <c r="AU457" s="600"/>
      <c r="AV457" s="600"/>
      <c r="AW457" s="482"/>
      <c r="AX457" s="482"/>
      <c r="AY457" s="482"/>
      <c r="AZ457" s="482"/>
      <c r="BA457" s="343"/>
      <c r="BB457" s="343"/>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row>
    <row r="458" spans="1:76" s="25" customFormat="1">
      <c r="A458" s="343"/>
      <c r="B458" s="343"/>
      <c r="C458" s="64"/>
      <c r="D458" s="64"/>
      <c r="E458" s="39"/>
      <c r="F458" s="39"/>
      <c r="G458" s="39"/>
      <c r="H458" s="39"/>
      <c r="I458" s="39"/>
      <c r="J458" s="39"/>
      <c r="K458" s="39"/>
      <c r="L458" s="39"/>
      <c r="M458" s="660"/>
      <c r="N458" s="343"/>
      <c r="O458" s="343"/>
      <c r="P458" s="343"/>
      <c r="Q458" s="343"/>
      <c r="R458" s="600"/>
      <c r="S458" s="600"/>
      <c r="T458" s="600"/>
      <c r="U458" s="600"/>
      <c r="V458" s="600"/>
      <c r="W458" s="600"/>
      <c r="X458" s="600"/>
      <c r="Y458" s="600"/>
      <c r="Z458" s="600"/>
      <c r="AA458" s="482"/>
      <c r="AB458" s="482"/>
      <c r="AC458" s="482"/>
      <c r="AD458" s="600">
        <v>447</v>
      </c>
      <c r="AE458" s="482"/>
      <c r="AF458" s="600"/>
      <c r="AG458" s="600"/>
      <c r="AH458" s="600"/>
      <c r="AI458" s="600"/>
      <c r="AJ458" s="600"/>
      <c r="AK458" s="600"/>
      <c r="AL458" s="600"/>
      <c r="AM458" s="600"/>
      <c r="AN458" s="482"/>
      <c r="AO458" s="600"/>
      <c r="AP458" s="600"/>
      <c r="AQ458" s="600"/>
      <c r="AR458" s="600"/>
      <c r="AS458" s="600"/>
      <c r="AT458" s="600"/>
      <c r="AU458" s="600"/>
      <c r="AV458" s="600"/>
      <c r="AW458" s="482"/>
      <c r="AX458" s="482"/>
      <c r="AY458" s="482"/>
      <c r="AZ458" s="482"/>
      <c r="BA458" s="343"/>
      <c r="BB458" s="343"/>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row>
    <row r="459" spans="1:76" s="25" customFormat="1">
      <c r="A459" s="343"/>
      <c r="B459" s="343"/>
      <c r="C459" s="64"/>
      <c r="D459" s="64"/>
      <c r="E459" s="39"/>
      <c r="F459" s="39"/>
      <c r="G459" s="39"/>
      <c r="H459" s="39"/>
      <c r="I459" s="39"/>
      <c r="J459" s="39"/>
      <c r="K459" s="39"/>
      <c r="L459" s="39"/>
      <c r="M459" s="660"/>
      <c r="N459" s="343"/>
      <c r="O459" s="343"/>
      <c r="P459" s="343"/>
      <c r="Q459" s="343"/>
      <c r="R459" s="600"/>
      <c r="S459" s="600"/>
      <c r="T459" s="600"/>
      <c r="U459" s="600"/>
      <c r="V459" s="600"/>
      <c r="W459" s="600"/>
      <c r="X459" s="600"/>
      <c r="Y459" s="600"/>
      <c r="Z459" s="600"/>
      <c r="AA459" s="482"/>
      <c r="AB459" s="482"/>
      <c r="AC459" s="482"/>
      <c r="AD459" s="600">
        <v>448</v>
      </c>
      <c r="AE459" s="482"/>
      <c r="AF459" s="600"/>
      <c r="AG459" s="600"/>
      <c r="AH459" s="600"/>
      <c r="AI459" s="600"/>
      <c r="AJ459" s="600"/>
      <c r="AK459" s="600"/>
      <c r="AL459" s="600"/>
      <c r="AM459" s="600"/>
      <c r="AN459" s="482"/>
      <c r="AO459" s="600"/>
      <c r="AP459" s="600"/>
      <c r="AQ459" s="600"/>
      <c r="AR459" s="600"/>
      <c r="AS459" s="600"/>
      <c r="AT459" s="600"/>
      <c r="AU459" s="600"/>
      <c r="AV459" s="600"/>
      <c r="AW459" s="482"/>
      <c r="AX459" s="482"/>
      <c r="AY459" s="482"/>
      <c r="AZ459" s="482"/>
      <c r="BA459" s="343"/>
      <c r="BB459" s="343"/>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row>
    <row r="460" spans="1:76" s="25" customFormat="1">
      <c r="A460" s="343"/>
      <c r="B460" s="343"/>
      <c r="C460" s="64"/>
      <c r="D460" s="64"/>
      <c r="E460" s="39"/>
      <c r="F460" s="39"/>
      <c r="G460" s="39"/>
      <c r="H460" s="39"/>
      <c r="I460" s="39"/>
      <c r="J460" s="39"/>
      <c r="K460" s="39"/>
      <c r="L460" s="39"/>
      <c r="M460" s="660"/>
      <c r="N460" s="343"/>
      <c r="O460" s="343"/>
      <c r="P460" s="343"/>
      <c r="Q460" s="343"/>
      <c r="R460" s="600"/>
      <c r="S460" s="600"/>
      <c r="T460" s="600"/>
      <c r="U460" s="600"/>
      <c r="V460" s="600"/>
      <c r="W460" s="600"/>
      <c r="X460" s="600"/>
      <c r="Y460" s="600"/>
      <c r="Z460" s="600"/>
      <c r="AA460" s="482"/>
      <c r="AB460" s="482"/>
      <c r="AC460" s="482"/>
      <c r="AD460" s="600">
        <v>449</v>
      </c>
      <c r="AE460" s="482"/>
      <c r="AF460" s="600"/>
      <c r="AG460" s="600"/>
      <c r="AH460" s="600"/>
      <c r="AI460" s="600"/>
      <c r="AJ460" s="600"/>
      <c r="AK460" s="600"/>
      <c r="AL460" s="600"/>
      <c r="AM460" s="600"/>
      <c r="AN460" s="482"/>
      <c r="AO460" s="600"/>
      <c r="AP460" s="600"/>
      <c r="AQ460" s="600"/>
      <c r="AR460" s="600"/>
      <c r="AS460" s="600"/>
      <c r="AT460" s="600"/>
      <c r="AU460" s="600"/>
      <c r="AV460" s="600"/>
      <c r="AW460" s="482"/>
      <c r="AX460" s="482"/>
      <c r="AY460" s="482"/>
      <c r="AZ460" s="482"/>
      <c r="BA460" s="343"/>
      <c r="BB460" s="343"/>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row>
    <row r="461" spans="1:76" s="25" customFormat="1">
      <c r="A461" s="343"/>
      <c r="B461" s="343"/>
      <c r="C461" s="64"/>
      <c r="D461" s="64"/>
      <c r="E461" s="39"/>
      <c r="F461" s="39"/>
      <c r="G461" s="39"/>
      <c r="H461" s="39"/>
      <c r="I461" s="39"/>
      <c r="J461" s="39"/>
      <c r="K461" s="39"/>
      <c r="L461" s="39"/>
      <c r="M461" s="660"/>
      <c r="N461" s="343"/>
      <c r="O461" s="343"/>
      <c r="P461" s="343"/>
      <c r="Q461" s="343"/>
      <c r="R461" s="600"/>
      <c r="S461" s="600"/>
      <c r="T461" s="600"/>
      <c r="U461" s="600"/>
      <c r="V461" s="600"/>
      <c r="W461" s="600"/>
      <c r="X461" s="600"/>
      <c r="Y461" s="600"/>
      <c r="Z461" s="600"/>
      <c r="AA461" s="482"/>
      <c r="AB461" s="482"/>
      <c r="AC461" s="482"/>
      <c r="AD461" s="600">
        <v>450</v>
      </c>
      <c r="AE461" s="482"/>
      <c r="AF461" s="600"/>
      <c r="AG461" s="600"/>
      <c r="AH461" s="600"/>
      <c r="AI461" s="600"/>
      <c r="AJ461" s="600"/>
      <c r="AK461" s="600"/>
      <c r="AL461" s="600"/>
      <c r="AM461" s="600"/>
      <c r="AN461" s="482"/>
      <c r="AO461" s="600"/>
      <c r="AP461" s="600"/>
      <c r="AQ461" s="600"/>
      <c r="AR461" s="600"/>
      <c r="AS461" s="600"/>
      <c r="AT461" s="600"/>
      <c r="AU461" s="600"/>
      <c r="AV461" s="600"/>
      <c r="AW461" s="482"/>
      <c r="AX461" s="482"/>
      <c r="AY461" s="482"/>
      <c r="AZ461" s="482"/>
      <c r="BA461" s="343"/>
      <c r="BB461" s="343"/>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row>
    <row r="462" spans="1:76" s="25" customFormat="1">
      <c r="A462" s="343"/>
      <c r="B462" s="343"/>
      <c r="C462" s="64"/>
      <c r="D462" s="64"/>
      <c r="E462" s="39"/>
      <c r="F462" s="39"/>
      <c r="G462" s="39"/>
      <c r="H462" s="39"/>
      <c r="I462" s="39"/>
      <c r="J462" s="39"/>
      <c r="K462" s="39"/>
      <c r="L462" s="39"/>
      <c r="M462" s="660"/>
      <c r="N462" s="343"/>
      <c r="O462" s="343"/>
      <c r="P462" s="343"/>
      <c r="Q462" s="343"/>
      <c r="R462" s="600"/>
      <c r="S462" s="600"/>
      <c r="T462" s="600"/>
      <c r="U462" s="600"/>
      <c r="V462" s="600"/>
      <c r="W462" s="600"/>
      <c r="X462" s="600"/>
      <c r="Y462" s="600"/>
      <c r="Z462" s="600"/>
      <c r="AA462" s="482"/>
      <c r="AB462" s="482"/>
      <c r="AC462" s="482"/>
      <c r="AD462" s="600">
        <v>451</v>
      </c>
      <c r="AE462" s="482"/>
      <c r="AF462" s="600"/>
      <c r="AG462" s="600"/>
      <c r="AH462" s="600"/>
      <c r="AI462" s="600"/>
      <c r="AJ462" s="600"/>
      <c r="AK462" s="600"/>
      <c r="AL462" s="600"/>
      <c r="AM462" s="600"/>
      <c r="AN462" s="482"/>
      <c r="AO462" s="600"/>
      <c r="AP462" s="600"/>
      <c r="AQ462" s="600"/>
      <c r="AR462" s="600"/>
      <c r="AS462" s="600"/>
      <c r="AT462" s="600"/>
      <c r="AU462" s="600"/>
      <c r="AV462" s="600"/>
      <c r="AW462" s="482"/>
      <c r="AX462" s="482"/>
      <c r="AY462" s="482"/>
      <c r="AZ462" s="482"/>
      <c r="BA462" s="343"/>
      <c r="BB462" s="343"/>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row>
    <row r="463" spans="1:76" s="25" customFormat="1">
      <c r="A463" s="343"/>
      <c r="B463" s="343"/>
      <c r="C463" s="64"/>
      <c r="D463" s="64"/>
      <c r="E463" s="39"/>
      <c r="F463" s="39"/>
      <c r="G463" s="39"/>
      <c r="H463" s="39"/>
      <c r="I463" s="39"/>
      <c r="J463" s="39"/>
      <c r="K463" s="39"/>
      <c r="L463" s="39"/>
      <c r="M463" s="660"/>
      <c r="N463" s="343"/>
      <c r="O463" s="343"/>
      <c r="P463" s="343"/>
      <c r="Q463" s="343"/>
      <c r="R463" s="600"/>
      <c r="S463" s="600"/>
      <c r="T463" s="600"/>
      <c r="U463" s="600"/>
      <c r="V463" s="600"/>
      <c r="W463" s="600"/>
      <c r="X463" s="600"/>
      <c r="Y463" s="600"/>
      <c r="Z463" s="600"/>
      <c r="AA463" s="482"/>
      <c r="AB463" s="482"/>
      <c r="AC463" s="482"/>
      <c r="AD463" s="600">
        <v>452</v>
      </c>
      <c r="AE463" s="482"/>
      <c r="AF463" s="600"/>
      <c r="AG463" s="600"/>
      <c r="AH463" s="600"/>
      <c r="AI463" s="600"/>
      <c r="AJ463" s="600"/>
      <c r="AK463" s="600"/>
      <c r="AL463" s="600"/>
      <c r="AM463" s="600"/>
      <c r="AN463" s="482"/>
      <c r="AO463" s="600"/>
      <c r="AP463" s="600"/>
      <c r="AQ463" s="600"/>
      <c r="AR463" s="600"/>
      <c r="AS463" s="600"/>
      <c r="AT463" s="600"/>
      <c r="AU463" s="600"/>
      <c r="AV463" s="600"/>
      <c r="AW463" s="482"/>
      <c r="AX463" s="482"/>
      <c r="AY463" s="482"/>
      <c r="AZ463" s="482"/>
      <c r="BA463" s="343"/>
      <c r="BB463" s="343"/>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row>
    <row r="464" spans="1:76" s="25" customFormat="1">
      <c r="A464" s="343"/>
      <c r="B464" s="343"/>
      <c r="C464" s="64"/>
      <c r="D464" s="64"/>
      <c r="E464" s="39"/>
      <c r="F464" s="39"/>
      <c r="G464" s="39"/>
      <c r="H464" s="39"/>
      <c r="I464" s="39"/>
      <c r="J464" s="39"/>
      <c r="K464" s="39"/>
      <c r="L464" s="39"/>
      <c r="M464" s="660"/>
      <c r="N464" s="343"/>
      <c r="O464" s="343"/>
      <c r="P464" s="343"/>
      <c r="Q464" s="343"/>
      <c r="R464" s="600"/>
      <c r="S464" s="600"/>
      <c r="T464" s="600"/>
      <c r="U464" s="600"/>
      <c r="V464" s="600"/>
      <c r="W464" s="600"/>
      <c r="X464" s="600"/>
      <c r="Y464" s="600"/>
      <c r="Z464" s="600"/>
      <c r="AA464" s="482"/>
      <c r="AB464" s="482"/>
      <c r="AC464" s="482"/>
      <c r="AD464" s="600">
        <v>453</v>
      </c>
      <c r="AE464" s="482"/>
      <c r="AF464" s="600"/>
      <c r="AG464" s="600"/>
      <c r="AH464" s="600"/>
      <c r="AI464" s="600"/>
      <c r="AJ464" s="600"/>
      <c r="AK464" s="600"/>
      <c r="AL464" s="600"/>
      <c r="AM464" s="600"/>
      <c r="AN464" s="482"/>
      <c r="AO464" s="600"/>
      <c r="AP464" s="600"/>
      <c r="AQ464" s="600"/>
      <c r="AR464" s="600"/>
      <c r="AS464" s="600"/>
      <c r="AT464" s="600"/>
      <c r="AU464" s="600"/>
      <c r="AV464" s="600"/>
      <c r="AW464" s="482"/>
      <c r="AX464" s="482"/>
      <c r="AY464" s="482"/>
      <c r="AZ464" s="482"/>
      <c r="BA464" s="343"/>
      <c r="BB464" s="343"/>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row>
    <row r="465" spans="1:76" s="25" customFormat="1">
      <c r="A465" s="343"/>
      <c r="B465" s="343"/>
      <c r="C465" s="64"/>
      <c r="D465" s="64"/>
      <c r="E465" s="39"/>
      <c r="F465" s="39"/>
      <c r="G465" s="39"/>
      <c r="H465" s="39"/>
      <c r="I465" s="39"/>
      <c r="J465" s="39"/>
      <c r="K465" s="39"/>
      <c r="L465" s="39"/>
      <c r="M465" s="660"/>
      <c r="N465" s="343"/>
      <c r="O465" s="343"/>
      <c r="P465" s="343"/>
      <c r="Q465" s="343"/>
      <c r="R465" s="600"/>
      <c r="S465" s="600"/>
      <c r="T465" s="600"/>
      <c r="U465" s="600"/>
      <c r="V465" s="600"/>
      <c r="W465" s="600"/>
      <c r="X465" s="600"/>
      <c r="Y465" s="600"/>
      <c r="Z465" s="600"/>
      <c r="AA465" s="482"/>
      <c r="AB465" s="482"/>
      <c r="AC465" s="482"/>
      <c r="AD465" s="600">
        <v>454</v>
      </c>
      <c r="AE465" s="482"/>
      <c r="AF465" s="600"/>
      <c r="AG465" s="600"/>
      <c r="AH465" s="600"/>
      <c r="AI465" s="600"/>
      <c r="AJ465" s="600"/>
      <c r="AK465" s="600"/>
      <c r="AL465" s="600"/>
      <c r="AM465" s="600"/>
      <c r="AN465" s="482"/>
      <c r="AO465" s="600"/>
      <c r="AP465" s="600"/>
      <c r="AQ465" s="600"/>
      <c r="AR465" s="600"/>
      <c r="AS465" s="600"/>
      <c r="AT465" s="600"/>
      <c r="AU465" s="600"/>
      <c r="AV465" s="600"/>
      <c r="AW465" s="482"/>
      <c r="AX465" s="482"/>
      <c r="AY465" s="482"/>
      <c r="AZ465" s="482"/>
      <c r="BA465" s="343"/>
      <c r="BB465" s="343"/>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row>
    <row r="466" spans="1:76" s="25" customFormat="1">
      <c r="A466" s="343"/>
      <c r="B466" s="343"/>
      <c r="C466" s="64"/>
      <c r="D466" s="64"/>
      <c r="E466" s="39"/>
      <c r="F466" s="39"/>
      <c r="G466" s="39"/>
      <c r="H466" s="39"/>
      <c r="I466" s="39"/>
      <c r="J466" s="39"/>
      <c r="K466" s="39"/>
      <c r="L466" s="39"/>
      <c r="M466" s="660"/>
      <c r="N466" s="343"/>
      <c r="O466" s="343"/>
      <c r="P466" s="343"/>
      <c r="Q466" s="343"/>
      <c r="R466" s="600"/>
      <c r="S466" s="600"/>
      <c r="T466" s="600"/>
      <c r="U466" s="600"/>
      <c r="V466" s="600"/>
      <c r="W466" s="600"/>
      <c r="X466" s="600"/>
      <c r="Y466" s="600"/>
      <c r="Z466" s="600"/>
      <c r="AA466" s="482"/>
      <c r="AB466" s="482"/>
      <c r="AC466" s="482"/>
      <c r="AD466" s="600">
        <v>455</v>
      </c>
      <c r="AE466" s="482"/>
      <c r="AF466" s="600"/>
      <c r="AG466" s="600"/>
      <c r="AH466" s="600"/>
      <c r="AI466" s="600"/>
      <c r="AJ466" s="600"/>
      <c r="AK466" s="600"/>
      <c r="AL466" s="600"/>
      <c r="AM466" s="600"/>
      <c r="AN466" s="482"/>
      <c r="AO466" s="600"/>
      <c r="AP466" s="600"/>
      <c r="AQ466" s="600"/>
      <c r="AR466" s="600"/>
      <c r="AS466" s="600"/>
      <c r="AT466" s="600"/>
      <c r="AU466" s="600"/>
      <c r="AV466" s="600"/>
      <c r="AW466" s="482"/>
      <c r="AX466" s="482"/>
      <c r="AY466" s="482"/>
      <c r="AZ466" s="482"/>
      <c r="BA466" s="343"/>
      <c r="BB466" s="343"/>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row>
    <row r="467" spans="1:76" s="25" customFormat="1">
      <c r="A467" s="343"/>
      <c r="B467" s="343"/>
      <c r="C467" s="64"/>
      <c r="D467" s="64"/>
      <c r="E467" s="39"/>
      <c r="F467" s="39"/>
      <c r="G467" s="39"/>
      <c r="H467" s="39"/>
      <c r="I467" s="39"/>
      <c r="J467" s="39"/>
      <c r="K467" s="39"/>
      <c r="L467" s="39"/>
      <c r="M467" s="660"/>
      <c r="N467" s="343"/>
      <c r="O467" s="343"/>
      <c r="P467" s="343"/>
      <c r="Q467" s="343"/>
      <c r="R467" s="600"/>
      <c r="S467" s="600"/>
      <c r="T467" s="600"/>
      <c r="U467" s="600"/>
      <c r="V467" s="600"/>
      <c r="W467" s="600"/>
      <c r="X467" s="600"/>
      <c r="Y467" s="600"/>
      <c r="Z467" s="600"/>
      <c r="AA467" s="482"/>
      <c r="AB467" s="482"/>
      <c r="AC467" s="482"/>
      <c r="AD467" s="600">
        <v>456</v>
      </c>
      <c r="AE467" s="482"/>
      <c r="AF467" s="600"/>
      <c r="AG467" s="600"/>
      <c r="AH467" s="600"/>
      <c r="AI467" s="600"/>
      <c r="AJ467" s="600"/>
      <c r="AK467" s="600"/>
      <c r="AL467" s="600"/>
      <c r="AM467" s="600"/>
      <c r="AN467" s="482"/>
      <c r="AO467" s="600"/>
      <c r="AP467" s="600"/>
      <c r="AQ467" s="600"/>
      <c r="AR467" s="600"/>
      <c r="AS467" s="600"/>
      <c r="AT467" s="600"/>
      <c r="AU467" s="600"/>
      <c r="AV467" s="600"/>
      <c r="AW467" s="482"/>
      <c r="AX467" s="482"/>
      <c r="AY467" s="482"/>
      <c r="AZ467" s="482"/>
      <c r="BA467" s="343"/>
      <c r="BB467" s="343"/>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row>
    <row r="468" spans="1:76" s="25" customFormat="1">
      <c r="A468" s="343"/>
      <c r="B468" s="343"/>
      <c r="C468" s="64"/>
      <c r="D468" s="64"/>
      <c r="E468" s="39"/>
      <c r="F468" s="39"/>
      <c r="G468" s="39"/>
      <c r="H468" s="39"/>
      <c r="I468" s="39"/>
      <c r="J468" s="39"/>
      <c r="K468" s="39"/>
      <c r="L468" s="39"/>
      <c r="M468" s="660"/>
      <c r="N468" s="343"/>
      <c r="O468" s="343"/>
      <c r="P468" s="343"/>
      <c r="Q468" s="343"/>
      <c r="R468" s="600"/>
      <c r="S468" s="600"/>
      <c r="T468" s="600"/>
      <c r="U468" s="600"/>
      <c r="V468" s="600"/>
      <c r="W468" s="600"/>
      <c r="X468" s="600"/>
      <c r="Y468" s="600"/>
      <c r="Z468" s="600"/>
      <c r="AA468" s="482"/>
      <c r="AB468" s="482"/>
      <c r="AC468" s="482"/>
      <c r="AD468" s="600">
        <v>457</v>
      </c>
      <c r="AE468" s="482"/>
      <c r="AF468" s="600"/>
      <c r="AG468" s="600"/>
      <c r="AH468" s="600"/>
      <c r="AI468" s="600"/>
      <c r="AJ468" s="600"/>
      <c r="AK468" s="600"/>
      <c r="AL468" s="600"/>
      <c r="AM468" s="600"/>
      <c r="AN468" s="482"/>
      <c r="AO468" s="600"/>
      <c r="AP468" s="600"/>
      <c r="AQ468" s="600"/>
      <c r="AR468" s="600"/>
      <c r="AS468" s="600"/>
      <c r="AT468" s="600"/>
      <c r="AU468" s="600"/>
      <c r="AV468" s="600"/>
      <c r="AW468" s="482"/>
      <c r="AX468" s="482"/>
      <c r="AY468" s="482"/>
      <c r="AZ468" s="482"/>
      <c r="BA468" s="343"/>
      <c r="BB468" s="343"/>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row>
    <row r="469" spans="1:76" s="25" customFormat="1">
      <c r="A469" s="343"/>
      <c r="B469" s="343"/>
      <c r="C469" s="64"/>
      <c r="D469" s="64"/>
      <c r="E469" s="39"/>
      <c r="F469" s="39"/>
      <c r="G469" s="39"/>
      <c r="H469" s="39"/>
      <c r="I469" s="39"/>
      <c r="J469" s="39"/>
      <c r="K469" s="39"/>
      <c r="L469" s="39"/>
      <c r="M469" s="660"/>
      <c r="N469" s="343"/>
      <c r="O469" s="343"/>
      <c r="P469" s="343"/>
      <c r="Q469" s="343"/>
      <c r="R469" s="600"/>
      <c r="S469" s="600"/>
      <c r="T469" s="600"/>
      <c r="U469" s="600"/>
      <c r="V469" s="600"/>
      <c r="W469" s="600"/>
      <c r="X469" s="600"/>
      <c r="Y469" s="600"/>
      <c r="Z469" s="600"/>
      <c r="AA469" s="482"/>
      <c r="AB469" s="482"/>
      <c r="AC469" s="482"/>
      <c r="AD469" s="600">
        <v>458</v>
      </c>
      <c r="AE469" s="482"/>
      <c r="AF469" s="600"/>
      <c r="AG469" s="600"/>
      <c r="AH469" s="600"/>
      <c r="AI469" s="600"/>
      <c r="AJ469" s="600"/>
      <c r="AK469" s="600"/>
      <c r="AL469" s="600"/>
      <c r="AM469" s="600"/>
      <c r="AN469" s="482"/>
      <c r="AO469" s="600"/>
      <c r="AP469" s="600"/>
      <c r="AQ469" s="600"/>
      <c r="AR469" s="600"/>
      <c r="AS469" s="600"/>
      <c r="AT469" s="600"/>
      <c r="AU469" s="600"/>
      <c r="AV469" s="600"/>
      <c r="AW469" s="482"/>
      <c r="AX469" s="482"/>
      <c r="AY469" s="482"/>
      <c r="AZ469" s="482"/>
      <c r="BA469" s="343"/>
      <c r="BB469" s="343"/>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row>
    <row r="470" spans="1:76" s="25" customFormat="1">
      <c r="A470" s="343"/>
      <c r="B470" s="343"/>
      <c r="C470" s="64"/>
      <c r="D470" s="64"/>
      <c r="E470" s="39"/>
      <c r="F470" s="39"/>
      <c r="G470" s="39"/>
      <c r="H470" s="39"/>
      <c r="I470" s="39"/>
      <c r="J470" s="39"/>
      <c r="K470" s="39"/>
      <c r="L470" s="39"/>
      <c r="M470" s="660"/>
      <c r="N470" s="343"/>
      <c r="O470" s="343"/>
      <c r="P470" s="343"/>
      <c r="Q470" s="343"/>
      <c r="R470" s="600"/>
      <c r="S470" s="600"/>
      <c r="T470" s="600"/>
      <c r="U470" s="600"/>
      <c r="V470" s="600"/>
      <c r="W470" s="600"/>
      <c r="X470" s="600"/>
      <c r="Y470" s="600"/>
      <c r="Z470" s="600"/>
      <c r="AA470" s="482"/>
      <c r="AB470" s="482"/>
      <c r="AC470" s="482"/>
      <c r="AD470" s="600">
        <v>459</v>
      </c>
      <c r="AE470" s="482"/>
      <c r="AF470" s="600"/>
      <c r="AG470" s="600"/>
      <c r="AH470" s="600"/>
      <c r="AI470" s="600"/>
      <c r="AJ470" s="600"/>
      <c r="AK470" s="600"/>
      <c r="AL470" s="600"/>
      <c r="AM470" s="600"/>
      <c r="AN470" s="482"/>
      <c r="AO470" s="600"/>
      <c r="AP470" s="600"/>
      <c r="AQ470" s="600"/>
      <c r="AR470" s="600"/>
      <c r="AS470" s="600"/>
      <c r="AT470" s="600"/>
      <c r="AU470" s="600"/>
      <c r="AV470" s="600"/>
      <c r="AW470" s="482"/>
      <c r="AX470" s="482"/>
      <c r="AY470" s="482"/>
      <c r="AZ470" s="482"/>
      <c r="BA470" s="343"/>
      <c r="BB470" s="343"/>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row>
    <row r="471" spans="1:76" s="25" customFormat="1">
      <c r="A471" s="343"/>
      <c r="B471" s="343"/>
      <c r="C471" s="64"/>
      <c r="D471" s="64"/>
      <c r="E471" s="39"/>
      <c r="F471" s="39"/>
      <c r="G471" s="39"/>
      <c r="H471" s="39"/>
      <c r="I471" s="39"/>
      <c r="J471" s="39"/>
      <c r="K471" s="39"/>
      <c r="L471" s="39"/>
      <c r="M471" s="660"/>
      <c r="N471" s="343"/>
      <c r="O471" s="343"/>
      <c r="P471" s="343"/>
      <c r="Q471" s="343"/>
      <c r="R471" s="600"/>
      <c r="S471" s="600"/>
      <c r="T471" s="600"/>
      <c r="U471" s="600"/>
      <c r="V471" s="600"/>
      <c r="W471" s="600"/>
      <c r="X471" s="600"/>
      <c r="Y471" s="600"/>
      <c r="Z471" s="600"/>
      <c r="AA471" s="482"/>
      <c r="AB471" s="482"/>
      <c r="AC471" s="482"/>
      <c r="AD471" s="600">
        <v>460</v>
      </c>
      <c r="AE471" s="482"/>
      <c r="AF471" s="600"/>
      <c r="AG471" s="600"/>
      <c r="AH471" s="600"/>
      <c r="AI471" s="600"/>
      <c r="AJ471" s="600"/>
      <c r="AK471" s="600"/>
      <c r="AL471" s="600"/>
      <c r="AM471" s="600"/>
      <c r="AN471" s="482"/>
      <c r="AO471" s="600"/>
      <c r="AP471" s="600"/>
      <c r="AQ471" s="600"/>
      <c r="AR471" s="600"/>
      <c r="AS471" s="600"/>
      <c r="AT471" s="600"/>
      <c r="AU471" s="600"/>
      <c r="AV471" s="600"/>
      <c r="AW471" s="482"/>
      <c r="AX471" s="482"/>
      <c r="AY471" s="482"/>
      <c r="AZ471" s="482"/>
      <c r="BA471" s="343"/>
      <c r="BB471" s="343"/>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row>
    <row r="472" spans="1:76" s="25" customFormat="1">
      <c r="A472" s="343"/>
      <c r="B472" s="343"/>
      <c r="C472" s="64"/>
      <c r="D472" s="64"/>
      <c r="E472" s="39"/>
      <c r="F472" s="39"/>
      <c r="G472" s="39"/>
      <c r="H472" s="39"/>
      <c r="I472" s="39"/>
      <c r="J472" s="39"/>
      <c r="K472" s="39"/>
      <c r="L472" s="39"/>
      <c r="M472" s="660"/>
      <c r="N472" s="343"/>
      <c r="O472" s="343"/>
      <c r="P472" s="343"/>
      <c r="Q472" s="343"/>
      <c r="R472" s="600"/>
      <c r="S472" s="600"/>
      <c r="T472" s="600"/>
      <c r="U472" s="600"/>
      <c r="V472" s="600"/>
      <c r="W472" s="600"/>
      <c r="X472" s="600"/>
      <c r="Y472" s="600"/>
      <c r="Z472" s="600"/>
      <c r="AA472" s="482"/>
      <c r="AB472" s="482"/>
      <c r="AC472" s="482"/>
      <c r="AD472" s="600">
        <v>461</v>
      </c>
      <c r="AE472" s="482"/>
      <c r="AF472" s="600"/>
      <c r="AG472" s="600"/>
      <c r="AH472" s="600"/>
      <c r="AI472" s="600"/>
      <c r="AJ472" s="600"/>
      <c r="AK472" s="600"/>
      <c r="AL472" s="600"/>
      <c r="AM472" s="600"/>
      <c r="AN472" s="482"/>
      <c r="AO472" s="600"/>
      <c r="AP472" s="600"/>
      <c r="AQ472" s="600"/>
      <c r="AR472" s="600"/>
      <c r="AS472" s="600"/>
      <c r="AT472" s="600"/>
      <c r="AU472" s="600"/>
      <c r="AV472" s="600"/>
      <c r="AW472" s="482"/>
      <c r="AX472" s="482"/>
      <c r="AY472" s="482"/>
      <c r="AZ472" s="482"/>
      <c r="BA472" s="343"/>
      <c r="BB472" s="343"/>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row>
    <row r="473" spans="1:76" s="25" customFormat="1">
      <c r="A473" s="343"/>
      <c r="B473" s="343"/>
      <c r="C473" s="64"/>
      <c r="D473" s="64"/>
      <c r="E473" s="39"/>
      <c r="F473" s="39"/>
      <c r="G473" s="39"/>
      <c r="H473" s="39"/>
      <c r="I473" s="39"/>
      <c r="J473" s="39"/>
      <c r="K473" s="39"/>
      <c r="L473" s="39"/>
      <c r="M473" s="660"/>
      <c r="N473" s="343"/>
      <c r="O473" s="343"/>
      <c r="P473" s="343"/>
      <c r="Q473" s="343"/>
      <c r="R473" s="600"/>
      <c r="S473" s="600"/>
      <c r="T473" s="600"/>
      <c r="U473" s="600"/>
      <c r="V473" s="600"/>
      <c r="W473" s="600"/>
      <c r="X473" s="600"/>
      <c r="Y473" s="600"/>
      <c r="Z473" s="600"/>
      <c r="AA473" s="482"/>
      <c r="AB473" s="482"/>
      <c r="AC473" s="482"/>
      <c r="AD473" s="600">
        <v>462</v>
      </c>
      <c r="AE473" s="482"/>
      <c r="AF473" s="600"/>
      <c r="AG473" s="600"/>
      <c r="AH473" s="600"/>
      <c r="AI473" s="600"/>
      <c r="AJ473" s="600"/>
      <c r="AK473" s="600"/>
      <c r="AL473" s="600"/>
      <c r="AM473" s="600"/>
      <c r="AN473" s="482"/>
      <c r="AO473" s="600"/>
      <c r="AP473" s="600"/>
      <c r="AQ473" s="600"/>
      <c r="AR473" s="600"/>
      <c r="AS473" s="600"/>
      <c r="AT473" s="600"/>
      <c r="AU473" s="600"/>
      <c r="AV473" s="600"/>
      <c r="AW473" s="482"/>
      <c r="AX473" s="482"/>
      <c r="AY473" s="482"/>
      <c r="AZ473" s="482"/>
      <c r="BA473" s="343"/>
      <c r="BB473" s="343"/>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row>
    <row r="474" spans="1:76" s="25" customFormat="1">
      <c r="A474" s="343"/>
      <c r="B474" s="343"/>
      <c r="C474" s="64"/>
      <c r="D474" s="64"/>
      <c r="E474" s="39"/>
      <c r="F474" s="39"/>
      <c r="G474" s="39"/>
      <c r="H474" s="39"/>
      <c r="I474" s="39"/>
      <c r="J474" s="39"/>
      <c r="K474" s="39"/>
      <c r="L474" s="39"/>
      <c r="M474" s="660"/>
      <c r="N474" s="343"/>
      <c r="O474" s="343"/>
      <c r="P474" s="343"/>
      <c r="Q474" s="343"/>
      <c r="R474" s="600"/>
      <c r="S474" s="600"/>
      <c r="T474" s="600"/>
      <c r="U474" s="600"/>
      <c r="V474" s="600"/>
      <c r="W474" s="600"/>
      <c r="X474" s="600"/>
      <c r="Y474" s="600"/>
      <c r="Z474" s="600"/>
      <c r="AA474" s="482"/>
      <c r="AB474" s="482"/>
      <c r="AC474" s="482"/>
      <c r="AD474" s="600">
        <v>463</v>
      </c>
      <c r="AE474" s="482"/>
      <c r="AF474" s="600"/>
      <c r="AG474" s="600"/>
      <c r="AH474" s="600"/>
      <c r="AI474" s="600"/>
      <c r="AJ474" s="600"/>
      <c r="AK474" s="600"/>
      <c r="AL474" s="600"/>
      <c r="AM474" s="600"/>
      <c r="AN474" s="482"/>
      <c r="AO474" s="600"/>
      <c r="AP474" s="600"/>
      <c r="AQ474" s="600"/>
      <c r="AR474" s="600"/>
      <c r="AS474" s="600"/>
      <c r="AT474" s="600"/>
      <c r="AU474" s="600"/>
      <c r="AV474" s="600"/>
      <c r="AW474" s="482"/>
      <c r="AX474" s="482"/>
      <c r="AY474" s="482"/>
      <c r="AZ474" s="482"/>
      <c r="BA474" s="343"/>
      <c r="BB474" s="343"/>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row>
    <row r="475" spans="1:76" s="25" customFormat="1">
      <c r="A475" s="343"/>
      <c r="B475" s="343"/>
      <c r="C475" s="64"/>
      <c r="D475" s="64"/>
      <c r="E475" s="39"/>
      <c r="F475" s="39"/>
      <c r="G475" s="39"/>
      <c r="H475" s="39"/>
      <c r="I475" s="39"/>
      <c r="J475" s="39"/>
      <c r="K475" s="39"/>
      <c r="L475" s="39"/>
      <c r="M475" s="660"/>
      <c r="N475" s="343"/>
      <c r="O475" s="343"/>
      <c r="P475" s="343"/>
      <c r="Q475" s="343"/>
      <c r="R475" s="600"/>
      <c r="S475" s="600"/>
      <c r="T475" s="600"/>
      <c r="U475" s="600"/>
      <c r="V475" s="600"/>
      <c r="W475" s="600"/>
      <c r="X475" s="600"/>
      <c r="Y475" s="600"/>
      <c r="Z475" s="600"/>
      <c r="AA475" s="482"/>
      <c r="AB475" s="482"/>
      <c r="AC475" s="482"/>
      <c r="AD475" s="600">
        <v>464</v>
      </c>
      <c r="AE475" s="482"/>
      <c r="AF475" s="600"/>
      <c r="AG475" s="600"/>
      <c r="AH475" s="600"/>
      <c r="AI475" s="600"/>
      <c r="AJ475" s="600"/>
      <c r="AK475" s="600"/>
      <c r="AL475" s="600"/>
      <c r="AM475" s="600"/>
      <c r="AN475" s="482"/>
      <c r="AO475" s="600"/>
      <c r="AP475" s="600"/>
      <c r="AQ475" s="600"/>
      <c r="AR475" s="600"/>
      <c r="AS475" s="600"/>
      <c r="AT475" s="600"/>
      <c r="AU475" s="600"/>
      <c r="AV475" s="600"/>
      <c r="AW475" s="482"/>
      <c r="AX475" s="482"/>
      <c r="AY475" s="482"/>
      <c r="AZ475" s="482"/>
      <c r="BA475" s="343"/>
      <c r="BB475" s="343"/>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row>
    <row r="476" spans="1:76" s="25" customFormat="1">
      <c r="A476" s="343"/>
      <c r="B476" s="343"/>
      <c r="C476" s="64"/>
      <c r="D476" s="64"/>
      <c r="E476" s="39"/>
      <c r="F476" s="39"/>
      <c r="G476" s="39"/>
      <c r="H476" s="39"/>
      <c r="I476" s="39"/>
      <c r="J476" s="39"/>
      <c r="K476" s="39"/>
      <c r="L476" s="39"/>
      <c r="M476" s="660"/>
      <c r="N476" s="343"/>
      <c r="O476" s="343"/>
      <c r="P476" s="343"/>
      <c r="Q476" s="343"/>
      <c r="R476" s="600"/>
      <c r="S476" s="600"/>
      <c r="T476" s="600"/>
      <c r="U476" s="600"/>
      <c r="V476" s="600"/>
      <c r="W476" s="600"/>
      <c r="X476" s="600"/>
      <c r="Y476" s="600"/>
      <c r="Z476" s="600"/>
      <c r="AA476" s="482"/>
      <c r="AB476" s="482"/>
      <c r="AC476" s="482"/>
      <c r="AD476" s="600">
        <v>465</v>
      </c>
      <c r="AE476" s="482"/>
      <c r="AF476" s="600"/>
      <c r="AG476" s="600"/>
      <c r="AH476" s="600"/>
      <c r="AI476" s="600"/>
      <c r="AJ476" s="600"/>
      <c r="AK476" s="600"/>
      <c r="AL476" s="600"/>
      <c r="AM476" s="600"/>
      <c r="AN476" s="482"/>
      <c r="AO476" s="600"/>
      <c r="AP476" s="600"/>
      <c r="AQ476" s="600"/>
      <c r="AR476" s="600"/>
      <c r="AS476" s="600"/>
      <c r="AT476" s="600"/>
      <c r="AU476" s="600"/>
      <c r="AV476" s="600"/>
      <c r="AW476" s="482"/>
      <c r="AX476" s="482"/>
      <c r="AY476" s="482"/>
      <c r="AZ476" s="482"/>
      <c r="BA476" s="343"/>
      <c r="BB476" s="343"/>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row>
    <row r="477" spans="1:76" s="25" customFormat="1">
      <c r="A477" s="343"/>
      <c r="B477" s="343"/>
      <c r="C477" s="64"/>
      <c r="D477" s="64"/>
      <c r="E477" s="39"/>
      <c r="F477" s="39"/>
      <c r="G477" s="39"/>
      <c r="H477" s="39"/>
      <c r="I477" s="39"/>
      <c r="J477" s="39"/>
      <c r="K477" s="39"/>
      <c r="L477" s="39"/>
      <c r="M477" s="660"/>
      <c r="N477" s="343"/>
      <c r="O477" s="343"/>
      <c r="P477" s="343"/>
      <c r="Q477" s="343"/>
      <c r="R477" s="600"/>
      <c r="S477" s="600"/>
      <c r="T477" s="600"/>
      <c r="U477" s="600"/>
      <c r="V477" s="600"/>
      <c r="W477" s="600"/>
      <c r="X477" s="600"/>
      <c r="Y477" s="600"/>
      <c r="Z477" s="600"/>
      <c r="AA477" s="482"/>
      <c r="AB477" s="482"/>
      <c r="AC477" s="482"/>
      <c r="AD477" s="600">
        <v>466</v>
      </c>
      <c r="AE477" s="482"/>
      <c r="AF477" s="600"/>
      <c r="AG477" s="600"/>
      <c r="AH477" s="600"/>
      <c r="AI477" s="600"/>
      <c r="AJ477" s="600"/>
      <c r="AK477" s="600"/>
      <c r="AL477" s="600"/>
      <c r="AM477" s="600"/>
      <c r="AN477" s="482"/>
      <c r="AO477" s="600"/>
      <c r="AP477" s="600"/>
      <c r="AQ477" s="600"/>
      <c r="AR477" s="600"/>
      <c r="AS477" s="600"/>
      <c r="AT477" s="600"/>
      <c r="AU477" s="600"/>
      <c r="AV477" s="600"/>
      <c r="AW477" s="482"/>
      <c r="AX477" s="482"/>
      <c r="AY477" s="482"/>
      <c r="AZ477" s="482"/>
      <c r="BA477" s="343"/>
      <c r="BB477" s="343"/>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row>
    <row r="478" spans="1:76" s="25" customFormat="1">
      <c r="A478" s="343"/>
      <c r="B478" s="343"/>
      <c r="C478" s="64"/>
      <c r="D478" s="64"/>
      <c r="E478" s="39"/>
      <c r="F478" s="39"/>
      <c r="G478" s="39"/>
      <c r="H478" s="39"/>
      <c r="I478" s="39"/>
      <c r="J478" s="39"/>
      <c r="K478" s="39"/>
      <c r="L478" s="39"/>
      <c r="M478" s="660"/>
      <c r="N478" s="343"/>
      <c r="O478" s="343"/>
      <c r="P478" s="343"/>
      <c r="Q478" s="343"/>
      <c r="R478" s="600"/>
      <c r="S478" s="600"/>
      <c r="T478" s="600"/>
      <c r="U478" s="600"/>
      <c r="V478" s="600"/>
      <c r="W478" s="600"/>
      <c r="X478" s="600"/>
      <c r="Y478" s="600"/>
      <c r="Z478" s="600"/>
      <c r="AA478" s="482"/>
      <c r="AB478" s="482"/>
      <c r="AC478" s="482"/>
      <c r="AD478" s="600">
        <v>467</v>
      </c>
      <c r="AE478" s="482"/>
      <c r="AF478" s="600"/>
      <c r="AG478" s="600"/>
      <c r="AH478" s="600"/>
      <c r="AI478" s="600"/>
      <c r="AJ478" s="600"/>
      <c r="AK478" s="600"/>
      <c r="AL478" s="600"/>
      <c r="AM478" s="600"/>
      <c r="AN478" s="482"/>
      <c r="AO478" s="600"/>
      <c r="AP478" s="600"/>
      <c r="AQ478" s="600"/>
      <c r="AR478" s="600"/>
      <c r="AS478" s="600"/>
      <c r="AT478" s="600"/>
      <c r="AU478" s="600"/>
      <c r="AV478" s="600"/>
      <c r="AW478" s="482"/>
      <c r="AX478" s="482"/>
      <c r="AY478" s="482"/>
      <c r="AZ478" s="482"/>
      <c r="BA478" s="343"/>
      <c r="BB478" s="343"/>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row>
    <row r="479" spans="1:76" s="25" customFormat="1">
      <c r="A479" s="343"/>
      <c r="B479" s="343"/>
      <c r="C479" s="64"/>
      <c r="D479" s="64"/>
      <c r="E479" s="39"/>
      <c r="F479" s="39"/>
      <c r="G479" s="39"/>
      <c r="H479" s="39"/>
      <c r="I479" s="39"/>
      <c r="J479" s="39"/>
      <c r="K479" s="39"/>
      <c r="L479" s="39"/>
      <c r="M479" s="660"/>
      <c r="N479" s="343"/>
      <c r="O479" s="343"/>
      <c r="P479" s="343"/>
      <c r="Q479" s="343"/>
      <c r="R479" s="600"/>
      <c r="S479" s="600"/>
      <c r="T479" s="600"/>
      <c r="U479" s="600"/>
      <c r="V479" s="600"/>
      <c r="W479" s="600"/>
      <c r="X479" s="600"/>
      <c r="Y479" s="600"/>
      <c r="Z479" s="600"/>
      <c r="AA479" s="482"/>
      <c r="AB479" s="482"/>
      <c r="AC479" s="482"/>
      <c r="AD479" s="600">
        <v>468</v>
      </c>
      <c r="AE479" s="482"/>
      <c r="AF479" s="600"/>
      <c r="AG479" s="600"/>
      <c r="AH479" s="600"/>
      <c r="AI479" s="600"/>
      <c r="AJ479" s="600"/>
      <c r="AK479" s="600"/>
      <c r="AL479" s="600"/>
      <c r="AM479" s="600"/>
      <c r="AN479" s="482"/>
      <c r="AO479" s="600"/>
      <c r="AP479" s="600"/>
      <c r="AQ479" s="600"/>
      <c r="AR479" s="600"/>
      <c r="AS479" s="600"/>
      <c r="AT479" s="600"/>
      <c r="AU479" s="600"/>
      <c r="AV479" s="600"/>
      <c r="AW479" s="482"/>
      <c r="AX479" s="482"/>
      <c r="AY479" s="482"/>
      <c r="AZ479" s="482"/>
      <c r="BA479" s="343"/>
      <c r="BB479" s="343"/>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row>
    <row r="480" spans="1:76" s="25" customFormat="1">
      <c r="A480" s="343"/>
      <c r="B480" s="343"/>
      <c r="C480" s="64"/>
      <c r="D480" s="64"/>
      <c r="E480" s="39"/>
      <c r="F480" s="39"/>
      <c r="G480" s="39"/>
      <c r="H480" s="39"/>
      <c r="I480" s="39"/>
      <c r="J480" s="39"/>
      <c r="K480" s="39"/>
      <c r="L480" s="39"/>
      <c r="M480" s="660"/>
      <c r="N480" s="343"/>
      <c r="O480" s="343"/>
      <c r="P480" s="343"/>
      <c r="Q480" s="343"/>
      <c r="R480" s="600"/>
      <c r="S480" s="600"/>
      <c r="T480" s="600"/>
      <c r="U480" s="600"/>
      <c r="V480" s="600"/>
      <c r="W480" s="600"/>
      <c r="X480" s="600"/>
      <c r="Y480" s="600"/>
      <c r="Z480" s="600"/>
      <c r="AA480" s="482"/>
      <c r="AB480" s="482"/>
      <c r="AC480" s="482"/>
      <c r="AD480" s="600">
        <v>469</v>
      </c>
      <c r="AE480" s="482"/>
      <c r="AF480" s="600"/>
      <c r="AG480" s="600"/>
      <c r="AH480" s="600"/>
      <c r="AI480" s="600"/>
      <c r="AJ480" s="600"/>
      <c r="AK480" s="600"/>
      <c r="AL480" s="600"/>
      <c r="AM480" s="600"/>
      <c r="AN480" s="482"/>
      <c r="AO480" s="600"/>
      <c r="AP480" s="600"/>
      <c r="AQ480" s="600"/>
      <c r="AR480" s="600"/>
      <c r="AS480" s="600"/>
      <c r="AT480" s="600"/>
      <c r="AU480" s="600"/>
      <c r="AV480" s="600"/>
      <c r="AW480" s="482"/>
      <c r="AX480" s="482"/>
      <c r="AY480" s="482"/>
      <c r="AZ480" s="482"/>
      <c r="BA480" s="343"/>
      <c r="BB480" s="343"/>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row>
    <row r="481" spans="1:76" s="25" customFormat="1">
      <c r="A481" s="343"/>
      <c r="B481" s="343"/>
      <c r="C481" s="64"/>
      <c r="D481" s="64"/>
      <c r="E481" s="39"/>
      <c r="F481" s="39"/>
      <c r="G481" s="39"/>
      <c r="H481" s="39"/>
      <c r="I481" s="39"/>
      <c r="J481" s="39"/>
      <c r="K481" s="39"/>
      <c r="L481" s="39"/>
      <c r="M481" s="660"/>
      <c r="N481" s="343"/>
      <c r="O481" s="343"/>
      <c r="P481" s="343"/>
      <c r="Q481" s="343"/>
      <c r="R481" s="600"/>
      <c r="S481" s="600"/>
      <c r="T481" s="600"/>
      <c r="U481" s="600"/>
      <c r="V481" s="600"/>
      <c r="W481" s="600"/>
      <c r="X481" s="600"/>
      <c r="Y481" s="600"/>
      <c r="Z481" s="600"/>
      <c r="AA481" s="482"/>
      <c r="AB481" s="482"/>
      <c r="AC481" s="482"/>
      <c r="AD481" s="600">
        <v>470</v>
      </c>
      <c r="AE481" s="482"/>
      <c r="AF481" s="600"/>
      <c r="AG481" s="600"/>
      <c r="AH481" s="600"/>
      <c r="AI481" s="600"/>
      <c r="AJ481" s="600"/>
      <c r="AK481" s="600"/>
      <c r="AL481" s="600"/>
      <c r="AM481" s="600"/>
      <c r="AN481" s="482"/>
      <c r="AO481" s="600"/>
      <c r="AP481" s="600"/>
      <c r="AQ481" s="600"/>
      <c r="AR481" s="600"/>
      <c r="AS481" s="600"/>
      <c r="AT481" s="600"/>
      <c r="AU481" s="600"/>
      <c r="AV481" s="600"/>
      <c r="AW481" s="482"/>
      <c r="AX481" s="482"/>
      <c r="AY481" s="482"/>
      <c r="AZ481" s="482"/>
      <c r="BA481" s="343"/>
      <c r="BB481" s="343"/>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row>
    <row r="482" spans="1:76" s="25" customFormat="1">
      <c r="A482" s="343"/>
      <c r="B482" s="343"/>
      <c r="C482" s="64"/>
      <c r="D482" s="64"/>
      <c r="E482" s="39"/>
      <c r="F482" s="39"/>
      <c r="G482" s="39"/>
      <c r="H482" s="39"/>
      <c r="I482" s="39"/>
      <c r="J482" s="39"/>
      <c r="K482" s="39"/>
      <c r="L482" s="39"/>
      <c r="M482" s="660"/>
      <c r="N482" s="343"/>
      <c r="O482" s="343"/>
      <c r="P482" s="343"/>
      <c r="Q482" s="343"/>
      <c r="R482" s="600"/>
      <c r="S482" s="600"/>
      <c r="T482" s="600"/>
      <c r="U482" s="600"/>
      <c r="V482" s="600"/>
      <c r="W482" s="600"/>
      <c r="X482" s="600"/>
      <c r="Y482" s="600"/>
      <c r="Z482" s="600"/>
      <c r="AA482" s="482"/>
      <c r="AB482" s="482"/>
      <c r="AC482" s="482"/>
      <c r="AD482" s="600">
        <v>471</v>
      </c>
      <c r="AE482" s="482"/>
      <c r="AF482" s="600"/>
      <c r="AG482" s="600"/>
      <c r="AH482" s="600"/>
      <c r="AI482" s="600"/>
      <c r="AJ482" s="600"/>
      <c r="AK482" s="600"/>
      <c r="AL482" s="600"/>
      <c r="AM482" s="600"/>
      <c r="AN482" s="482"/>
      <c r="AO482" s="600"/>
      <c r="AP482" s="600"/>
      <c r="AQ482" s="600"/>
      <c r="AR482" s="600"/>
      <c r="AS482" s="600"/>
      <c r="AT482" s="600"/>
      <c r="AU482" s="600"/>
      <c r="AV482" s="600"/>
      <c r="AW482" s="482"/>
      <c r="AX482" s="482"/>
      <c r="AY482" s="482"/>
      <c r="AZ482" s="482"/>
      <c r="BA482" s="343"/>
      <c r="BB482" s="343"/>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row>
    <row r="483" spans="1:76" s="25" customFormat="1">
      <c r="A483" s="343"/>
      <c r="B483" s="343"/>
      <c r="C483" s="64"/>
      <c r="D483" s="64"/>
      <c r="E483" s="39"/>
      <c r="F483" s="39"/>
      <c r="G483" s="39"/>
      <c r="H483" s="39"/>
      <c r="I483" s="39"/>
      <c r="J483" s="39"/>
      <c r="K483" s="39"/>
      <c r="L483" s="39"/>
      <c r="M483" s="660"/>
      <c r="N483" s="343"/>
      <c r="O483" s="343"/>
      <c r="P483" s="343"/>
      <c r="Q483" s="343"/>
      <c r="R483" s="600"/>
      <c r="S483" s="600"/>
      <c r="T483" s="600"/>
      <c r="U483" s="600"/>
      <c r="V483" s="600"/>
      <c r="W483" s="600"/>
      <c r="X483" s="600"/>
      <c r="Y483" s="600"/>
      <c r="Z483" s="600"/>
      <c r="AA483" s="482"/>
      <c r="AB483" s="482"/>
      <c r="AC483" s="482"/>
      <c r="AD483" s="600">
        <v>472</v>
      </c>
      <c r="AE483" s="482"/>
      <c r="AF483" s="600"/>
      <c r="AG483" s="600"/>
      <c r="AH483" s="600"/>
      <c r="AI483" s="600"/>
      <c r="AJ483" s="600"/>
      <c r="AK483" s="600"/>
      <c r="AL483" s="600"/>
      <c r="AM483" s="600"/>
      <c r="AN483" s="482"/>
      <c r="AO483" s="600"/>
      <c r="AP483" s="600"/>
      <c r="AQ483" s="600"/>
      <c r="AR483" s="600"/>
      <c r="AS483" s="600"/>
      <c r="AT483" s="600"/>
      <c r="AU483" s="600"/>
      <c r="AV483" s="600"/>
      <c r="AW483" s="482"/>
      <c r="AX483" s="482"/>
      <c r="AY483" s="482"/>
      <c r="AZ483" s="482"/>
      <c r="BA483" s="343"/>
      <c r="BB483" s="343"/>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row>
    <row r="484" spans="1:76" s="25" customFormat="1">
      <c r="A484" s="343"/>
      <c r="B484" s="343"/>
      <c r="C484" s="64"/>
      <c r="D484" s="64"/>
      <c r="E484" s="39"/>
      <c r="F484" s="39"/>
      <c r="G484" s="39"/>
      <c r="H484" s="39"/>
      <c r="I484" s="39"/>
      <c r="J484" s="39"/>
      <c r="K484" s="39"/>
      <c r="L484" s="39"/>
      <c r="M484" s="660"/>
      <c r="N484" s="343"/>
      <c r="O484" s="343"/>
      <c r="P484" s="343"/>
      <c r="Q484" s="343"/>
      <c r="R484" s="600"/>
      <c r="S484" s="600"/>
      <c r="T484" s="600"/>
      <c r="U484" s="600"/>
      <c r="V484" s="600"/>
      <c r="W484" s="600"/>
      <c r="X484" s="600"/>
      <c r="Y484" s="600"/>
      <c r="Z484" s="600"/>
      <c r="AA484" s="482"/>
      <c r="AB484" s="482"/>
      <c r="AC484" s="482"/>
      <c r="AD484" s="600">
        <v>473</v>
      </c>
      <c r="AE484" s="482"/>
      <c r="AF484" s="600"/>
      <c r="AG484" s="600"/>
      <c r="AH484" s="600"/>
      <c r="AI484" s="600"/>
      <c r="AJ484" s="600"/>
      <c r="AK484" s="600"/>
      <c r="AL484" s="600"/>
      <c r="AM484" s="600"/>
      <c r="AN484" s="482"/>
      <c r="AO484" s="600"/>
      <c r="AP484" s="600"/>
      <c r="AQ484" s="600"/>
      <c r="AR484" s="600"/>
      <c r="AS484" s="600"/>
      <c r="AT484" s="600"/>
      <c r="AU484" s="600"/>
      <c r="AV484" s="600"/>
      <c r="AW484" s="482"/>
      <c r="AX484" s="482"/>
      <c r="AY484" s="482"/>
      <c r="AZ484" s="482"/>
      <c r="BA484" s="343"/>
      <c r="BB484" s="343"/>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row>
    <row r="485" spans="1:76" s="25" customFormat="1">
      <c r="A485" s="343"/>
      <c r="B485" s="343"/>
      <c r="C485" s="64"/>
      <c r="D485" s="64"/>
      <c r="E485" s="39"/>
      <c r="F485" s="39"/>
      <c r="G485" s="39"/>
      <c r="H485" s="39"/>
      <c r="I485" s="39"/>
      <c r="J485" s="39"/>
      <c r="K485" s="39"/>
      <c r="L485" s="39"/>
      <c r="M485" s="660"/>
      <c r="N485" s="343"/>
      <c r="O485" s="343"/>
      <c r="P485" s="343"/>
      <c r="Q485" s="343"/>
      <c r="R485" s="600"/>
      <c r="S485" s="600"/>
      <c r="T485" s="600"/>
      <c r="U485" s="600"/>
      <c r="V485" s="600"/>
      <c r="W485" s="600"/>
      <c r="X485" s="600"/>
      <c r="Y485" s="600"/>
      <c r="Z485" s="600"/>
      <c r="AA485" s="482"/>
      <c r="AB485" s="482"/>
      <c r="AC485" s="482"/>
      <c r="AD485" s="600">
        <v>474</v>
      </c>
      <c r="AE485" s="482"/>
      <c r="AF485" s="600"/>
      <c r="AG485" s="600"/>
      <c r="AH485" s="600"/>
      <c r="AI485" s="600"/>
      <c r="AJ485" s="600"/>
      <c r="AK485" s="600"/>
      <c r="AL485" s="600"/>
      <c r="AM485" s="600"/>
      <c r="AN485" s="482"/>
      <c r="AO485" s="600"/>
      <c r="AP485" s="600"/>
      <c r="AQ485" s="600"/>
      <c r="AR485" s="600"/>
      <c r="AS485" s="600"/>
      <c r="AT485" s="600"/>
      <c r="AU485" s="600"/>
      <c r="AV485" s="600"/>
      <c r="AW485" s="482"/>
      <c r="AX485" s="482"/>
      <c r="AY485" s="482"/>
      <c r="AZ485" s="482"/>
      <c r="BA485" s="343"/>
      <c r="BB485" s="343"/>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row>
    <row r="486" spans="1:76" s="25" customFormat="1">
      <c r="A486" s="343"/>
      <c r="B486" s="343"/>
      <c r="C486" s="64"/>
      <c r="D486" s="64"/>
      <c r="E486" s="39"/>
      <c r="F486" s="39"/>
      <c r="G486" s="39"/>
      <c r="H486" s="39"/>
      <c r="I486" s="39"/>
      <c r="J486" s="39"/>
      <c r="K486" s="39"/>
      <c r="L486" s="39"/>
      <c r="M486" s="660"/>
      <c r="N486" s="343"/>
      <c r="O486" s="343"/>
      <c r="P486" s="343"/>
      <c r="Q486" s="343"/>
      <c r="R486" s="600"/>
      <c r="S486" s="600"/>
      <c r="T486" s="600"/>
      <c r="U486" s="600"/>
      <c r="V486" s="600"/>
      <c r="W486" s="600"/>
      <c r="X486" s="600"/>
      <c r="Y486" s="600"/>
      <c r="Z486" s="600"/>
      <c r="AA486" s="482"/>
      <c r="AB486" s="482"/>
      <c r="AC486" s="482"/>
      <c r="AD486" s="600">
        <v>475</v>
      </c>
      <c r="AE486" s="482"/>
      <c r="AF486" s="600"/>
      <c r="AG486" s="600"/>
      <c r="AH486" s="600"/>
      <c r="AI486" s="600"/>
      <c r="AJ486" s="600"/>
      <c r="AK486" s="600"/>
      <c r="AL486" s="600"/>
      <c r="AM486" s="600"/>
      <c r="AN486" s="482"/>
      <c r="AO486" s="600"/>
      <c r="AP486" s="600"/>
      <c r="AQ486" s="600"/>
      <c r="AR486" s="600"/>
      <c r="AS486" s="600"/>
      <c r="AT486" s="600"/>
      <c r="AU486" s="600"/>
      <c r="AV486" s="600"/>
      <c r="AW486" s="482"/>
      <c r="AX486" s="482"/>
      <c r="AY486" s="482"/>
      <c r="AZ486" s="482"/>
      <c r="BA486" s="343"/>
      <c r="BB486" s="343"/>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row>
    <row r="487" spans="1:76" s="25" customFormat="1">
      <c r="A487" s="343"/>
      <c r="B487" s="343"/>
      <c r="C487" s="64"/>
      <c r="D487" s="64"/>
      <c r="E487" s="39"/>
      <c r="F487" s="39"/>
      <c r="G487" s="39"/>
      <c r="H487" s="39"/>
      <c r="I487" s="39"/>
      <c r="J487" s="39"/>
      <c r="K487" s="39"/>
      <c r="L487" s="39"/>
      <c r="M487" s="660"/>
      <c r="N487" s="343"/>
      <c r="O487" s="343"/>
      <c r="P487" s="343"/>
      <c r="Q487" s="343"/>
      <c r="R487" s="600"/>
      <c r="S487" s="600"/>
      <c r="T487" s="600"/>
      <c r="U487" s="600"/>
      <c r="V487" s="600"/>
      <c r="W487" s="600"/>
      <c r="X487" s="600"/>
      <c r="Y487" s="600"/>
      <c r="Z487" s="600"/>
      <c r="AA487" s="482"/>
      <c r="AB487" s="482"/>
      <c r="AC487" s="482"/>
      <c r="AD487" s="600">
        <v>476</v>
      </c>
      <c r="AE487" s="482"/>
      <c r="AF487" s="600"/>
      <c r="AG487" s="600"/>
      <c r="AH487" s="600"/>
      <c r="AI487" s="600"/>
      <c r="AJ487" s="600"/>
      <c r="AK487" s="600"/>
      <c r="AL487" s="600"/>
      <c r="AM487" s="600"/>
      <c r="AN487" s="482"/>
      <c r="AO487" s="600"/>
      <c r="AP487" s="600"/>
      <c r="AQ487" s="600"/>
      <c r="AR487" s="600"/>
      <c r="AS487" s="600"/>
      <c r="AT487" s="600"/>
      <c r="AU487" s="600"/>
      <c r="AV487" s="600"/>
      <c r="AW487" s="482"/>
      <c r="AX487" s="482"/>
      <c r="AY487" s="482"/>
      <c r="AZ487" s="482"/>
      <c r="BA487" s="343"/>
      <c r="BB487" s="343"/>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row>
    <row r="488" spans="1:76" s="25" customFormat="1">
      <c r="A488" s="343"/>
      <c r="B488" s="343"/>
      <c r="C488" s="64"/>
      <c r="D488" s="64"/>
      <c r="E488" s="39"/>
      <c r="F488" s="39"/>
      <c r="G488" s="39"/>
      <c r="H488" s="39"/>
      <c r="I488" s="39"/>
      <c r="J488" s="39"/>
      <c r="K488" s="39"/>
      <c r="L488" s="39"/>
      <c r="M488" s="660"/>
      <c r="N488" s="343"/>
      <c r="O488" s="343"/>
      <c r="P488" s="343"/>
      <c r="Q488" s="343"/>
      <c r="R488" s="600"/>
      <c r="S488" s="600"/>
      <c r="T488" s="600"/>
      <c r="U488" s="600"/>
      <c r="V488" s="600"/>
      <c r="W488" s="600"/>
      <c r="X488" s="600"/>
      <c r="Y488" s="600"/>
      <c r="Z488" s="600"/>
      <c r="AA488" s="482"/>
      <c r="AB488" s="482"/>
      <c r="AC488" s="482"/>
      <c r="AD488" s="600">
        <v>477</v>
      </c>
      <c r="AE488" s="482"/>
      <c r="AF488" s="600"/>
      <c r="AG488" s="600"/>
      <c r="AH488" s="600"/>
      <c r="AI488" s="600"/>
      <c r="AJ488" s="600"/>
      <c r="AK488" s="600"/>
      <c r="AL488" s="600"/>
      <c r="AM488" s="600"/>
      <c r="AN488" s="482"/>
      <c r="AO488" s="600"/>
      <c r="AP488" s="600"/>
      <c r="AQ488" s="600"/>
      <c r="AR488" s="600"/>
      <c r="AS488" s="600"/>
      <c r="AT488" s="600"/>
      <c r="AU488" s="600"/>
      <c r="AV488" s="600"/>
      <c r="AW488" s="482"/>
      <c r="AX488" s="482"/>
      <c r="AY488" s="482"/>
      <c r="AZ488" s="482"/>
      <c r="BA488" s="343"/>
      <c r="BB488" s="343"/>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row>
    <row r="489" spans="1:76" s="25" customFormat="1">
      <c r="A489" s="343"/>
      <c r="B489" s="343"/>
      <c r="C489" s="64"/>
      <c r="D489" s="64"/>
      <c r="E489" s="39"/>
      <c r="F489" s="39"/>
      <c r="G489" s="39"/>
      <c r="H489" s="39"/>
      <c r="I489" s="39"/>
      <c r="J489" s="39"/>
      <c r="K489" s="39"/>
      <c r="L489" s="39"/>
      <c r="M489" s="660"/>
      <c r="N489" s="343"/>
      <c r="O489" s="343"/>
      <c r="P489" s="343"/>
      <c r="Q489" s="343"/>
      <c r="R489" s="600"/>
      <c r="S489" s="600"/>
      <c r="T489" s="600"/>
      <c r="U489" s="600"/>
      <c r="V489" s="600"/>
      <c r="W489" s="600"/>
      <c r="X489" s="600"/>
      <c r="Y489" s="600"/>
      <c r="Z489" s="600"/>
      <c r="AA489" s="482"/>
      <c r="AB489" s="482"/>
      <c r="AC489" s="482"/>
      <c r="AD489" s="600">
        <v>478</v>
      </c>
      <c r="AE489" s="482"/>
      <c r="AF489" s="600"/>
      <c r="AG489" s="600"/>
      <c r="AH489" s="600"/>
      <c r="AI489" s="600"/>
      <c r="AJ489" s="600"/>
      <c r="AK489" s="600"/>
      <c r="AL489" s="600"/>
      <c r="AM489" s="600"/>
      <c r="AN489" s="482"/>
      <c r="AO489" s="600"/>
      <c r="AP489" s="600"/>
      <c r="AQ489" s="600"/>
      <c r="AR489" s="600"/>
      <c r="AS489" s="600"/>
      <c r="AT489" s="600"/>
      <c r="AU489" s="600"/>
      <c r="AV489" s="600"/>
      <c r="AW489" s="482"/>
      <c r="AX489" s="482"/>
      <c r="AY489" s="482"/>
      <c r="AZ489" s="482"/>
      <c r="BA489" s="343"/>
      <c r="BB489" s="343"/>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row>
    <row r="490" spans="1:76" s="25" customFormat="1">
      <c r="A490" s="343"/>
      <c r="B490" s="343"/>
      <c r="C490" s="64"/>
      <c r="D490" s="64"/>
      <c r="E490" s="39"/>
      <c r="F490" s="39"/>
      <c r="G490" s="39"/>
      <c r="H490" s="39"/>
      <c r="I490" s="39"/>
      <c r="J490" s="39"/>
      <c r="K490" s="39"/>
      <c r="L490" s="39"/>
      <c r="M490" s="660"/>
      <c r="N490" s="343"/>
      <c r="O490" s="343"/>
      <c r="P490" s="343"/>
      <c r="Q490" s="343"/>
      <c r="R490" s="600"/>
      <c r="S490" s="600"/>
      <c r="T490" s="600"/>
      <c r="U490" s="600"/>
      <c r="V490" s="600"/>
      <c r="W490" s="600"/>
      <c r="X490" s="600"/>
      <c r="Y490" s="600"/>
      <c r="Z490" s="600"/>
      <c r="AA490" s="482"/>
      <c r="AB490" s="482"/>
      <c r="AC490" s="482"/>
      <c r="AD490" s="600">
        <v>479</v>
      </c>
      <c r="AE490" s="482"/>
      <c r="AF490" s="600"/>
      <c r="AG490" s="600"/>
      <c r="AH490" s="600"/>
      <c r="AI490" s="600"/>
      <c r="AJ490" s="600"/>
      <c r="AK490" s="600"/>
      <c r="AL490" s="600"/>
      <c r="AM490" s="600"/>
      <c r="AN490" s="482"/>
      <c r="AO490" s="600"/>
      <c r="AP490" s="600"/>
      <c r="AQ490" s="600"/>
      <c r="AR490" s="600"/>
      <c r="AS490" s="600"/>
      <c r="AT490" s="600"/>
      <c r="AU490" s="600"/>
      <c r="AV490" s="600"/>
      <c r="AW490" s="482"/>
      <c r="AX490" s="482"/>
      <c r="AY490" s="482"/>
      <c r="AZ490" s="482"/>
      <c r="BA490" s="343"/>
      <c r="BB490" s="343"/>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row>
    <row r="491" spans="1:76" s="25" customFormat="1">
      <c r="A491" s="343"/>
      <c r="B491" s="343"/>
      <c r="C491" s="64"/>
      <c r="D491" s="64"/>
      <c r="E491" s="39"/>
      <c r="F491" s="39"/>
      <c r="G491" s="39"/>
      <c r="H491" s="39"/>
      <c r="I491" s="39"/>
      <c r="J491" s="39"/>
      <c r="K491" s="39"/>
      <c r="L491" s="39"/>
      <c r="M491" s="660"/>
      <c r="N491" s="343"/>
      <c r="O491" s="343"/>
      <c r="P491" s="343"/>
      <c r="Q491" s="343"/>
      <c r="R491" s="600"/>
      <c r="S491" s="600"/>
      <c r="T491" s="600"/>
      <c r="U491" s="600"/>
      <c r="V491" s="600"/>
      <c r="W491" s="600"/>
      <c r="X491" s="600"/>
      <c r="Y491" s="600"/>
      <c r="Z491" s="600"/>
      <c r="AA491" s="482"/>
      <c r="AB491" s="482"/>
      <c r="AC491" s="482"/>
      <c r="AD491" s="600">
        <v>480</v>
      </c>
      <c r="AE491" s="482"/>
      <c r="AF491" s="600"/>
      <c r="AG491" s="600"/>
      <c r="AH491" s="600"/>
      <c r="AI491" s="600"/>
      <c r="AJ491" s="600"/>
      <c r="AK491" s="600"/>
      <c r="AL491" s="600"/>
      <c r="AM491" s="600"/>
      <c r="AN491" s="482"/>
      <c r="AO491" s="600"/>
      <c r="AP491" s="600"/>
      <c r="AQ491" s="600"/>
      <c r="AR491" s="600"/>
      <c r="AS491" s="600"/>
      <c r="AT491" s="600"/>
      <c r="AU491" s="600"/>
      <c r="AV491" s="600"/>
      <c r="AW491" s="482"/>
      <c r="AX491" s="482"/>
      <c r="AY491" s="482"/>
      <c r="AZ491" s="482"/>
      <c r="BA491" s="343"/>
      <c r="BB491" s="343"/>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row>
    <row r="492" spans="1:76" s="25" customFormat="1">
      <c r="A492" s="343"/>
      <c r="B492" s="343"/>
      <c r="C492" s="64"/>
      <c r="D492" s="64"/>
      <c r="E492" s="39"/>
      <c r="F492" s="39"/>
      <c r="G492" s="39"/>
      <c r="H492" s="39"/>
      <c r="I492" s="39"/>
      <c r="J492" s="39"/>
      <c r="K492" s="39"/>
      <c r="L492" s="39"/>
      <c r="M492" s="660"/>
      <c r="N492" s="343"/>
      <c r="O492" s="343"/>
      <c r="P492" s="343"/>
      <c r="Q492" s="343"/>
      <c r="R492" s="600"/>
      <c r="S492" s="600"/>
      <c r="T492" s="600"/>
      <c r="U492" s="600"/>
      <c r="V492" s="600"/>
      <c r="W492" s="600"/>
      <c r="X492" s="600"/>
      <c r="Y492" s="600"/>
      <c r="Z492" s="600"/>
      <c r="AA492" s="482"/>
      <c r="AB492" s="482"/>
      <c r="AC492" s="482"/>
      <c r="AD492" s="600">
        <v>481</v>
      </c>
      <c r="AE492" s="482"/>
      <c r="AF492" s="600"/>
      <c r="AG492" s="600"/>
      <c r="AH492" s="600"/>
      <c r="AI492" s="600"/>
      <c r="AJ492" s="600"/>
      <c r="AK492" s="600"/>
      <c r="AL492" s="600"/>
      <c r="AM492" s="600"/>
      <c r="AN492" s="482"/>
      <c r="AO492" s="600"/>
      <c r="AP492" s="600"/>
      <c r="AQ492" s="600"/>
      <c r="AR492" s="600"/>
      <c r="AS492" s="600"/>
      <c r="AT492" s="600"/>
      <c r="AU492" s="600"/>
      <c r="AV492" s="600"/>
      <c r="AW492" s="482"/>
      <c r="AX492" s="482"/>
      <c r="AY492" s="482"/>
      <c r="AZ492" s="482"/>
      <c r="BA492" s="343"/>
      <c r="BB492" s="343"/>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row>
    <row r="493" spans="1:76" s="25" customFormat="1">
      <c r="A493" s="343"/>
      <c r="B493" s="343"/>
      <c r="C493" s="64"/>
      <c r="D493" s="64"/>
      <c r="E493" s="39"/>
      <c r="F493" s="39"/>
      <c r="G493" s="39"/>
      <c r="H493" s="39"/>
      <c r="I493" s="39"/>
      <c r="J493" s="39"/>
      <c r="K493" s="39"/>
      <c r="L493" s="39"/>
      <c r="M493" s="660"/>
      <c r="N493" s="343"/>
      <c r="O493" s="343"/>
      <c r="P493" s="343"/>
      <c r="Q493" s="343"/>
      <c r="R493" s="600"/>
      <c r="S493" s="600"/>
      <c r="T493" s="600"/>
      <c r="U493" s="600"/>
      <c r="V493" s="600"/>
      <c r="W493" s="600"/>
      <c r="X493" s="600"/>
      <c r="Y493" s="600"/>
      <c r="Z493" s="600"/>
      <c r="AA493" s="482"/>
      <c r="AB493" s="482"/>
      <c r="AC493" s="482"/>
      <c r="AD493" s="600">
        <v>482</v>
      </c>
      <c r="AE493" s="482"/>
      <c r="AF493" s="600"/>
      <c r="AG493" s="600"/>
      <c r="AH493" s="600"/>
      <c r="AI493" s="600"/>
      <c r="AJ493" s="600"/>
      <c r="AK493" s="600"/>
      <c r="AL493" s="600"/>
      <c r="AM493" s="600"/>
      <c r="AN493" s="482"/>
      <c r="AO493" s="600"/>
      <c r="AP493" s="600"/>
      <c r="AQ493" s="600"/>
      <c r="AR493" s="600"/>
      <c r="AS493" s="600"/>
      <c r="AT493" s="600"/>
      <c r="AU493" s="600"/>
      <c r="AV493" s="600"/>
      <c r="AW493" s="482"/>
      <c r="AX493" s="482"/>
      <c r="AY493" s="482"/>
      <c r="AZ493" s="482"/>
      <c r="BA493" s="343"/>
      <c r="BB493" s="343"/>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row>
    <row r="494" spans="1:76" s="25" customFormat="1">
      <c r="A494" s="343"/>
      <c r="B494" s="343"/>
      <c r="C494" s="64"/>
      <c r="D494" s="64"/>
      <c r="E494" s="39"/>
      <c r="F494" s="39"/>
      <c r="G494" s="39"/>
      <c r="H494" s="39"/>
      <c r="I494" s="39"/>
      <c r="J494" s="39"/>
      <c r="K494" s="39"/>
      <c r="L494" s="39"/>
      <c r="M494" s="660"/>
      <c r="N494" s="343"/>
      <c r="O494" s="343"/>
      <c r="P494" s="343"/>
      <c r="Q494" s="343"/>
      <c r="R494" s="600"/>
      <c r="S494" s="600"/>
      <c r="T494" s="600"/>
      <c r="U494" s="600"/>
      <c r="V494" s="600"/>
      <c r="W494" s="600"/>
      <c r="X494" s="600"/>
      <c r="Y494" s="600"/>
      <c r="Z494" s="600"/>
      <c r="AA494" s="482"/>
      <c r="AB494" s="482"/>
      <c r="AC494" s="482"/>
      <c r="AD494" s="600">
        <v>483</v>
      </c>
      <c r="AE494" s="482"/>
      <c r="AF494" s="600"/>
      <c r="AG494" s="600"/>
      <c r="AH494" s="600"/>
      <c r="AI494" s="600"/>
      <c r="AJ494" s="600"/>
      <c r="AK494" s="600"/>
      <c r="AL494" s="600"/>
      <c r="AM494" s="600"/>
      <c r="AN494" s="482"/>
      <c r="AO494" s="600"/>
      <c r="AP494" s="600"/>
      <c r="AQ494" s="600"/>
      <c r="AR494" s="600"/>
      <c r="AS494" s="600"/>
      <c r="AT494" s="600"/>
      <c r="AU494" s="600"/>
      <c r="AV494" s="600"/>
      <c r="AW494" s="482"/>
      <c r="AX494" s="482"/>
      <c r="AY494" s="482"/>
      <c r="AZ494" s="482"/>
      <c r="BA494" s="343"/>
      <c r="BB494" s="343"/>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row>
    <row r="495" spans="1:76" s="25" customFormat="1">
      <c r="A495" s="343"/>
      <c r="B495" s="343"/>
      <c r="C495" s="64"/>
      <c r="D495" s="64"/>
      <c r="E495" s="39"/>
      <c r="F495" s="39"/>
      <c r="G495" s="39"/>
      <c r="H495" s="39"/>
      <c r="I495" s="39"/>
      <c r="J495" s="39"/>
      <c r="K495" s="39"/>
      <c r="L495" s="39"/>
      <c r="M495" s="660"/>
      <c r="N495" s="343"/>
      <c r="O495" s="343"/>
      <c r="P495" s="343"/>
      <c r="Q495" s="343"/>
      <c r="R495" s="600"/>
      <c r="S495" s="600"/>
      <c r="T495" s="600"/>
      <c r="U495" s="600"/>
      <c r="V495" s="600"/>
      <c r="W495" s="600"/>
      <c r="X495" s="600"/>
      <c r="Y495" s="600"/>
      <c r="Z495" s="600"/>
      <c r="AA495" s="482"/>
      <c r="AB495" s="482"/>
      <c r="AC495" s="482"/>
      <c r="AD495" s="600">
        <v>484</v>
      </c>
      <c r="AE495" s="482"/>
      <c r="AF495" s="600"/>
      <c r="AG495" s="600"/>
      <c r="AH495" s="600"/>
      <c r="AI495" s="600"/>
      <c r="AJ495" s="600"/>
      <c r="AK495" s="600"/>
      <c r="AL495" s="600"/>
      <c r="AM495" s="600"/>
      <c r="AN495" s="482"/>
      <c r="AO495" s="600"/>
      <c r="AP495" s="600"/>
      <c r="AQ495" s="600"/>
      <c r="AR495" s="600"/>
      <c r="AS495" s="600"/>
      <c r="AT495" s="600"/>
      <c r="AU495" s="600"/>
      <c r="AV495" s="600"/>
      <c r="AW495" s="482"/>
      <c r="AX495" s="482"/>
      <c r="AY495" s="482"/>
      <c r="AZ495" s="482"/>
      <c r="BA495" s="343"/>
      <c r="BB495" s="343"/>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row>
    <row r="496" spans="1:76" s="25" customFormat="1">
      <c r="A496" s="343"/>
      <c r="B496" s="343"/>
      <c r="C496" s="64"/>
      <c r="D496" s="64"/>
      <c r="E496" s="39"/>
      <c r="F496" s="39"/>
      <c r="G496" s="39"/>
      <c r="H496" s="39"/>
      <c r="I496" s="39"/>
      <c r="J496" s="39"/>
      <c r="K496" s="39"/>
      <c r="L496" s="39"/>
      <c r="M496" s="660"/>
      <c r="N496" s="343"/>
      <c r="O496" s="343"/>
      <c r="P496" s="343"/>
      <c r="Q496" s="343"/>
      <c r="R496" s="600"/>
      <c r="S496" s="600"/>
      <c r="T496" s="600"/>
      <c r="U496" s="600"/>
      <c r="V496" s="600"/>
      <c r="W496" s="600"/>
      <c r="X496" s="600"/>
      <c r="Y496" s="600"/>
      <c r="Z496" s="600"/>
      <c r="AA496" s="482"/>
      <c r="AB496" s="482"/>
      <c r="AC496" s="482"/>
      <c r="AD496" s="600">
        <v>485</v>
      </c>
      <c r="AE496" s="482"/>
      <c r="AF496" s="600"/>
      <c r="AG496" s="600"/>
      <c r="AH496" s="600"/>
      <c r="AI496" s="600"/>
      <c r="AJ496" s="600"/>
      <c r="AK496" s="600"/>
      <c r="AL496" s="600"/>
      <c r="AM496" s="600"/>
      <c r="AN496" s="482"/>
      <c r="AO496" s="600"/>
      <c r="AP496" s="600"/>
      <c r="AQ496" s="600"/>
      <c r="AR496" s="600"/>
      <c r="AS496" s="600"/>
      <c r="AT496" s="600"/>
      <c r="AU496" s="600"/>
      <c r="AV496" s="600"/>
      <c r="AW496" s="482"/>
      <c r="AX496" s="482"/>
      <c r="AY496" s="482"/>
      <c r="AZ496" s="482"/>
      <c r="BA496" s="343"/>
      <c r="BB496" s="343"/>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row>
    <row r="497" spans="1:76" s="25" customFormat="1">
      <c r="A497" s="343"/>
      <c r="B497" s="343"/>
      <c r="C497" s="64"/>
      <c r="D497" s="64"/>
      <c r="E497" s="39"/>
      <c r="F497" s="39"/>
      <c r="G497" s="39"/>
      <c r="H497" s="39"/>
      <c r="I497" s="39"/>
      <c r="J497" s="39"/>
      <c r="K497" s="39"/>
      <c r="L497" s="39"/>
      <c r="M497" s="660"/>
      <c r="N497" s="343"/>
      <c r="O497" s="343"/>
      <c r="P497" s="343"/>
      <c r="Q497" s="343"/>
      <c r="R497" s="600"/>
      <c r="S497" s="600"/>
      <c r="T497" s="600"/>
      <c r="U497" s="600"/>
      <c r="V497" s="600"/>
      <c r="W497" s="600"/>
      <c r="X497" s="600"/>
      <c r="Y497" s="600"/>
      <c r="Z497" s="600"/>
      <c r="AA497" s="482"/>
      <c r="AB497" s="482"/>
      <c r="AC497" s="482"/>
      <c r="AD497" s="600">
        <v>486</v>
      </c>
      <c r="AE497" s="482"/>
      <c r="AF497" s="600"/>
      <c r="AG497" s="600"/>
      <c r="AH497" s="600"/>
      <c r="AI497" s="600"/>
      <c r="AJ497" s="600"/>
      <c r="AK497" s="600"/>
      <c r="AL497" s="600"/>
      <c r="AM497" s="600"/>
      <c r="AN497" s="482"/>
      <c r="AO497" s="600"/>
      <c r="AP497" s="600"/>
      <c r="AQ497" s="600"/>
      <c r="AR497" s="600"/>
      <c r="AS497" s="600"/>
      <c r="AT497" s="600"/>
      <c r="AU497" s="600"/>
      <c r="AV497" s="600"/>
      <c r="AW497" s="482"/>
      <c r="AX497" s="482"/>
      <c r="AY497" s="482"/>
      <c r="AZ497" s="482"/>
      <c r="BA497" s="343"/>
      <c r="BB497" s="343"/>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row>
    <row r="498" spans="1:76" s="25" customFormat="1">
      <c r="A498" s="343"/>
      <c r="B498" s="343"/>
      <c r="C498" s="64"/>
      <c r="D498" s="64"/>
      <c r="E498" s="39"/>
      <c r="F498" s="39"/>
      <c r="G498" s="39"/>
      <c r="H498" s="39"/>
      <c r="I498" s="39"/>
      <c r="J498" s="39"/>
      <c r="K498" s="39"/>
      <c r="L498" s="39"/>
      <c r="M498" s="660"/>
      <c r="N498" s="343"/>
      <c r="O498" s="343"/>
      <c r="P498" s="343"/>
      <c r="Q498" s="343"/>
      <c r="R498" s="600"/>
      <c r="S498" s="600"/>
      <c r="T498" s="600"/>
      <c r="U498" s="600"/>
      <c r="V498" s="600"/>
      <c r="W498" s="600"/>
      <c r="X498" s="600"/>
      <c r="Y498" s="600"/>
      <c r="Z498" s="600"/>
      <c r="AA498" s="482"/>
      <c r="AB498" s="482"/>
      <c r="AC498" s="482"/>
      <c r="AD498" s="600">
        <v>487</v>
      </c>
      <c r="AE498" s="482"/>
      <c r="AF498" s="600"/>
      <c r="AG498" s="600"/>
      <c r="AH498" s="600"/>
      <c r="AI498" s="600"/>
      <c r="AJ498" s="600"/>
      <c r="AK498" s="600"/>
      <c r="AL498" s="600"/>
      <c r="AM498" s="600"/>
      <c r="AN498" s="482"/>
      <c r="AO498" s="600"/>
      <c r="AP498" s="600"/>
      <c r="AQ498" s="600"/>
      <c r="AR498" s="600"/>
      <c r="AS498" s="600"/>
      <c r="AT498" s="600"/>
      <c r="AU498" s="600"/>
      <c r="AV498" s="600"/>
      <c r="AW498" s="482"/>
      <c r="AX498" s="482"/>
      <c r="AY498" s="482"/>
      <c r="AZ498" s="482"/>
      <c r="BA498" s="343"/>
      <c r="BB498" s="343"/>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row>
    <row r="499" spans="1:76" s="25" customFormat="1">
      <c r="A499" s="343"/>
      <c r="B499" s="343"/>
      <c r="C499" s="64"/>
      <c r="D499" s="64"/>
      <c r="E499" s="39"/>
      <c r="F499" s="39"/>
      <c r="G499" s="39"/>
      <c r="H499" s="39"/>
      <c r="I499" s="39"/>
      <c r="J499" s="39"/>
      <c r="K499" s="39"/>
      <c r="L499" s="39"/>
      <c r="M499" s="660"/>
      <c r="N499" s="343"/>
      <c r="O499" s="343"/>
      <c r="P499" s="343"/>
      <c r="Q499" s="343"/>
      <c r="R499" s="600"/>
      <c r="S499" s="600"/>
      <c r="T499" s="600"/>
      <c r="U499" s="600"/>
      <c r="V499" s="600"/>
      <c r="W499" s="600"/>
      <c r="X499" s="600"/>
      <c r="Y499" s="600"/>
      <c r="Z499" s="600"/>
      <c r="AA499" s="482"/>
      <c r="AB499" s="482"/>
      <c r="AC499" s="482"/>
      <c r="AD499" s="600">
        <v>488</v>
      </c>
      <c r="AE499" s="482"/>
      <c r="AF499" s="600"/>
      <c r="AG499" s="600"/>
      <c r="AH499" s="600"/>
      <c r="AI499" s="600"/>
      <c r="AJ499" s="600"/>
      <c r="AK499" s="600"/>
      <c r="AL499" s="600"/>
      <c r="AM499" s="600"/>
      <c r="AN499" s="482"/>
      <c r="AO499" s="600"/>
      <c r="AP499" s="600"/>
      <c r="AQ499" s="600"/>
      <c r="AR499" s="600"/>
      <c r="AS499" s="600"/>
      <c r="AT499" s="600"/>
      <c r="AU499" s="600"/>
      <c r="AV499" s="600"/>
      <c r="AW499" s="482"/>
      <c r="AX499" s="482"/>
      <c r="AY499" s="482"/>
      <c r="AZ499" s="482"/>
      <c r="BA499" s="343"/>
      <c r="BB499" s="343"/>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row>
    <row r="500" spans="1:76" s="25" customFormat="1">
      <c r="A500" s="343"/>
      <c r="B500" s="343"/>
      <c r="C500" s="64"/>
      <c r="D500" s="64"/>
      <c r="E500" s="39"/>
      <c r="F500" s="39"/>
      <c r="G500" s="39"/>
      <c r="H500" s="39"/>
      <c r="I500" s="39"/>
      <c r="J500" s="39"/>
      <c r="K500" s="39"/>
      <c r="L500" s="39"/>
      <c r="M500" s="660"/>
      <c r="N500" s="343"/>
      <c r="O500" s="343"/>
      <c r="P500" s="343"/>
      <c r="Q500" s="343"/>
      <c r="R500" s="600"/>
      <c r="S500" s="600"/>
      <c r="T500" s="600"/>
      <c r="U500" s="600"/>
      <c r="V500" s="600"/>
      <c r="W500" s="600"/>
      <c r="X500" s="600"/>
      <c r="Y500" s="600"/>
      <c r="Z500" s="600"/>
      <c r="AA500" s="482"/>
      <c r="AB500" s="482"/>
      <c r="AC500" s="482"/>
      <c r="AD500" s="600">
        <v>489</v>
      </c>
      <c r="AE500" s="482"/>
      <c r="AF500" s="600"/>
      <c r="AG500" s="600"/>
      <c r="AH500" s="600"/>
      <c r="AI500" s="600"/>
      <c r="AJ500" s="600"/>
      <c r="AK500" s="600"/>
      <c r="AL500" s="600"/>
      <c r="AM500" s="600"/>
      <c r="AN500" s="482"/>
      <c r="AO500" s="600"/>
      <c r="AP500" s="600"/>
      <c r="AQ500" s="600"/>
      <c r="AR500" s="600"/>
      <c r="AS500" s="600"/>
      <c r="AT500" s="600"/>
      <c r="AU500" s="600"/>
      <c r="AV500" s="600"/>
      <c r="AW500" s="482"/>
      <c r="AX500" s="482"/>
      <c r="AY500" s="482"/>
      <c r="AZ500" s="482"/>
      <c r="BA500" s="343"/>
      <c r="BB500" s="343"/>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row>
    <row r="501" spans="1:76" s="25" customFormat="1">
      <c r="A501" s="343"/>
      <c r="B501" s="343"/>
      <c r="C501" s="64"/>
      <c r="D501" s="64"/>
      <c r="E501" s="39"/>
      <c r="F501" s="39"/>
      <c r="G501" s="39"/>
      <c r="H501" s="39"/>
      <c r="I501" s="39"/>
      <c r="J501" s="39"/>
      <c r="K501" s="39"/>
      <c r="L501" s="39"/>
      <c r="M501" s="660"/>
      <c r="N501" s="343"/>
      <c r="O501" s="343"/>
      <c r="P501" s="343"/>
      <c r="Q501" s="343"/>
      <c r="R501" s="600"/>
      <c r="S501" s="600"/>
      <c r="T501" s="600"/>
      <c r="U501" s="600"/>
      <c r="V501" s="600"/>
      <c r="W501" s="600"/>
      <c r="X501" s="600"/>
      <c r="Y501" s="600"/>
      <c r="Z501" s="600"/>
      <c r="AA501" s="482"/>
      <c r="AB501" s="482"/>
      <c r="AC501" s="482"/>
      <c r="AD501" s="600">
        <v>490</v>
      </c>
      <c r="AE501" s="482"/>
      <c r="AF501" s="600"/>
      <c r="AG501" s="600"/>
      <c r="AH501" s="600"/>
      <c r="AI501" s="600"/>
      <c r="AJ501" s="600"/>
      <c r="AK501" s="600"/>
      <c r="AL501" s="600"/>
      <c r="AM501" s="600"/>
      <c r="AN501" s="482"/>
      <c r="AO501" s="600"/>
      <c r="AP501" s="600"/>
      <c r="AQ501" s="600"/>
      <c r="AR501" s="600"/>
      <c r="AS501" s="600"/>
      <c r="AT501" s="600"/>
      <c r="AU501" s="600"/>
      <c r="AV501" s="600"/>
      <c r="AW501" s="482"/>
      <c r="AX501" s="482"/>
      <c r="AY501" s="482"/>
      <c r="AZ501" s="482"/>
      <c r="BA501" s="343"/>
      <c r="BB501" s="343"/>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row>
    <row r="502" spans="1:76" s="25" customFormat="1">
      <c r="A502" s="343"/>
      <c r="B502" s="343"/>
      <c r="C502" s="64"/>
      <c r="D502" s="64"/>
      <c r="E502" s="39"/>
      <c r="F502" s="39"/>
      <c r="G502" s="39"/>
      <c r="H502" s="39"/>
      <c r="I502" s="39"/>
      <c r="J502" s="39"/>
      <c r="K502" s="39"/>
      <c r="L502" s="39"/>
      <c r="M502" s="660"/>
      <c r="N502" s="343"/>
      <c r="O502" s="343"/>
      <c r="P502" s="343"/>
      <c r="Q502" s="343"/>
      <c r="R502" s="600"/>
      <c r="S502" s="600"/>
      <c r="T502" s="600"/>
      <c r="U502" s="600"/>
      <c r="V502" s="600"/>
      <c r="W502" s="600"/>
      <c r="X502" s="600"/>
      <c r="Y502" s="600"/>
      <c r="Z502" s="600"/>
      <c r="AA502" s="482"/>
      <c r="AB502" s="482"/>
      <c r="AC502" s="482"/>
      <c r="AD502" s="600">
        <v>491</v>
      </c>
      <c r="AE502" s="482"/>
      <c r="AF502" s="600"/>
      <c r="AG502" s="600"/>
      <c r="AH502" s="600"/>
      <c r="AI502" s="600"/>
      <c r="AJ502" s="600"/>
      <c r="AK502" s="600"/>
      <c r="AL502" s="600"/>
      <c r="AM502" s="600"/>
      <c r="AN502" s="482"/>
      <c r="AO502" s="600"/>
      <c r="AP502" s="600"/>
      <c r="AQ502" s="600"/>
      <c r="AR502" s="600"/>
      <c r="AS502" s="600"/>
      <c r="AT502" s="600"/>
      <c r="AU502" s="600"/>
      <c r="AV502" s="600"/>
      <c r="AW502" s="482"/>
      <c r="AX502" s="482"/>
      <c r="AY502" s="482"/>
      <c r="AZ502" s="482"/>
      <c r="BA502" s="343"/>
      <c r="BB502" s="343"/>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row>
    <row r="503" spans="1:76" s="25" customFormat="1">
      <c r="A503" s="343"/>
      <c r="B503" s="343"/>
      <c r="C503" s="64"/>
      <c r="D503" s="64"/>
      <c r="E503" s="39"/>
      <c r="F503" s="39"/>
      <c r="G503" s="39"/>
      <c r="H503" s="39"/>
      <c r="I503" s="39"/>
      <c r="J503" s="39"/>
      <c r="K503" s="39"/>
      <c r="L503" s="39"/>
      <c r="M503" s="660"/>
      <c r="N503" s="343"/>
      <c r="O503" s="343"/>
      <c r="P503" s="343"/>
      <c r="Q503" s="343"/>
      <c r="R503" s="600"/>
      <c r="S503" s="600"/>
      <c r="T503" s="600"/>
      <c r="U503" s="600"/>
      <c r="V503" s="600"/>
      <c r="W503" s="600"/>
      <c r="X503" s="600"/>
      <c r="Y503" s="600"/>
      <c r="Z503" s="600"/>
      <c r="AA503" s="482"/>
      <c r="AB503" s="482"/>
      <c r="AC503" s="482"/>
      <c r="AD503" s="600">
        <v>492</v>
      </c>
      <c r="AE503" s="482"/>
      <c r="AF503" s="600"/>
      <c r="AG503" s="600"/>
      <c r="AH503" s="600"/>
      <c r="AI503" s="600"/>
      <c r="AJ503" s="600"/>
      <c r="AK503" s="600"/>
      <c r="AL503" s="600"/>
      <c r="AM503" s="600"/>
      <c r="AN503" s="482"/>
      <c r="AO503" s="600"/>
      <c r="AP503" s="600"/>
      <c r="AQ503" s="600"/>
      <c r="AR503" s="600"/>
      <c r="AS503" s="600"/>
      <c r="AT503" s="600"/>
      <c r="AU503" s="600"/>
      <c r="AV503" s="600"/>
      <c r="AW503" s="482"/>
      <c r="AX503" s="482"/>
      <c r="AY503" s="482"/>
      <c r="AZ503" s="482"/>
      <c r="BA503" s="343"/>
      <c r="BB503" s="343"/>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row>
    <row r="504" spans="1:76" s="25" customFormat="1">
      <c r="A504" s="343"/>
      <c r="B504" s="343"/>
      <c r="C504" s="64"/>
      <c r="D504" s="64"/>
      <c r="E504" s="39"/>
      <c r="F504" s="39"/>
      <c r="G504" s="39"/>
      <c r="H504" s="39"/>
      <c r="I504" s="39"/>
      <c r="J504" s="39"/>
      <c r="K504" s="39"/>
      <c r="L504" s="39"/>
      <c r="M504" s="660"/>
      <c r="N504" s="343"/>
      <c r="O504" s="343"/>
      <c r="P504" s="343"/>
      <c r="Q504" s="343"/>
      <c r="R504" s="600"/>
      <c r="S504" s="600"/>
      <c r="T504" s="600"/>
      <c r="U504" s="600"/>
      <c r="V504" s="600"/>
      <c r="W504" s="600"/>
      <c r="X504" s="600"/>
      <c r="Y504" s="600"/>
      <c r="Z504" s="600"/>
      <c r="AA504" s="482"/>
      <c r="AB504" s="482"/>
      <c r="AC504" s="482"/>
      <c r="AD504" s="600">
        <v>493</v>
      </c>
      <c r="AE504" s="482"/>
      <c r="AF504" s="600"/>
      <c r="AG504" s="600"/>
      <c r="AH504" s="600"/>
      <c r="AI504" s="600"/>
      <c r="AJ504" s="600"/>
      <c r="AK504" s="600"/>
      <c r="AL504" s="600"/>
      <c r="AM504" s="600"/>
      <c r="AN504" s="482"/>
      <c r="AO504" s="600"/>
      <c r="AP504" s="600"/>
      <c r="AQ504" s="600"/>
      <c r="AR504" s="600"/>
      <c r="AS504" s="600"/>
      <c r="AT504" s="600"/>
      <c r="AU504" s="600"/>
      <c r="AV504" s="600"/>
      <c r="AW504" s="482"/>
      <c r="AX504" s="482"/>
      <c r="AY504" s="482"/>
      <c r="AZ504" s="482"/>
      <c r="BA504" s="343"/>
      <c r="BB504" s="343"/>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row>
    <row r="505" spans="1:76" s="25" customFormat="1">
      <c r="A505" s="343"/>
      <c r="B505" s="343"/>
      <c r="C505" s="64"/>
      <c r="D505" s="64"/>
      <c r="E505" s="39"/>
      <c r="F505" s="39"/>
      <c r="G505" s="39"/>
      <c r="H505" s="39"/>
      <c r="I505" s="39"/>
      <c r="J505" s="39"/>
      <c r="K505" s="39"/>
      <c r="L505" s="39"/>
      <c r="M505" s="660"/>
      <c r="N505" s="343"/>
      <c r="O505" s="343"/>
      <c r="P505" s="343"/>
      <c r="Q505" s="343"/>
      <c r="R505" s="600"/>
      <c r="S505" s="600"/>
      <c r="T505" s="600"/>
      <c r="U505" s="600"/>
      <c r="V505" s="600"/>
      <c r="W505" s="600"/>
      <c r="X505" s="600"/>
      <c r="Y505" s="600"/>
      <c r="Z505" s="600"/>
      <c r="AA505" s="482"/>
      <c r="AB505" s="482"/>
      <c r="AC505" s="482"/>
      <c r="AD505" s="600">
        <v>494</v>
      </c>
      <c r="AE505" s="482"/>
      <c r="AF505" s="600"/>
      <c r="AG505" s="600"/>
      <c r="AH505" s="600"/>
      <c r="AI505" s="600"/>
      <c r="AJ505" s="600"/>
      <c r="AK505" s="600"/>
      <c r="AL505" s="600"/>
      <c r="AM505" s="600"/>
      <c r="AN505" s="482"/>
      <c r="AO505" s="600"/>
      <c r="AP505" s="600"/>
      <c r="AQ505" s="600"/>
      <c r="AR505" s="600"/>
      <c r="AS505" s="600"/>
      <c r="AT505" s="600"/>
      <c r="AU505" s="600"/>
      <c r="AV505" s="600"/>
      <c r="AW505" s="482"/>
      <c r="AX505" s="482"/>
      <c r="AY505" s="482"/>
      <c r="AZ505" s="482"/>
      <c r="BA505" s="343"/>
      <c r="BB505" s="343"/>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row>
    <row r="506" spans="1:76" s="25" customFormat="1">
      <c r="A506" s="343"/>
      <c r="B506" s="343"/>
      <c r="C506" s="64"/>
      <c r="D506" s="64"/>
      <c r="E506" s="39"/>
      <c r="F506" s="39"/>
      <c r="G506" s="39"/>
      <c r="H506" s="39"/>
      <c r="I506" s="39"/>
      <c r="J506" s="39"/>
      <c r="K506" s="39"/>
      <c r="L506" s="39"/>
      <c r="M506" s="660"/>
      <c r="N506" s="343"/>
      <c r="O506" s="343"/>
      <c r="P506" s="343"/>
      <c r="Q506" s="343"/>
      <c r="R506" s="600"/>
      <c r="S506" s="600"/>
      <c r="T506" s="600"/>
      <c r="U506" s="600"/>
      <c r="V506" s="600"/>
      <c r="W506" s="600"/>
      <c r="X506" s="600"/>
      <c r="Y506" s="600"/>
      <c r="Z506" s="600"/>
      <c r="AA506" s="482"/>
      <c r="AB506" s="482"/>
      <c r="AC506" s="482"/>
      <c r="AD506" s="600">
        <v>495</v>
      </c>
      <c r="AE506" s="482"/>
      <c r="AF506" s="600"/>
      <c r="AG506" s="600"/>
      <c r="AH506" s="600"/>
      <c r="AI506" s="600"/>
      <c r="AJ506" s="600"/>
      <c r="AK506" s="600"/>
      <c r="AL506" s="600"/>
      <c r="AM506" s="600"/>
      <c r="AN506" s="482"/>
      <c r="AO506" s="600"/>
      <c r="AP506" s="600"/>
      <c r="AQ506" s="600"/>
      <c r="AR506" s="600"/>
      <c r="AS506" s="600"/>
      <c r="AT506" s="600"/>
      <c r="AU506" s="600"/>
      <c r="AV506" s="600"/>
      <c r="AW506" s="482"/>
      <c r="AX506" s="482"/>
      <c r="AY506" s="482"/>
      <c r="AZ506" s="482"/>
      <c r="BA506" s="343"/>
      <c r="BB506" s="343"/>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row>
    <row r="507" spans="1:76" s="25" customFormat="1">
      <c r="A507" s="343"/>
      <c r="B507" s="343"/>
      <c r="C507" s="64"/>
      <c r="D507" s="64"/>
      <c r="E507" s="39"/>
      <c r="F507" s="39"/>
      <c r="G507" s="39"/>
      <c r="H507" s="39"/>
      <c r="I507" s="39"/>
      <c r="J507" s="39"/>
      <c r="K507" s="39"/>
      <c r="L507" s="39"/>
      <c r="M507" s="660"/>
      <c r="N507" s="343"/>
      <c r="O507" s="343"/>
      <c r="P507" s="343"/>
      <c r="Q507" s="343"/>
      <c r="R507" s="600"/>
      <c r="S507" s="600"/>
      <c r="T507" s="600"/>
      <c r="U507" s="600"/>
      <c r="V507" s="600"/>
      <c r="W507" s="600"/>
      <c r="X507" s="600"/>
      <c r="Y507" s="600"/>
      <c r="Z507" s="600"/>
      <c r="AA507" s="482"/>
      <c r="AB507" s="482"/>
      <c r="AC507" s="482"/>
      <c r="AD507" s="600">
        <v>496</v>
      </c>
      <c r="AE507" s="482"/>
      <c r="AF507" s="600"/>
      <c r="AG507" s="600"/>
      <c r="AH507" s="600"/>
      <c r="AI507" s="600"/>
      <c r="AJ507" s="600"/>
      <c r="AK507" s="600"/>
      <c r="AL507" s="600"/>
      <c r="AM507" s="600"/>
      <c r="AN507" s="482"/>
      <c r="AO507" s="600"/>
      <c r="AP507" s="600"/>
      <c r="AQ507" s="600"/>
      <c r="AR507" s="600"/>
      <c r="AS507" s="600"/>
      <c r="AT507" s="600"/>
      <c r="AU507" s="600"/>
      <c r="AV507" s="600"/>
      <c r="AW507" s="482"/>
      <c r="AX507" s="482"/>
      <c r="AY507" s="482"/>
      <c r="AZ507" s="482"/>
      <c r="BA507" s="343"/>
      <c r="BB507" s="343"/>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row>
    <row r="508" spans="1:76" s="25" customFormat="1">
      <c r="A508" s="343"/>
      <c r="B508" s="343"/>
      <c r="C508" s="64"/>
      <c r="D508" s="64"/>
      <c r="E508" s="39"/>
      <c r="F508" s="39"/>
      <c r="G508" s="39"/>
      <c r="H508" s="39"/>
      <c r="I508" s="39"/>
      <c r="J508" s="39"/>
      <c r="K508" s="39"/>
      <c r="L508" s="39"/>
      <c r="M508" s="660"/>
      <c r="N508" s="343"/>
      <c r="O508" s="343"/>
      <c r="P508" s="343"/>
      <c r="Q508" s="343"/>
      <c r="R508" s="600"/>
      <c r="S508" s="600"/>
      <c r="T508" s="600"/>
      <c r="U508" s="600"/>
      <c r="V508" s="600"/>
      <c r="W508" s="600"/>
      <c r="X508" s="600"/>
      <c r="Y508" s="600"/>
      <c r="Z508" s="600"/>
      <c r="AA508" s="482"/>
      <c r="AB508" s="482"/>
      <c r="AC508" s="482"/>
      <c r="AD508" s="600">
        <v>497</v>
      </c>
      <c r="AE508" s="482"/>
      <c r="AF508" s="600"/>
      <c r="AG508" s="600"/>
      <c r="AH508" s="600"/>
      <c r="AI508" s="600"/>
      <c r="AJ508" s="600"/>
      <c r="AK508" s="600"/>
      <c r="AL508" s="600"/>
      <c r="AM508" s="600"/>
      <c r="AN508" s="482"/>
      <c r="AO508" s="600"/>
      <c r="AP508" s="600"/>
      <c r="AQ508" s="600"/>
      <c r="AR508" s="600"/>
      <c r="AS508" s="600"/>
      <c r="AT508" s="600"/>
      <c r="AU508" s="600"/>
      <c r="AV508" s="600"/>
      <c r="AW508" s="482"/>
      <c r="AX508" s="482"/>
      <c r="AY508" s="482"/>
      <c r="AZ508" s="482"/>
      <c r="BA508" s="343"/>
      <c r="BB508" s="343"/>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row>
    <row r="509" spans="1:76" s="25" customFormat="1">
      <c r="A509" s="343"/>
      <c r="B509" s="343"/>
      <c r="C509" s="64"/>
      <c r="D509" s="64"/>
      <c r="E509" s="39"/>
      <c r="F509" s="39"/>
      <c r="G509" s="39"/>
      <c r="H509" s="39"/>
      <c r="I509" s="39"/>
      <c r="J509" s="39"/>
      <c r="K509" s="39"/>
      <c r="L509" s="39"/>
      <c r="M509" s="660"/>
      <c r="N509" s="343"/>
      <c r="O509" s="343"/>
      <c r="P509" s="343"/>
      <c r="Q509" s="343"/>
      <c r="R509" s="600"/>
      <c r="S509" s="600"/>
      <c r="T509" s="600"/>
      <c r="U509" s="600"/>
      <c r="V509" s="600"/>
      <c r="W509" s="600"/>
      <c r="X509" s="600"/>
      <c r="Y509" s="600"/>
      <c r="Z509" s="600"/>
      <c r="AA509" s="482"/>
      <c r="AB509" s="482"/>
      <c r="AC509" s="482"/>
      <c r="AD509" s="600">
        <v>498</v>
      </c>
      <c r="AE509" s="482"/>
      <c r="AF509" s="600"/>
      <c r="AG509" s="600"/>
      <c r="AH509" s="600"/>
      <c r="AI509" s="600"/>
      <c r="AJ509" s="600"/>
      <c r="AK509" s="600"/>
      <c r="AL509" s="600"/>
      <c r="AM509" s="600"/>
      <c r="AN509" s="482"/>
      <c r="AO509" s="600"/>
      <c r="AP509" s="600"/>
      <c r="AQ509" s="600"/>
      <c r="AR509" s="600"/>
      <c r="AS509" s="600"/>
      <c r="AT509" s="600"/>
      <c r="AU509" s="600"/>
      <c r="AV509" s="600"/>
      <c r="AW509" s="482"/>
      <c r="AX509" s="482"/>
      <c r="AY509" s="482"/>
      <c r="AZ509" s="482"/>
      <c r="BA509" s="343"/>
      <c r="BB509" s="343"/>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row>
    <row r="510" spans="1:76" s="25" customFormat="1">
      <c r="A510" s="343"/>
      <c r="B510" s="343"/>
      <c r="C510" s="64"/>
      <c r="D510" s="64"/>
      <c r="E510" s="39"/>
      <c r="F510" s="39"/>
      <c r="G510" s="39"/>
      <c r="H510" s="39"/>
      <c r="I510" s="39"/>
      <c r="J510" s="39"/>
      <c r="K510" s="39"/>
      <c r="L510" s="39"/>
      <c r="M510" s="660"/>
      <c r="N510" s="343"/>
      <c r="O510" s="343"/>
      <c r="P510" s="343"/>
      <c r="Q510" s="343"/>
      <c r="R510" s="600"/>
      <c r="S510" s="600"/>
      <c r="T510" s="600"/>
      <c r="U510" s="600"/>
      <c r="V510" s="600"/>
      <c r="W510" s="600"/>
      <c r="X510" s="600"/>
      <c r="Y510" s="600"/>
      <c r="Z510" s="600"/>
      <c r="AA510" s="482"/>
      <c r="AB510" s="482"/>
      <c r="AC510" s="482"/>
      <c r="AD510" s="600">
        <v>499</v>
      </c>
      <c r="AE510" s="482"/>
      <c r="AF510" s="600"/>
      <c r="AG510" s="600"/>
      <c r="AH510" s="600"/>
      <c r="AI510" s="600"/>
      <c r="AJ510" s="600"/>
      <c r="AK510" s="600"/>
      <c r="AL510" s="600"/>
      <c r="AM510" s="600"/>
      <c r="AN510" s="482"/>
      <c r="AO510" s="600"/>
      <c r="AP510" s="600"/>
      <c r="AQ510" s="600"/>
      <c r="AR510" s="600"/>
      <c r="AS510" s="600"/>
      <c r="AT510" s="600"/>
      <c r="AU510" s="600"/>
      <c r="AV510" s="600"/>
      <c r="AW510" s="482"/>
      <c r="AX510" s="482"/>
      <c r="AY510" s="482"/>
      <c r="AZ510" s="482"/>
      <c r="BA510" s="343"/>
      <c r="BB510" s="343"/>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row>
    <row r="511" spans="1:76" s="25" customFormat="1">
      <c r="A511" s="343"/>
      <c r="B511" s="343"/>
      <c r="C511" s="64"/>
      <c r="D511" s="64"/>
      <c r="E511" s="39"/>
      <c r="F511" s="39"/>
      <c r="G511" s="39"/>
      <c r="H511" s="39"/>
      <c r="I511" s="39"/>
      <c r="J511" s="39"/>
      <c r="K511" s="39"/>
      <c r="L511" s="39"/>
      <c r="M511" s="660"/>
      <c r="N511" s="343"/>
      <c r="O511" s="343"/>
      <c r="P511" s="343"/>
      <c r="Q511" s="343"/>
      <c r="R511" s="600"/>
      <c r="S511" s="600"/>
      <c r="T511" s="600"/>
      <c r="U511" s="600"/>
      <c r="V511" s="600"/>
      <c r="W511" s="600"/>
      <c r="X511" s="600"/>
      <c r="Y511" s="600"/>
      <c r="Z511" s="600"/>
      <c r="AA511" s="482"/>
      <c r="AB511" s="482"/>
      <c r="AC511" s="482"/>
      <c r="AD511" s="600">
        <v>500</v>
      </c>
      <c r="AE511" s="482"/>
      <c r="AF511" s="600"/>
      <c r="AG511" s="600"/>
      <c r="AH511" s="600"/>
      <c r="AI511" s="600"/>
      <c r="AJ511" s="600"/>
      <c r="AK511" s="600"/>
      <c r="AL511" s="600"/>
      <c r="AM511" s="600"/>
      <c r="AN511" s="482"/>
      <c r="AO511" s="600"/>
      <c r="AP511" s="600"/>
      <c r="AQ511" s="600"/>
      <c r="AR511" s="600"/>
      <c r="AS511" s="600"/>
      <c r="AT511" s="600"/>
      <c r="AU511" s="600"/>
      <c r="AV511" s="600"/>
      <c r="AW511" s="482"/>
      <c r="AX511" s="482"/>
      <c r="AY511" s="482"/>
      <c r="AZ511" s="482"/>
      <c r="BA511" s="343"/>
      <c r="BB511" s="343"/>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row>
    <row r="512" spans="1:76" s="25" customFormat="1">
      <c r="A512" s="343"/>
      <c r="B512" s="343"/>
      <c r="C512" s="64"/>
      <c r="D512" s="64"/>
      <c r="E512" s="39"/>
      <c r="F512" s="39"/>
      <c r="G512" s="39"/>
      <c r="H512" s="39"/>
      <c r="I512" s="39"/>
      <c r="J512" s="39"/>
      <c r="K512" s="39"/>
      <c r="L512" s="39"/>
      <c r="M512" s="660"/>
      <c r="N512" s="343"/>
      <c r="O512" s="343"/>
      <c r="P512" s="343"/>
      <c r="Q512" s="343"/>
      <c r="R512" s="600"/>
      <c r="S512" s="600"/>
      <c r="T512" s="600"/>
      <c r="U512" s="600"/>
      <c r="V512" s="600"/>
      <c r="W512" s="600"/>
      <c r="X512" s="600"/>
      <c r="Y512" s="600"/>
      <c r="Z512" s="600"/>
      <c r="AA512" s="482"/>
      <c r="AB512" s="482"/>
      <c r="AC512" s="482"/>
      <c r="AD512" s="600">
        <v>501</v>
      </c>
      <c r="AE512" s="482"/>
      <c r="AF512" s="600"/>
      <c r="AG512" s="600"/>
      <c r="AH512" s="600"/>
      <c r="AI512" s="600"/>
      <c r="AJ512" s="600"/>
      <c r="AK512" s="600"/>
      <c r="AL512" s="600"/>
      <c r="AM512" s="600"/>
      <c r="AN512" s="482"/>
      <c r="AO512" s="600"/>
      <c r="AP512" s="600"/>
      <c r="AQ512" s="600"/>
      <c r="AR512" s="600"/>
      <c r="AS512" s="600"/>
      <c r="AT512" s="600"/>
      <c r="AU512" s="600"/>
      <c r="AV512" s="600"/>
      <c r="AW512" s="482"/>
      <c r="AX512" s="482"/>
      <c r="AY512" s="482"/>
      <c r="AZ512" s="482"/>
      <c r="BA512" s="343"/>
      <c r="BB512" s="343"/>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row>
    <row r="513" spans="1:76" s="25" customFormat="1">
      <c r="A513" s="343"/>
      <c r="B513" s="343"/>
      <c r="C513" s="64"/>
      <c r="D513" s="64"/>
      <c r="E513" s="39"/>
      <c r="F513" s="39"/>
      <c r="G513" s="39"/>
      <c r="H513" s="39"/>
      <c r="I513" s="39"/>
      <c r="J513" s="39"/>
      <c r="K513" s="39"/>
      <c r="L513" s="39"/>
      <c r="M513" s="660"/>
      <c r="N513" s="343"/>
      <c r="O513" s="343"/>
      <c r="P513" s="343"/>
      <c r="Q513" s="343"/>
      <c r="R513" s="600"/>
      <c r="S513" s="600"/>
      <c r="T513" s="600"/>
      <c r="U513" s="600"/>
      <c r="V513" s="600"/>
      <c r="W513" s="600"/>
      <c r="X513" s="600"/>
      <c r="Y513" s="600"/>
      <c r="Z513" s="600"/>
      <c r="AA513" s="482"/>
      <c r="AB513" s="482"/>
      <c r="AC513" s="482"/>
      <c r="AD513" s="600">
        <v>502</v>
      </c>
      <c r="AE513" s="482"/>
      <c r="AF513" s="600"/>
      <c r="AG513" s="600"/>
      <c r="AH513" s="600"/>
      <c r="AI513" s="600"/>
      <c r="AJ513" s="600"/>
      <c r="AK513" s="600"/>
      <c r="AL513" s="600"/>
      <c r="AM513" s="600"/>
      <c r="AN513" s="482"/>
      <c r="AO513" s="600"/>
      <c r="AP513" s="600"/>
      <c r="AQ513" s="600"/>
      <c r="AR513" s="600"/>
      <c r="AS513" s="600"/>
      <c r="AT513" s="600"/>
      <c r="AU513" s="600"/>
      <c r="AV513" s="600"/>
      <c r="AW513" s="482"/>
      <c r="AX513" s="482"/>
      <c r="AY513" s="482"/>
      <c r="AZ513" s="482"/>
      <c r="BA513" s="343"/>
      <c r="BB513" s="343"/>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row>
    <row r="514" spans="1:76" s="25" customFormat="1">
      <c r="A514" s="343"/>
      <c r="B514" s="343"/>
      <c r="C514" s="64"/>
      <c r="D514" s="64"/>
      <c r="E514" s="39"/>
      <c r="F514" s="39"/>
      <c r="G514" s="39"/>
      <c r="H514" s="39"/>
      <c r="I514" s="39"/>
      <c r="J514" s="39"/>
      <c r="K514" s="39"/>
      <c r="L514" s="39"/>
      <c r="M514" s="660"/>
      <c r="N514" s="343"/>
      <c r="O514" s="343"/>
      <c r="P514" s="343"/>
      <c r="Q514" s="343"/>
      <c r="R514" s="600"/>
      <c r="S514" s="600"/>
      <c r="T514" s="600"/>
      <c r="U514" s="600"/>
      <c r="V514" s="600"/>
      <c r="W514" s="600"/>
      <c r="X514" s="600"/>
      <c r="Y514" s="600"/>
      <c r="Z514" s="600"/>
      <c r="AA514" s="482"/>
      <c r="AB514" s="482"/>
      <c r="AC514" s="482"/>
      <c r="AD514" s="600">
        <v>503</v>
      </c>
      <c r="AE514" s="482"/>
      <c r="AF514" s="600"/>
      <c r="AG514" s="600"/>
      <c r="AH514" s="600"/>
      <c r="AI514" s="600"/>
      <c r="AJ514" s="600"/>
      <c r="AK514" s="600"/>
      <c r="AL514" s="600"/>
      <c r="AM514" s="600"/>
      <c r="AN514" s="482"/>
      <c r="AO514" s="600"/>
      <c r="AP514" s="600"/>
      <c r="AQ514" s="600"/>
      <c r="AR514" s="600"/>
      <c r="AS514" s="600"/>
      <c r="AT514" s="600"/>
      <c r="AU514" s="600"/>
      <c r="AV514" s="600"/>
      <c r="AW514" s="482"/>
      <c r="AX514" s="482"/>
      <c r="AY514" s="482"/>
      <c r="AZ514" s="482"/>
      <c r="BA514" s="343"/>
      <c r="BB514" s="343"/>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row>
    <row r="515" spans="1:76" s="25" customFormat="1">
      <c r="A515" s="343"/>
      <c r="B515" s="343"/>
      <c r="C515" s="64"/>
      <c r="D515" s="64"/>
      <c r="E515" s="39"/>
      <c r="F515" s="39"/>
      <c r="G515" s="39"/>
      <c r="H515" s="39"/>
      <c r="I515" s="39"/>
      <c r="J515" s="39"/>
      <c r="K515" s="39"/>
      <c r="L515" s="39"/>
      <c r="M515" s="660"/>
      <c r="N515" s="343"/>
      <c r="O515" s="343"/>
      <c r="P515" s="343"/>
      <c r="Q515" s="343"/>
      <c r="R515" s="600"/>
      <c r="S515" s="600"/>
      <c r="T515" s="600"/>
      <c r="U515" s="600"/>
      <c r="V515" s="600"/>
      <c r="W515" s="600"/>
      <c r="X515" s="600"/>
      <c r="Y515" s="600"/>
      <c r="Z515" s="600"/>
      <c r="AA515" s="482"/>
      <c r="AB515" s="482"/>
      <c r="AC515" s="482"/>
      <c r="AD515" s="600">
        <v>504</v>
      </c>
      <c r="AE515" s="482"/>
      <c r="AF515" s="600"/>
      <c r="AG515" s="600"/>
      <c r="AH515" s="600"/>
      <c r="AI515" s="600"/>
      <c r="AJ515" s="600"/>
      <c r="AK515" s="600"/>
      <c r="AL515" s="600"/>
      <c r="AM515" s="600"/>
      <c r="AN515" s="482"/>
      <c r="AO515" s="600"/>
      <c r="AP515" s="600"/>
      <c r="AQ515" s="600"/>
      <c r="AR515" s="600"/>
      <c r="AS515" s="600"/>
      <c r="AT515" s="600"/>
      <c r="AU515" s="600"/>
      <c r="AV515" s="600"/>
      <c r="AW515" s="482"/>
      <c r="AX515" s="482"/>
      <c r="AY515" s="482"/>
      <c r="AZ515" s="482"/>
      <c r="BA515" s="343"/>
      <c r="BB515" s="343"/>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row>
    <row r="516" spans="1:76" s="25" customFormat="1">
      <c r="A516" s="343"/>
      <c r="B516" s="343"/>
      <c r="C516" s="64"/>
      <c r="D516" s="64"/>
      <c r="E516" s="39"/>
      <c r="F516" s="39"/>
      <c r="G516" s="39"/>
      <c r="H516" s="39"/>
      <c r="I516" s="39"/>
      <c r="J516" s="39"/>
      <c r="K516" s="39"/>
      <c r="L516" s="39"/>
      <c r="M516" s="660"/>
      <c r="N516" s="343"/>
      <c r="O516" s="343"/>
      <c r="P516" s="343"/>
      <c r="Q516" s="343"/>
      <c r="R516" s="600"/>
      <c r="S516" s="600"/>
      <c r="T516" s="600"/>
      <c r="U516" s="600"/>
      <c r="V516" s="600"/>
      <c r="W516" s="600"/>
      <c r="X516" s="600"/>
      <c r="Y516" s="600"/>
      <c r="Z516" s="600"/>
      <c r="AA516" s="482"/>
      <c r="AB516" s="482"/>
      <c r="AC516" s="482"/>
      <c r="AD516" s="600">
        <v>505</v>
      </c>
      <c r="AE516" s="482"/>
      <c r="AF516" s="600"/>
      <c r="AG516" s="600"/>
      <c r="AH516" s="600"/>
      <c r="AI516" s="600"/>
      <c r="AJ516" s="600"/>
      <c r="AK516" s="600"/>
      <c r="AL516" s="600"/>
      <c r="AM516" s="600"/>
      <c r="AN516" s="482"/>
      <c r="AO516" s="600"/>
      <c r="AP516" s="600"/>
      <c r="AQ516" s="600"/>
      <c r="AR516" s="600"/>
      <c r="AS516" s="600"/>
      <c r="AT516" s="600"/>
      <c r="AU516" s="600"/>
      <c r="AV516" s="600"/>
      <c r="AW516" s="482"/>
      <c r="AX516" s="482"/>
      <c r="AY516" s="482"/>
      <c r="AZ516" s="482"/>
      <c r="BA516" s="343"/>
      <c r="BB516" s="343"/>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row>
    <row r="517" spans="1:76" s="25" customFormat="1">
      <c r="A517" s="343"/>
      <c r="B517" s="343"/>
      <c r="C517" s="64"/>
      <c r="D517" s="64"/>
      <c r="E517" s="39"/>
      <c r="F517" s="39"/>
      <c r="G517" s="39"/>
      <c r="H517" s="39"/>
      <c r="I517" s="39"/>
      <c r="J517" s="39"/>
      <c r="K517" s="39"/>
      <c r="L517" s="39"/>
      <c r="M517" s="660"/>
      <c r="N517" s="343"/>
      <c r="O517" s="343"/>
      <c r="P517" s="343"/>
      <c r="Q517" s="343"/>
      <c r="R517" s="600"/>
      <c r="S517" s="600"/>
      <c r="T517" s="600"/>
      <c r="U517" s="600"/>
      <c r="V517" s="600"/>
      <c r="W517" s="600"/>
      <c r="X517" s="600"/>
      <c r="Y517" s="600"/>
      <c r="Z517" s="600"/>
      <c r="AA517" s="482"/>
      <c r="AB517" s="482"/>
      <c r="AC517" s="482"/>
      <c r="AD517" s="600">
        <v>506</v>
      </c>
      <c r="AE517" s="482"/>
      <c r="AF517" s="600"/>
      <c r="AG517" s="600"/>
      <c r="AH517" s="600"/>
      <c r="AI517" s="600"/>
      <c r="AJ517" s="600"/>
      <c r="AK517" s="600"/>
      <c r="AL517" s="600"/>
      <c r="AM517" s="600"/>
      <c r="AN517" s="482"/>
      <c r="AO517" s="600"/>
      <c r="AP517" s="600"/>
      <c r="AQ517" s="600"/>
      <c r="AR517" s="600"/>
      <c r="AS517" s="600"/>
      <c r="AT517" s="600"/>
      <c r="AU517" s="600"/>
      <c r="AV517" s="600"/>
      <c r="AW517" s="482"/>
      <c r="AX517" s="482"/>
      <c r="AY517" s="482"/>
      <c r="AZ517" s="482"/>
      <c r="BA517" s="343"/>
      <c r="BB517" s="343"/>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row>
    <row r="518" spans="1:76" s="25" customFormat="1">
      <c r="A518" s="343"/>
      <c r="B518" s="343"/>
      <c r="C518" s="64"/>
      <c r="D518" s="64"/>
      <c r="E518" s="39"/>
      <c r="F518" s="39"/>
      <c r="G518" s="39"/>
      <c r="H518" s="39"/>
      <c r="I518" s="39"/>
      <c r="J518" s="39"/>
      <c r="K518" s="39"/>
      <c r="L518" s="39"/>
      <c r="M518" s="660"/>
      <c r="N518" s="343"/>
      <c r="O518" s="343"/>
      <c r="P518" s="343"/>
      <c r="Q518" s="343"/>
      <c r="R518" s="600"/>
      <c r="S518" s="600"/>
      <c r="T518" s="600"/>
      <c r="U518" s="600"/>
      <c r="V518" s="600"/>
      <c r="W518" s="600"/>
      <c r="X518" s="600"/>
      <c r="Y518" s="600"/>
      <c r="Z518" s="600"/>
      <c r="AA518" s="482"/>
      <c r="AB518" s="482"/>
      <c r="AC518" s="482"/>
      <c r="AD518" s="600">
        <v>507</v>
      </c>
      <c r="AE518" s="482"/>
      <c r="AF518" s="600"/>
      <c r="AG518" s="600"/>
      <c r="AH518" s="600"/>
      <c r="AI518" s="600"/>
      <c r="AJ518" s="600"/>
      <c r="AK518" s="600"/>
      <c r="AL518" s="600"/>
      <c r="AM518" s="600"/>
      <c r="AN518" s="482"/>
      <c r="AO518" s="600"/>
      <c r="AP518" s="600"/>
      <c r="AQ518" s="600"/>
      <c r="AR518" s="600"/>
      <c r="AS518" s="600"/>
      <c r="AT518" s="600"/>
      <c r="AU518" s="600"/>
      <c r="AV518" s="600"/>
      <c r="AW518" s="482"/>
      <c r="AX518" s="482"/>
      <c r="AY518" s="482"/>
      <c r="AZ518" s="482"/>
      <c r="BA518" s="343"/>
      <c r="BB518" s="343"/>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row>
    <row r="519" spans="1:76" s="25" customFormat="1">
      <c r="A519" s="343"/>
      <c r="B519" s="343"/>
      <c r="C519" s="64"/>
      <c r="D519" s="64"/>
      <c r="E519" s="39"/>
      <c r="F519" s="39"/>
      <c r="G519" s="39"/>
      <c r="H519" s="39"/>
      <c r="I519" s="39"/>
      <c r="J519" s="39"/>
      <c r="K519" s="39"/>
      <c r="L519" s="39"/>
      <c r="M519" s="660"/>
      <c r="N519" s="343"/>
      <c r="O519" s="343"/>
      <c r="P519" s="343"/>
      <c r="Q519" s="343"/>
      <c r="R519" s="600"/>
      <c r="S519" s="600"/>
      <c r="T519" s="600"/>
      <c r="U519" s="600"/>
      <c r="V519" s="600"/>
      <c r="W519" s="600"/>
      <c r="X519" s="600"/>
      <c r="Y519" s="600"/>
      <c r="Z519" s="600"/>
      <c r="AA519" s="482"/>
      <c r="AB519" s="482"/>
      <c r="AC519" s="482"/>
      <c r="AD519" s="600">
        <v>508</v>
      </c>
      <c r="AE519" s="482"/>
      <c r="AF519" s="600"/>
      <c r="AG519" s="600"/>
      <c r="AH519" s="600"/>
      <c r="AI519" s="600"/>
      <c r="AJ519" s="600"/>
      <c r="AK519" s="600"/>
      <c r="AL519" s="600"/>
      <c r="AM519" s="600"/>
      <c r="AN519" s="482"/>
      <c r="AO519" s="600"/>
      <c r="AP519" s="600"/>
      <c r="AQ519" s="600"/>
      <c r="AR519" s="600"/>
      <c r="AS519" s="600"/>
      <c r="AT519" s="600"/>
      <c r="AU519" s="600"/>
      <c r="AV519" s="600"/>
      <c r="AW519" s="482"/>
      <c r="AX519" s="482"/>
      <c r="AY519" s="482"/>
      <c r="AZ519" s="482"/>
      <c r="BA519" s="343"/>
      <c r="BB519" s="343"/>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row>
    <row r="520" spans="1:76" s="25" customFormat="1">
      <c r="A520" s="343"/>
      <c r="B520" s="343"/>
      <c r="C520" s="64"/>
      <c r="D520" s="64"/>
      <c r="E520" s="39"/>
      <c r="F520" s="39"/>
      <c r="G520" s="39"/>
      <c r="H520" s="39"/>
      <c r="I520" s="39"/>
      <c r="J520" s="39"/>
      <c r="K520" s="39"/>
      <c r="L520" s="39"/>
      <c r="M520" s="660"/>
      <c r="N520" s="343"/>
      <c r="O520" s="343"/>
      <c r="P520" s="343"/>
      <c r="Q520" s="343"/>
      <c r="R520" s="600"/>
      <c r="S520" s="600"/>
      <c r="T520" s="600"/>
      <c r="U520" s="600"/>
      <c r="V520" s="600"/>
      <c r="W520" s="600"/>
      <c r="X520" s="600"/>
      <c r="Y520" s="600"/>
      <c r="Z520" s="600"/>
      <c r="AA520" s="482"/>
      <c r="AB520" s="482"/>
      <c r="AC520" s="482"/>
      <c r="AD520" s="600">
        <v>509</v>
      </c>
      <c r="AE520" s="482"/>
      <c r="AF520" s="600"/>
      <c r="AG520" s="600"/>
      <c r="AH520" s="600"/>
      <c r="AI520" s="600"/>
      <c r="AJ520" s="600"/>
      <c r="AK520" s="600"/>
      <c r="AL520" s="600"/>
      <c r="AM520" s="600"/>
      <c r="AN520" s="482"/>
      <c r="AO520" s="600"/>
      <c r="AP520" s="600"/>
      <c r="AQ520" s="600"/>
      <c r="AR520" s="600"/>
      <c r="AS520" s="600"/>
      <c r="AT520" s="600"/>
      <c r="AU520" s="600"/>
      <c r="AV520" s="600"/>
      <c r="AW520" s="482"/>
      <c r="AX520" s="482"/>
      <c r="AY520" s="482"/>
      <c r="AZ520" s="482"/>
      <c r="BA520" s="343"/>
      <c r="BB520" s="343"/>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row>
    <row r="521" spans="1:76" s="25" customFormat="1">
      <c r="A521" s="343"/>
      <c r="B521" s="343"/>
      <c r="C521" s="64"/>
      <c r="D521" s="64"/>
      <c r="E521" s="39"/>
      <c r="F521" s="39"/>
      <c r="G521" s="39"/>
      <c r="H521" s="39"/>
      <c r="I521" s="39"/>
      <c r="J521" s="39"/>
      <c r="K521" s="39"/>
      <c r="L521" s="39"/>
      <c r="M521" s="660"/>
      <c r="N521" s="343"/>
      <c r="O521" s="343"/>
      <c r="P521" s="343"/>
      <c r="Q521" s="343"/>
      <c r="R521" s="600"/>
      <c r="S521" s="600"/>
      <c r="T521" s="600"/>
      <c r="U521" s="600"/>
      <c r="V521" s="600"/>
      <c r="W521" s="600"/>
      <c r="X521" s="600"/>
      <c r="Y521" s="600"/>
      <c r="Z521" s="600"/>
      <c r="AA521" s="482"/>
      <c r="AB521" s="482"/>
      <c r="AC521" s="482"/>
      <c r="AD521" s="600">
        <v>510</v>
      </c>
      <c r="AE521" s="482"/>
      <c r="AF521" s="600"/>
      <c r="AG521" s="600"/>
      <c r="AH521" s="600"/>
      <c r="AI521" s="600"/>
      <c r="AJ521" s="600"/>
      <c r="AK521" s="600"/>
      <c r="AL521" s="600"/>
      <c r="AM521" s="600"/>
      <c r="AN521" s="482"/>
      <c r="AO521" s="600"/>
      <c r="AP521" s="600"/>
      <c r="AQ521" s="600"/>
      <c r="AR521" s="600"/>
      <c r="AS521" s="600"/>
      <c r="AT521" s="600"/>
      <c r="AU521" s="600"/>
      <c r="AV521" s="600"/>
      <c r="AW521" s="482"/>
      <c r="AX521" s="482"/>
      <c r="AY521" s="482"/>
      <c r="AZ521" s="482"/>
      <c r="BA521" s="343"/>
      <c r="BB521" s="343"/>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row>
    <row r="522" spans="1:76" s="25" customFormat="1">
      <c r="A522" s="343"/>
      <c r="B522" s="343"/>
      <c r="C522" s="64"/>
      <c r="D522" s="64"/>
      <c r="E522" s="39"/>
      <c r="F522" s="39"/>
      <c r="G522" s="39"/>
      <c r="H522" s="39"/>
      <c r="I522" s="39"/>
      <c r="J522" s="39"/>
      <c r="K522" s="39"/>
      <c r="L522" s="39"/>
      <c r="M522" s="660"/>
      <c r="N522" s="343"/>
      <c r="O522" s="343"/>
      <c r="P522" s="343"/>
      <c r="Q522" s="343"/>
      <c r="R522" s="600"/>
      <c r="S522" s="600"/>
      <c r="T522" s="600"/>
      <c r="U522" s="600"/>
      <c r="V522" s="600"/>
      <c r="W522" s="600"/>
      <c r="X522" s="600"/>
      <c r="Y522" s="600"/>
      <c r="Z522" s="600"/>
      <c r="AA522" s="482"/>
      <c r="AB522" s="482"/>
      <c r="AC522" s="482"/>
      <c r="AD522" s="600">
        <v>511</v>
      </c>
      <c r="AE522" s="482"/>
      <c r="AF522" s="600"/>
      <c r="AG522" s="600"/>
      <c r="AH522" s="600"/>
      <c r="AI522" s="600"/>
      <c r="AJ522" s="600"/>
      <c r="AK522" s="600"/>
      <c r="AL522" s="600"/>
      <c r="AM522" s="600"/>
      <c r="AN522" s="482"/>
      <c r="AO522" s="600"/>
      <c r="AP522" s="600"/>
      <c r="AQ522" s="600"/>
      <c r="AR522" s="600"/>
      <c r="AS522" s="600"/>
      <c r="AT522" s="600"/>
      <c r="AU522" s="600"/>
      <c r="AV522" s="600"/>
      <c r="AW522" s="482"/>
      <c r="AX522" s="482"/>
      <c r="AY522" s="482"/>
      <c r="AZ522" s="482"/>
      <c r="BA522" s="343"/>
      <c r="BB522" s="343"/>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row>
    <row r="523" spans="1:76" s="25" customFormat="1">
      <c r="A523" s="343"/>
      <c r="B523" s="343"/>
      <c r="C523" s="64"/>
      <c r="D523" s="64"/>
      <c r="E523" s="39"/>
      <c r="F523" s="39"/>
      <c r="G523" s="39"/>
      <c r="H523" s="39"/>
      <c r="I523" s="39"/>
      <c r="J523" s="39"/>
      <c r="K523" s="39"/>
      <c r="L523" s="39"/>
      <c r="M523" s="660"/>
      <c r="N523" s="343"/>
      <c r="O523" s="343"/>
      <c r="P523" s="343"/>
      <c r="Q523" s="343"/>
      <c r="R523" s="600"/>
      <c r="S523" s="600"/>
      <c r="T523" s="600"/>
      <c r="U523" s="600"/>
      <c r="V523" s="600"/>
      <c r="W523" s="600"/>
      <c r="X523" s="600"/>
      <c r="Y523" s="600"/>
      <c r="Z523" s="600"/>
      <c r="AA523" s="482"/>
      <c r="AB523" s="482"/>
      <c r="AC523" s="482"/>
      <c r="AD523" s="600">
        <v>512</v>
      </c>
      <c r="AE523" s="482"/>
      <c r="AF523" s="600"/>
      <c r="AG523" s="600"/>
      <c r="AH523" s="600"/>
      <c r="AI523" s="600"/>
      <c r="AJ523" s="600"/>
      <c r="AK523" s="600"/>
      <c r="AL523" s="600"/>
      <c r="AM523" s="600"/>
      <c r="AN523" s="482"/>
      <c r="AO523" s="600"/>
      <c r="AP523" s="600"/>
      <c r="AQ523" s="600"/>
      <c r="AR523" s="600"/>
      <c r="AS523" s="600"/>
      <c r="AT523" s="600"/>
      <c r="AU523" s="600"/>
      <c r="AV523" s="600"/>
      <c r="AW523" s="482"/>
      <c r="AX523" s="482"/>
      <c r="AY523" s="482"/>
      <c r="AZ523" s="482"/>
      <c r="BA523" s="343"/>
      <c r="BB523" s="343"/>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row>
    <row r="524" spans="1:76" s="25" customFormat="1">
      <c r="A524" s="343"/>
      <c r="B524" s="343"/>
      <c r="C524" s="64"/>
      <c r="D524" s="64"/>
      <c r="E524" s="39"/>
      <c r="F524" s="39"/>
      <c r="G524" s="39"/>
      <c r="H524" s="39"/>
      <c r="I524" s="39"/>
      <c r="J524" s="39"/>
      <c r="K524" s="39"/>
      <c r="L524" s="39"/>
      <c r="M524" s="660"/>
      <c r="N524" s="343"/>
      <c r="O524" s="343"/>
      <c r="P524" s="343"/>
      <c r="Q524" s="343"/>
      <c r="R524" s="600"/>
      <c r="S524" s="600"/>
      <c r="T524" s="600"/>
      <c r="U524" s="600"/>
      <c r="V524" s="600"/>
      <c r="W524" s="600"/>
      <c r="X524" s="600"/>
      <c r="Y524" s="600"/>
      <c r="Z524" s="600"/>
      <c r="AA524" s="482"/>
      <c r="AB524" s="482"/>
      <c r="AC524" s="482"/>
      <c r="AD524" s="600">
        <v>513</v>
      </c>
      <c r="AE524" s="482"/>
      <c r="AF524" s="600"/>
      <c r="AG524" s="600"/>
      <c r="AH524" s="600"/>
      <c r="AI524" s="600"/>
      <c r="AJ524" s="600"/>
      <c r="AK524" s="600"/>
      <c r="AL524" s="600"/>
      <c r="AM524" s="600"/>
      <c r="AN524" s="482"/>
      <c r="AO524" s="600"/>
      <c r="AP524" s="600"/>
      <c r="AQ524" s="600"/>
      <c r="AR524" s="600"/>
      <c r="AS524" s="600"/>
      <c r="AT524" s="600"/>
      <c r="AU524" s="600"/>
      <c r="AV524" s="600"/>
      <c r="AW524" s="482"/>
      <c r="AX524" s="482"/>
      <c r="AY524" s="482"/>
      <c r="AZ524" s="482"/>
      <c r="BA524" s="343"/>
      <c r="BB524" s="343"/>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row>
    <row r="525" spans="1:76" s="25" customFormat="1">
      <c r="A525" s="343"/>
      <c r="B525" s="343"/>
      <c r="C525" s="64"/>
      <c r="D525" s="64"/>
      <c r="E525" s="39"/>
      <c r="F525" s="39"/>
      <c r="G525" s="39"/>
      <c r="H525" s="39"/>
      <c r="I525" s="39"/>
      <c r="J525" s="39"/>
      <c r="K525" s="39"/>
      <c r="L525" s="39"/>
      <c r="M525" s="660"/>
      <c r="N525" s="343"/>
      <c r="O525" s="343"/>
      <c r="P525" s="343"/>
      <c r="Q525" s="343"/>
      <c r="R525" s="600"/>
      <c r="S525" s="600"/>
      <c r="T525" s="600"/>
      <c r="U525" s="600"/>
      <c r="V525" s="600"/>
      <c r="W525" s="600"/>
      <c r="X525" s="600"/>
      <c r="Y525" s="600"/>
      <c r="Z525" s="600"/>
      <c r="AA525" s="482"/>
      <c r="AB525" s="482"/>
      <c r="AC525" s="482"/>
      <c r="AD525" s="600">
        <v>514</v>
      </c>
      <c r="AE525" s="482"/>
      <c r="AF525" s="600"/>
      <c r="AG525" s="600"/>
      <c r="AH525" s="600"/>
      <c r="AI525" s="600"/>
      <c r="AJ525" s="600"/>
      <c r="AK525" s="600"/>
      <c r="AL525" s="600"/>
      <c r="AM525" s="600"/>
      <c r="AN525" s="482"/>
      <c r="AO525" s="600"/>
      <c r="AP525" s="600"/>
      <c r="AQ525" s="600"/>
      <c r="AR525" s="600"/>
      <c r="AS525" s="600"/>
      <c r="AT525" s="600"/>
      <c r="AU525" s="600"/>
      <c r="AV525" s="600"/>
      <c r="AW525" s="482"/>
      <c r="AX525" s="482"/>
      <c r="AY525" s="482"/>
      <c r="AZ525" s="482"/>
      <c r="BA525" s="343"/>
      <c r="BB525" s="343"/>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row>
    <row r="526" spans="1:76" s="25" customFormat="1">
      <c r="A526" s="343"/>
      <c r="B526" s="343"/>
      <c r="C526" s="64"/>
      <c r="D526" s="64"/>
      <c r="E526" s="39"/>
      <c r="F526" s="39"/>
      <c r="G526" s="39"/>
      <c r="H526" s="39"/>
      <c r="I526" s="39"/>
      <c r="J526" s="39"/>
      <c r="K526" s="39"/>
      <c r="L526" s="39"/>
      <c r="M526" s="660"/>
      <c r="N526" s="343"/>
      <c r="O526" s="343"/>
      <c r="P526" s="343"/>
      <c r="Q526" s="343"/>
      <c r="R526" s="600"/>
      <c r="S526" s="600"/>
      <c r="T526" s="600"/>
      <c r="U526" s="600"/>
      <c r="V526" s="600"/>
      <c r="W526" s="600"/>
      <c r="X526" s="600"/>
      <c r="Y526" s="600"/>
      <c r="Z526" s="600"/>
      <c r="AA526" s="482"/>
      <c r="AB526" s="482"/>
      <c r="AC526" s="482"/>
      <c r="AD526" s="600">
        <v>515</v>
      </c>
      <c r="AE526" s="482"/>
      <c r="AF526" s="600"/>
      <c r="AG526" s="600"/>
      <c r="AH526" s="600"/>
      <c r="AI526" s="600"/>
      <c r="AJ526" s="600"/>
      <c r="AK526" s="600"/>
      <c r="AL526" s="600"/>
      <c r="AM526" s="600"/>
      <c r="AN526" s="482"/>
      <c r="AO526" s="600"/>
      <c r="AP526" s="600"/>
      <c r="AQ526" s="600"/>
      <c r="AR526" s="600"/>
      <c r="AS526" s="600"/>
      <c r="AT526" s="600"/>
      <c r="AU526" s="600"/>
      <c r="AV526" s="600"/>
      <c r="AW526" s="482"/>
      <c r="AX526" s="482"/>
      <c r="AY526" s="482"/>
      <c r="AZ526" s="482"/>
      <c r="BA526" s="343"/>
      <c r="BB526" s="343"/>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row>
    <row r="527" spans="1:76" s="25" customFormat="1">
      <c r="A527" s="343"/>
      <c r="B527" s="343"/>
      <c r="C527" s="64"/>
      <c r="D527" s="64"/>
      <c r="E527" s="39"/>
      <c r="F527" s="39"/>
      <c r="G527" s="39"/>
      <c r="H527" s="39"/>
      <c r="I527" s="39"/>
      <c r="J527" s="39"/>
      <c r="K527" s="39"/>
      <c r="L527" s="39"/>
      <c r="M527" s="660"/>
      <c r="N527" s="343"/>
      <c r="O527" s="343"/>
      <c r="P527" s="343"/>
      <c r="Q527" s="343"/>
      <c r="R527" s="600"/>
      <c r="S527" s="600"/>
      <c r="T527" s="600"/>
      <c r="U527" s="600"/>
      <c r="V527" s="600"/>
      <c r="W527" s="600"/>
      <c r="X527" s="600"/>
      <c r="Y527" s="600"/>
      <c r="Z527" s="600"/>
      <c r="AA527" s="482"/>
      <c r="AB527" s="482"/>
      <c r="AC527" s="482"/>
      <c r="AD527" s="600">
        <v>516</v>
      </c>
      <c r="AE527" s="482"/>
      <c r="AF527" s="600"/>
      <c r="AG527" s="600"/>
      <c r="AH527" s="600"/>
      <c r="AI527" s="600"/>
      <c r="AJ527" s="600"/>
      <c r="AK527" s="600"/>
      <c r="AL527" s="600"/>
      <c r="AM527" s="600"/>
      <c r="AN527" s="482"/>
      <c r="AO527" s="600"/>
      <c r="AP527" s="600"/>
      <c r="AQ527" s="600"/>
      <c r="AR527" s="600"/>
      <c r="AS527" s="600"/>
      <c r="AT527" s="600"/>
      <c r="AU527" s="600"/>
      <c r="AV527" s="600"/>
      <c r="AW527" s="482"/>
      <c r="AX527" s="482"/>
      <c r="AY527" s="482"/>
      <c r="AZ527" s="482"/>
      <c r="BA527" s="343"/>
      <c r="BB527" s="343"/>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row>
    <row r="528" spans="1:76" s="25" customFormat="1">
      <c r="A528" s="343"/>
      <c r="B528" s="343"/>
      <c r="C528" s="64"/>
      <c r="D528" s="64"/>
      <c r="E528" s="39"/>
      <c r="F528" s="39"/>
      <c r="G528" s="39"/>
      <c r="H528" s="39"/>
      <c r="I528" s="39"/>
      <c r="J528" s="39"/>
      <c r="K528" s="39"/>
      <c r="L528" s="39"/>
      <c r="M528" s="660"/>
      <c r="N528" s="343"/>
      <c r="O528" s="343"/>
      <c r="P528" s="343"/>
      <c r="Q528" s="343"/>
      <c r="R528" s="600"/>
      <c r="S528" s="600"/>
      <c r="T528" s="600"/>
      <c r="U528" s="600"/>
      <c r="V528" s="600"/>
      <c r="W528" s="600"/>
      <c r="X528" s="600"/>
      <c r="Y528" s="600"/>
      <c r="Z528" s="600"/>
      <c r="AA528" s="482"/>
      <c r="AB528" s="482"/>
      <c r="AC528" s="482"/>
      <c r="AD528" s="600">
        <v>517</v>
      </c>
      <c r="AE528" s="482"/>
      <c r="AF528" s="600"/>
      <c r="AG528" s="600"/>
      <c r="AH528" s="600"/>
      <c r="AI528" s="600"/>
      <c r="AJ528" s="600"/>
      <c r="AK528" s="600"/>
      <c r="AL528" s="600"/>
      <c r="AM528" s="600"/>
      <c r="AN528" s="482"/>
      <c r="AO528" s="600"/>
      <c r="AP528" s="600"/>
      <c r="AQ528" s="600"/>
      <c r="AR528" s="600"/>
      <c r="AS528" s="600"/>
      <c r="AT528" s="600"/>
      <c r="AU528" s="600"/>
      <c r="AV528" s="600"/>
      <c r="AW528" s="482"/>
      <c r="AX528" s="482"/>
      <c r="AY528" s="482"/>
      <c r="AZ528" s="482"/>
      <c r="BA528" s="343"/>
      <c r="BB528" s="343"/>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row>
    <row r="529" spans="1:76" s="25" customFormat="1">
      <c r="A529" s="343"/>
      <c r="B529" s="343"/>
      <c r="C529" s="64"/>
      <c r="D529" s="64"/>
      <c r="E529" s="39"/>
      <c r="F529" s="39"/>
      <c r="G529" s="39"/>
      <c r="H529" s="39"/>
      <c r="I529" s="39"/>
      <c r="J529" s="39"/>
      <c r="K529" s="39"/>
      <c r="L529" s="39"/>
      <c r="M529" s="660"/>
      <c r="N529" s="343"/>
      <c r="O529" s="343"/>
      <c r="P529" s="343"/>
      <c r="Q529" s="343"/>
      <c r="R529" s="600"/>
      <c r="S529" s="600"/>
      <c r="T529" s="600"/>
      <c r="U529" s="600"/>
      <c r="V529" s="600"/>
      <c r="W529" s="600"/>
      <c r="X529" s="600"/>
      <c r="Y529" s="600"/>
      <c r="Z529" s="600"/>
      <c r="AA529" s="482"/>
      <c r="AB529" s="482"/>
      <c r="AC529" s="482"/>
      <c r="AD529" s="600">
        <v>518</v>
      </c>
      <c r="AE529" s="482"/>
      <c r="AF529" s="600"/>
      <c r="AG529" s="600"/>
      <c r="AH529" s="600"/>
      <c r="AI529" s="600"/>
      <c r="AJ529" s="600"/>
      <c r="AK529" s="600"/>
      <c r="AL529" s="600"/>
      <c r="AM529" s="600"/>
      <c r="AN529" s="482"/>
      <c r="AO529" s="600"/>
      <c r="AP529" s="600"/>
      <c r="AQ529" s="600"/>
      <c r="AR529" s="600"/>
      <c r="AS529" s="600"/>
      <c r="AT529" s="600"/>
      <c r="AU529" s="600"/>
      <c r="AV529" s="600"/>
      <c r="AW529" s="482"/>
      <c r="AX529" s="482"/>
      <c r="AY529" s="482"/>
      <c r="AZ529" s="482"/>
      <c r="BA529" s="343"/>
      <c r="BB529" s="343"/>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row>
    <row r="530" spans="1:76" s="25" customFormat="1">
      <c r="A530" s="343"/>
      <c r="B530" s="343"/>
      <c r="C530" s="64"/>
      <c r="D530" s="64"/>
      <c r="E530" s="39"/>
      <c r="F530" s="39"/>
      <c r="G530" s="39"/>
      <c r="H530" s="39"/>
      <c r="I530" s="39"/>
      <c r="J530" s="39"/>
      <c r="K530" s="39"/>
      <c r="L530" s="39"/>
      <c r="M530" s="660"/>
      <c r="N530" s="343"/>
      <c r="O530" s="343"/>
      <c r="P530" s="343"/>
      <c r="Q530" s="343"/>
      <c r="R530" s="600"/>
      <c r="S530" s="600"/>
      <c r="T530" s="600"/>
      <c r="U530" s="600"/>
      <c r="V530" s="600"/>
      <c r="W530" s="600"/>
      <c r="X530" s="600"/>
      <c r="Y530" s="600"/>
      <c r="Z530" s="600"/>
      <c r="AA530" s="482"/>
      <c r="AB530" s="482"/>
      <c r="AC530" s="482"/>
      <c r="AD530" s="600">
        <v>519</v>
      </c>
      <c r="AE530" s="482"/>
      <c r="AF530" s="600"/>
      <c r="AG530" s="600"/>
      <c r="AH530" s="600"/>
      <c r="AI530" s="600"/>
      <c r="AJ530" s="600"/>
      <c r="AK530" s="600"/>
      <c r="AL530" s="600"/>
      <c r="AM530" s="600"/>
      <c r="AN530" s="482"/>
      <c r="AO530" s="600"/>
      <c r="AP530" s="600"/>
      <c r="AQ530" s="600"/>
      <c r="AR530" s="600"/>
      <c r="AS530" s="600"/>
      <c r="AT530" s="600"/>
      <c r="AU530" s="600"/>
      <c r="AV530" s="600"/>
      <c r="AW530" s="482"/>
      <c r="AX530" s="482"/>
      <c r="AY530" s="482"/>
      <c r="AZ530" s="482"/>
      <c r="BA530" s="343"/>
      <c r="BB530" s="343"/>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row>
    <row r="531" spans="1:76" s="25" customFormat="1">
      <c r="A531" s="343"/>
      <c r="B531" s="343"/>
      <c r="C531" s="64"/>
      <c r="D531" s="64"/>
      <c r="E531" s="39"/>
      <c r="F531" s="39"/>
      <c r="G531" s="39"/>
      <c r="H531" s="39"/>
      <c r="I531" s="39"/>
      <c r="J531" s="39"/>
      <c r="K531" s="39"/>
      <c r="L531" s="39"/>
      <c r="M531" s="660"/>
      <c r="N531" s="343"/>
      <c r="O531" s="343"/>
      <c r="P531" s="343"/>
      <c r="Q531" s="343"/>
      <c r="R531" s="600"/>
      <c r="S531" s="600"/>
      <c r="T531" s="600"/>
      <c r="U531" s="600"/>
      <c r="V531" s="600"/>
      <c r="W531" s="600"/>
      <c r="X531" s="600"/>
      <c r="Y531" s="600"/>
      <c r="Z531" s="600"/>
      <c r="AA531" s="482"/>
      <c r="AB531" s="482"/>
      <c r="AC531" s="482"/>
      <c r="AD531" s="600">
        <v>520</v>
      </c>
      <c r="AE531" s="482"/>
      <c r="AF531" s="600"/>
      <c r="AG531" s="600"/>
      <c r="AH531" s="600"/>
      <c r="AI531" s="600"/>
      <c r="AJ531" s="600"/>
      <c r="AK531" s="600"/>
      <c r="AL531" s="600"/>
      <c r="AM531" s="600"/>
      <c r="AN531" s="482"/>
      <c r="AO531" s="600"/>
      <c r="AP531" s="600"/>
      <c r="AQ531" s="600"/>
      <c r="AR531" s="600"/>
      <c r="AS531" s="600"/>
      <c r="AT531" s="600"/>
      <c r="AU531" s="600"/>
      <c r="AV531" s="600"/>
      <c r="AW531" s="482"/>
      <c r="AX531" s="482"/>
      <c r="AY531" s="482"/>
      <c r="AZ531" s="482"/>
      <c r="BA531" s="343"/>
      <c r="BB531" s="343"/>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row>
    <row r="532" spans="1:76" s="25" customFormat="1">
      <c r="A532" s="343"/>
      <c r="B532" s="343"/>
      <c r="C532" s="64"/>
      <c r="D532" s="64"/>
      <c r="E532" s="39"/>
      <c r="F532" s="39"/>
      <c r="G532" s="39"/>
      <c r="H532" s="39"/>
      <c r="I532" s="39"/>
      <c r="J532" s="39"/>
      <c r="K532" s="39"/>
      <c r="L532" s="39"/>
      <c r="M532" s="660"/>
      <c r="N532" s="343"/>
      <c r="O532" s="343"/>
      <c r="P532" s="343"/>
      <c r="Q532" s="343"/>
      <c r="R532" s="600"/>
      <c r="S532" s="600"/>
      <c r="T532" s="600"/>
      <c r="U532" s="600"/>
      <c r="V532" s="600"/>
      <c r="W532" s="600"/>
      <c r="X532" s="600"/>
      <c r="Y532" s="600"/>
      <c r="Z532" s="600"/>
      <c r="AA532" s="482"/>
      <c r="AB532" s="482"/>
      <c r="AC532" s="482"/>
      <c r="AD532" s="600">
        <v>521</v>
      </c>
      <c r="AE532" s="482"/>
      <c r="AF532" s="600"/>
      <c r="AG532" s="600"/>
      <c r="AH532" s="600"/>
      <c r="AI532" s="600"/>
      <c r="AJ532" s="600"/>
      <c r="AK532" s="600"/>
      <c r="AL532" s="600"/>
      <c r="AM532" s="600"/>
      <c r="AN532" s="482"/>
      <c r="AO532" s="600"/>
      <c r="AP532" s="600"/>
      <c r="AQ532" s="600"/>
      <c r="AR532" s="600"/>
      <c r="AS532" s="600"/>
      <c r="AT532" s="600"/>
      <c r="AU532" s="600"/>
      <c r="AV532" s="600"/>
      <c r="AW532" s="482"/>
      <c r="AX532" s="482"/>
      <c r="AY532" s="482"/>
      <c r="AZ532" s="482"/>
      <c r="BA532" s="343"/>
      <c r="BB532" s="343"/>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row>
    <row r="533" spans="1:76" s="25" customFormat="1">
      <c r="A533" s="343"/>
      <c r="B533" s="343"/>
      <c r="C533" s="64"/>
      <c r="D533" s="64"/>
      <c r="E533" s="39"/>
      <c r="F533" s="39"/>
      <c r="G533" s="39"/>
      <c r="H533" s="39"/>
      <c r="I533" s="39"/>
      <c r="J533" s="39"/>
      <c r="K533" s="39"/>
      <c r="L533" s="39"/>
      <c r="M533" s="660"/>
      <c r="N533" s="343"/>
      <c r="O533" s="343"/>
      <c r="P533" s="343"/>
      <c r="Q533" s="343"/>
      <c r="R533" s="600"/>
      <c r="S533" s="600"/>
      <c r="T533" s="600"/>
      <c r="U533" s="600"/>
      <c r="V533" s="600"/>
      <c r="W533" s="600"/>
      <c r="X533" s="600"/>
      <c r="Y533" s="600"/>
      <c r="Z533" s="600"/>
      <c r="AA533" s="482"/>
      <c r="AB533" s="482"/>
      <c r="AC533" s="482"/>
      <c r="AD533" s="600">
        <v>522</v>
      </c>
      <c r="AE533" s="482"/>
      <c r="AF533" s="600"/>
      <c r="AG533" s="600"/>
      <c r="AH533" s="600"/>
      <c r="AI533" s="600"/>
      <c r="AJ533" s="600"/>
      <c r="AK533" s="600"/>
      <c r="AL533" s="600"/>
      <c r="AM533" s="600"/>
      <c r="AN533" s="482"/>
      <c r="AO533" s="600"/>
      <c r="AP533" s="600"/>
      <c r="AQ533" s="600"/>
      <c r="AR533" s="600"/>
      <c r="AS533" s="600"/>
      <c r="AT533" s="600"/>
      <c r="AU533" s="600"/>
      <c r="AV533" s="600"/>
      <c r="AW533" s="482"/>
      <c r="AX533" s="482"/>
      <c r="AY533" s="482"/>
      <c r="AZ533" s="482"/>
      <c r="BA533" s="343"/>
      <c r="BB533" s="343"/>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row>
    <row r="534" spans="1:76" s="25" customFormat="1">
      <c r="A534" s="343"/>
      <c r="B534" s="343"/>
      <c r="C534" s="64"/>
      <c r="D534" s="64"/>
      <c r="E534" s="39"/>
      <c r="F534" s="39"/>
      <c r="G534" s="39"/>
      <c r="H534" s="39"/>
      <c r="I534" s="39"/>
      <c r="J534" s="39"/>
      <c r="K534" s="39"/>
      <c r="L534" s="39"/>
      <c r="M534" s="660"/>
      <c r="N534" s="343"/>
      <c r="O534" s="343"/>
      <c r="P534" s="343"/>
      <c r="Q534" s="343"/>
      <c r="R534" s="600"/>
      <c r="S534" s="600"/>
      <c r="T534" s="600"/>
      <c r="U534" s="600"/>
      <c r="V534" s="600"/>
      <c r="W534" s="600"/>
      <c r="X534" s="600"/>
      <c r="Y534" s="600"/>
      <c r="Z534" s="600"/>
      <c r="AA534" s="482"/>
      <c r="AB534" s="482"/>
      <c r="AC534" s="482"/>
      <c r="AD534" s="600">
        <v>523</v>
      </c>
      <c r="AE534" s="482"/>
      <c r="AF534" s="600"/>
      <c r="AG534" s="600"/>
      <c r="AH534" s="600"/>
      <c r="AI534" s="600"/>
      <c r="AJ534" s="600"/>
      <c r="AK534" s="600"/>
      <c r="AL534" s="600"/>
      <c r="AM534" s="600"/>
      <c r="AN534" s="482"/>
      <c r="AO534" s="600"/>
      <c r="AP534" s="600"/>
      <c r="AQ534" s="600"/>
      <c r="AR534" s="600"/>
      <c r="AS534" s="600"/>
      <c r="AT534" s="600"/>
      <c r="AU534" s="600"/>
      <c r="AV534" s="600"/>
      <c r="AW534" s="482"/>
      <c r="AX534" s="482"/>
      <c r="AY534" s="482"/>
      <c r="AZ534" s="482"/>
      <c r="BA534" s="343"/>
      <c r="BB534" s="343"/>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row>
    <row r="535" spans="1:76" s="25" customFormat="1">
      <c r="A535" s="343"/>
      <c r="B535" s="343"/>
      <c r="C535" s="64"/>
      <c r="D535" s="64"/>
      <c r="E535" s="39"/>
      <c r="F535" s="39"/>
      <c r="G535" s="39"/>
      <c r="H535" s="39"/>
      <c r="I535" s="39"/>
      <c r="J535" s="39"/>
      <c r="K535" s="39"/>
      <c r="L535" s="39"/>
      <c r="M535" s="660"/>
      <c r="N535" s="343"/>
      <c r="O535" s="343"/>
      <c r="P535" s="343"/>
      <c r="Q535" s="343"/>
      <c r="R535" s="600"/>
      <c r="S535" s="600"/>
      <c r="T535" s="600"/>
      <c r="U535" s="600"/>
      <c r="V535" s="600"/>
      <c r="W535" s="600"/>
      <c r="X535" s="600"/>
      <c r="Y535" s="600"/>
      <c r="Z535" s="600"/>
      <c r="AA535" s="482"/>
      <c r="AB535" s="482"/>
      <c r="AC535" s="482"/>
      <c r="AD535" s="600">
        <v>524</v>
      </c>
      <c r="AE535" s="482"/>
      <c r="AF535" s="600"/>
      <c r="AG535" s="600"/>
      <c r="AH535" s="600"/>
      <c r="AI535" s="600"/>
      <c r="AJ535" s="600"/>
      <c r="AK535" s="600"/>
      <c r="AL535" s="600"/>
      <c r="AM535" s="600"/>
      <c r="AN535" s="482"/>
      <c r="AO535" s="600"/>
      <c r="AP535" s="600"/>
      <c r="AQ535" s="600"/>
      <c r="AR535" s="600"/>
      <c r="AS535" s="600"/>
      <c r="AT535" s="600"/>
      <c r="AU535" s="600"/>
      <c r="AV535" s="600"/>
      <c r="AW535" s="482"/>
      <c r="AX535" s="482"/>
      <c r="AY535" s="482"/>
      <c r="AZ535" s="482"/>
      <c r="BA535" s="343"/>
      <c r="BB535" s="343"/>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row>
    <row r="536" spans="1:76" s="25" customFormat="1">
      <c r="A536" s="343"/>
      <c r="B536" s="343"/>
      <c r="C536" s="64"/>
      <c r="D536" s="64"/>
      <c r="E536" s="39"/>
      <c r="F536" s="39"/>
      <c r="G536" s="39"/>
      <c r="H536" s="39"/>
      <c r="I536" s="39"/>
      <c r="J536" s="39"/>
      <c r="K536" s="39"/>
      <c r="L536" s="39"/>
      <c r="M536" s="660"/>
      <c r="N536" s="343"/>
      <c r="O536" s="343"/>
      <c r="P536" s="343"/>
      <c r="Q536" s="343"/>
      <c r="R536" s="600"/>
      <c r="S536" s="600"/>
      <c r="T536" s="600"/>
      <c r="U536" s="600"/>
      <c r="V536" s="600"/>
      <c r="W536" s="600"/>
      <c r="X536" s="600"/>
      <c r="Y536" s="600"/>
      <c r="Z536" s="600"/>
      <c r="AA536" s="482"/>
      <c r="AB536" s="482"/>
      <c r="AC536" s="482"/>
      <c r="AD536" s="600">
        <v>525</v>
      </c>
      <c r="AE536" s="482"/>
      <c r="AF536" s="600"/>
      <c r="AG536" s="600"/>
      <c r="AH536" s="600"/>
      <c r="AI536" s="600"/>
      <c r="AJ536" s="600"/>
      <c r="AK536" s="600"/>
      <c r="AL536" s="600"/>
      <c r="AM536" s="600"/>
      <c r="AN536" s="482"/>
      <c r="AO536" s="600"/>
      <c r="AP536" s="600"/>
      <c r="AQ536" s="600"/>
      <c r="AR536" s="600"/>
      <c r="AS536" s="600"/>
      <c r="AT536" s="600"/>
      <c r="AU536" s="600"/>
      <c r="AV536" s="600"/>
      <c r="AW536" s="482"/>
      <c r="AX536" s="482"/>
      <c r="AY536" s="482"/>
      <c r="AZ536" s="482"/>
      <c r="BA536" s="343"/>
      <c r="BB536" s="343"/>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row>
    <row r="537" spans="1:76" s="25" customFormat="1">
      <c r="A537" s="343"/>
      <c r="B537" s="343"/>
      <c r="C537" s="64"/>
      <c r="D537" s="64"/>
      <c r="E537" s="39"/>
      <c r="F537" s="39"/>
      <c r="G537" s="39"/>
      <c r="H537" s="39"/>
      <c r="I537" s="39"/>
      <c r="J537" s="39"/>
      <c r="K537" s="39"/>
      <c r="L537" s="39"/>
      <c r="M537" s="660"/>
      <c r="N537" s="343"/>
      <c r="O537" s="343"/>
      <c r="P537" s="343"/>
      <c r="Q537" s="343"/>
      <c r="R537" s="600"/>
      <c r="S537" s="600"/>
      <c r="T537" s="600"/>
      <c r="U537" s="600"/>
      <c r="V537" s="600"/>
      <c r="W537" s="600"/>
      <c r="X537" s="600"/>
      <c r="Y537" s="600"/>
      <c r="Z537" s="600"/>
      <c r="AA537" s="482"/>
      <c r="AB537" s="482"/>
      <c r="AC537" s="482"/>
      <c r="AD537" s="600">
        <v>526</v>
      </c>
      <c r="AE537" s="482"/>
      <c r="AF537" s="600"/>
      <c r="AG537" s="600"/>
      <c r="AH537" s="600"/>
      <c r="AI537" s="600"/>
      <c r="AJ537" s="600"/>
      <c r="AK537" s="600"/>
      <c r="AL537" s="600"/>
      <c r="AM537" s="600"/>
      <c r="AN537" s="482"/>
      <c r="AO537" s="600"/>
      <c r="AP537" s="600"/>
      <c r="AQ537" s="600"/>
      <c r="AR537" s="600"/>
      <c r="AS537" s="600"/>
      <c r="AT537" s="600"/>
      <c r="AU537" s="600"/>
      <c r="AV537" s="600"/>
      <c r="AW537" s="482"/>
      <c r="AX537" s="482"/>
      <c r="AY537" s="482"/>
      <c r="AZ537" s="482"/>
      <c r="BA537" s="343"/>
      <c r="BB537" s="343"/>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row>
    <row r="538" spans="1:76" s="25" customFormat="1">
      <c r="A538" s="343"/>
      <c r="B538" s="343"/>
      <c r="C538" s="64"/>
      <c r="D538" s="64"/>
      <c r="E538" s="39"/>
      <c r="F538" s="39"/>
      <c r="G538" s="39"/>
      <c r="H538" s="39"/>
      <c r="I538" s="39"/>
      <c r="J538" s="39"/>
      <c r="K538" s="39"/>
      <c r="L538" s="39"/>
      <c r="M538" s="660"/>
      <c r="N538" s="343"/>
      <c r="O538" s="343"/>
      <c r="P538" s="343"/>
      <c r="Q538" s="343"/>
      <c r="R538" s="600"/>
      <c r="S538" s="600"/>
      <c r="T538" s="600"/>
      <c r="U538" s="600"/>
      <c r="V538" s="600"/>
      <c r="W538" s="600"/>
      <c r="X538" s="600"/>
      <c r="Y538" s="600"/>
      <c r="Z538" s="600"/>
      <c r="AA538" s="482"/>
      <c r="AB538" s="482"/>
      <c r="AC538" s="482"/>
      <c r="AD538" s="600">
        <v>527</v>
      </c>
      <c r="AE538" s="482"/>
      <c r="AF538" s="600"/>
      <c r="AG538" s="600"/>
      <c r="AH538" s="600"/>
      <c r="AI538" s="600"/>
      <c r="AJ538" s="600"/>
      <c r="AK538" s="600"/>
      <c r="AL538" s="600"/>
      <c r="AM538" s="600"/>
      <c r="AN538" s="482"/>
      <c r="AO538" s="600"/>
      <c r="AP538" s="600"/>
      <c r="AQ538" s="600"/>
      <c r="AR538" s="600"/>
      <c r="AS538" s="600"/>
      <c r="AT538" s="600"/>
      <c r="AU538" s="600"/>
      <c r="AV538" s="600"/>
      <c r="AW538" s="482"/>
      <c r="AX538" s="482"/>
      <c r="AY538" s="482"/>
      <c r="AZ538" s="482"/>
      <c r="BA538" s="343"/>
      <c r="BB538" s="343"/>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row>
    <row r="539" spans="1:76" s="25" customFormat="1">
      <c r="A539" s="343"/>
      <c r="B539" s="343"/>
      <c r="C539" s="64"/>
      <c r="D539" s="64"/>
      <c r="E539" s="39"/>
      <c r="F539" s="39"/>
      <c r="G539" s="39"/>
      <c r="H539" s="39"/>
      <c r="I539" s="39"/>
      <c r="J539" s="39"/>
      <c r="K539" s="39"/>
      <c r="L539" s="39"/>
      <c r="M539" s="660"/>
      <c r="N539" s="343"/>
      <c r="O539" s="343"/>
      <c r="P539" s="343"/>
      <c r="Q539" s="343"/>
      <c r="R539" s="600"/>
      <c r="S539" s="600"/>
      <c r="T539" s="600"/>
      <c r="U539" s="600"/>
      <c r="V539" s="600"/>
      <c r="W539" s="600"/>
      <c r="X539" s="600"/>
      <c r="Y539" s="600"/>
      <c r="Z539" s="600"/>
      <c r="AA539" s="482"/>
      <c r="AB539" s="482"/>
      <c r="AC539" s="482"/>
      <c r="AD539" s="600">
        <v>528</v>
      </c>
      <c r="AE539" s="482"/>
      <c r="AF539" s="600"/>
      <c r="AG539" s="600"/>
      <c r="AH539" s="600"/>
      <c r="AI539" s="600"/>
      <c r="AJ539" s="600"/>
      <c r="AK539" s="600"/>
      <c r="AL539" s="600"/>
      <c r="AM539" s="600"/>
      <c r="AN539" s="482"/>
      <c r="AO539" s="600"/>
      <c r="AP539" s="600"/>
      <c r="AQ539" s="600"/>
      <c r="AR539" s="600"/>
      <c r="AS539" s="600"/>
      <c r="AT539" s="600"/>
      <c r="AU539" s="600"/>
      <c r="AV539" s="600"/>
      <c r="AW539" s="482"/>
      <c r="AX539" s="482"/>
      <c r="AY539" s="482"/>
      <c r="AZ539" s="482"/>
      <c r="BA539" s="343"/>
      <c r="BB539" s="343"/>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row>
    <row r="540" spans="1:76" s="25" customFormat="1">
      <c r="A540" s="343"/>
      <c r="B540" s="343"/>
      <c r="C540" s="64"/>
      <c r="D540" s="64"/>
      <c r="E540" s="39"/>
      <c r="F540" s="39"/>
      <c r="G540" s="39"/>
      <c r="H540" s="39"/>
      <c r="I540" s="39"/>
      <c r="J540" s="39"/>
      <c r="K540" s="39"/>
      <c r="L540" s="39"/>
      <c r="M540" s="660"/>
      <c r="N540" s="343"/>
      <c r="O540" s="343"/>
      <c r="P540" s="343"/>
      <c r="Q540" s="343"/>
      <c r="R540" s="600"/>
      <c r="S540" s="600"/>
      <c r="T540" s="600"/>
      <c r="U540" s="600"/>
      <c r="V540" s="600"/>
      <c r="W540" s="600"/>
      <c r="X540" s="600"/>
      <c r="Y540" s="600"/>
      <c r="Z540" s="600"/>
      <c r="AA540" s="482"/>
      <c r="AB540" s="482"/>
      <c r="AC540" s="482"/>
      <c r="AD540" s="600">
        <v>529</v>
      </c>
      <c r="AE540" s="482"/>
      <c r="AF540" s="600"/>
      <c r="AG540" s="600"/>
      <c r="AH540" s="600"/>
      <c r="AI540" s="600"/>
      <c r="AJ540" s="600"/>
      <c r="AK540" s="600"/>
      <c r="AL540" s="600"/>
      <c r="AM540" s="600"/>
      <c r="AN540" s="482"/>
      <c r="AO540" s="600"/>
      <c r="AP540" s="600"/>
      <c r="AQ540" s="600"/>
      <c r="AR540" s="600"/>
      <c r="AS540" s="600"/>
      <c r="AT540" s="600"/>
      <c r="AU540" s="600"/>
      <c r="AV540" s="600"/>
      <c r="AW540" s="482"/>
      <c r="AX540" s="482"/>
      <c r="AY540" s="482"/>
      <c r="AZ540" s="482"/>
      <c r="BA540" s="343"/>
      <c r="BB540" s="343"/>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row>
    <row r="541" spans="1:76" s="25" customFormat="1">
      <c r="A541" s="343"/>
      <c r="B541" s="343"/>
      <c r="C541" s="64"/>
      <c r="D541" s="64"/>
      <c r="E541" s="39"/>
      <c r="F541" s="39"/>
      <c r="G541" s="39"/>
      <c r="H541" s="39"/>
      <c r="I541" s="39"/>
      <c r="J541" s="39"/>
      <c r="K541" s="39"/>
      <c r="L541" s="39"/>
      <c r="M541" s="660"/>
      <c r="N541" s="343"/>
      <c r="O541" s="343"/>
      <c r="P541" s="343"/>
      <c r="Q541" s="343"/>
      <c r="R541" s="600"/>
      <c r="S541" s="600"/>
      <c r="T541" s="600"/>
      <c r="U541" s="600"/>
      <c r="V541" s="600"/>
      <c r="W541" s="600"/>
      <c r="X541" s="600"/>
      <c r="Y541" s="600"/>
      <c r="Z541" s="600"/>
      <c r="AA541" s="482"/>
      <c r="AB541" s="482"/>
      <c r="AC541" s="482"/>
      <c r="AD541" s="600">
        <v>530</v>
      </c>
      <c r="AE541" s="482"/>
      <c r="AF541" s="600"/>
      <c r="AG541" s="600"/>
      <c r="AH541" s="600"/>
      <c r="AI541" s="600"/>
      <c r="AJ541" s="600"/>
      <c r="AK541" s="600"/>
      <c r="AL541" s="600"/>
      <c r="AM541" s="600"/>
      <c r="AN541" s="482"/>
      <c r="AO541" s="600"/>
      <c r="AP541" s="600"/>
      <c r="AQ541" s="600"/>
      <c r="AR541" s="600"/>
      <c r="AS541" s="600"/>
      <c r="AT541" s="600"/>
      <c r="AU541" s="600"/>
      <c r="AV541" s="600"/>
      <c r="AW541" s="482"/>
      <c r="AX541" s="482"/>
      <c r="AY541" s="482"/>
      <c r="AZ541" s="482"/>
      <c r="BA541" s="343"/>
      <c r="BB541" s="343"/>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row>
    <row r="542" spans="1:76" s="25" customFormat="1">
      <c r="A542" s="343"/>
      <c r="B542" s="343"/>
      <c r="C542" s="64"/>
      <c r="D542" s="64"/>
      <c r="E542" s="39"/>
      <c r="F542" s="39"/>
      <c r="G542" s="39"/>
      <c r="H542" s="39"/>
      <c r="I542" s="39"/>
      <c r="J542" s="39"/>
      <c r="K542" s="39"/>
      <c r="L542" s="39"/>
      <c r="M542" s="660"/>
      <c r="N542" s="343"/>
      <c r="O542" s="343"/>
      <c r="P542" s="343"/>
      <c r="Q542" s="343"/>
      <c r="R542" s="600"/>
      <c r="S542" s="600"/>
      <c r="T542" s="600"/>
      <c r="U542" s="600"/>
      <c r="V542" s="600"/>
      <c r="W542" s="600"/>
      <c r="X542" s="600"/>
      <c r="Y542" s="600"/>
      <c r="Z542" s="600"/>
      <c r="AA542" s="482"/>
      <c r="AB542" s="482"/>
      <c r="AC542" s="482"/>
      <c r="AD542" s="600">
        <v>531</v>
      </c>
      <c r="AE542" s="482"/>
      <c r="AF542" s="600"/>
      <c r="AG542" s="600"/>
      <c r="AH542" s="600"/>
      <c r="AI542" s="600"/>
      <c r="AJ542" s="600"/>
      <c r="AK542" s="600"/>
      <c r="AL542" s="600"/>
      <c r="AM542" s="600"/>
      <c r="AN542" s="482"/>
      <c r="AO542" s="600"/>
      <c r="AP542" s="600"/>
      <c r="AQ542" s="600"/>
      <c r="AR542" s="600"/>
      <c r="AS542" s="600"/>
      <c r="AT542" s="600"/>
      <c r="AU542" s="600"/>
      <c r="AV542" s="600"/>
      <c r="AW542" s="482"/>
      <c r="AX542" s="482"/>
      <c r="AY542" s="482"/>
      <c r="AZ542" s="482"/>
      <c r="BA542" s="343"/>
      <c r="BB542" s="343"/>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row>
    <row r="543" spans="1:76" s="25" customFormat="1">
      <c r="A543" s="343"/>
      <c r="B543" s="343"/>
      <c r="C543" s="64"/>
      <c r="D543" s="64"/>
      <c r="E543" s="39"/>
      <c r="F543" s="39"/>
      <c r="G543" s="39"/>
      <c r="H543" s="39"/>
      <c r="I543" s="39"/>
      <c r="J543" s="39"/>
      <c r="K543" s="39"/>
      <c r="L543" s="39"/>
      <c r="M543" s="660"/>
      <c r="N543" s="343"/>
      <c r="O543" s="343"/>
      <c r="P543" s="343"/>
      <c r="Q543" s="343"/>
      <c r="R543" s="600"/>
      <c r="S543" s="600"/>
      <c r="T543" s="600"/>
      <c r="U543" s="600"/>
      <c r="V543" s="600"/>
      <c r="W543" s="600"/>
      <c r="X543" s="600"/>
      <c r="Y543" s="600"/>
      <c r="Z543" s="600"/>
      <c r="AA543" s="482"/>
      <c r="AB543" s="482"/>
      <c r="AC543" s="482"/>
      <c r="AD543" s="600">
        <v>532</v>
      </c>
      <c r="AE543" s="482"/>
      <c r="AF543" s="600"/>
      <c r="AG543" s="600"/>
      <c r="AH543" s="600"/>
      <c r="AI543" s="600"/>
      <c r="AJ543" s="600"/>
      <c r="AK543" s="600"/>
      <c r="AL543" s="600"/>
      <c r="AM543" s="600"/>
      <c r="AN543" s="482"/>
      <c r="AO543" s="600"/>
      <c r="AP543" s="600"/>
      <c r="AQ543" s="600"/>
      <c r="AR543" s="600"/>
      <c r="AS543" s="600"/>
      <c r="AT543" s="600"/>
      <c r="AU543" s="600"/>
      <c r="AV543" s="600"/>
      <c r="AW543" s="482"/>
      <c r="AX543" s="482"/>
      <c r="AY543" s="482"/>
      <c r="AZ543" s="482"/>
      <c r="BA543" s="343"/>
      <c r="BB543" s="343"/>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row>
    <row r="544" spans="1:76" s="25" customFormat="1">
      <c r="A544" s="343"/>
      <c r="B544" s="343"/>
      <c r="C544" s="64"/>
      <c r="D544" s="64"/>
      <c r="E544" s="39"/>
      <c r="F544" s="39"/>
      <c r="G544" s="39"/>
      <c r="H544" s="39"/>
      <c r="I544" s="39"/>
      <c r="J544" s="39"/>
      <c r="K544" s="39"/>
      <c r="L544" s="39"/>
      <c r="M544" s="660"/>
      <c r="N544" s="343"/>
      <c r="O544" s="343"/>
      <c r="P544" s="343"/>
      <c r="Q544" s="343"/>
      <c r="R544" s="600"/>
      <c r="S544" s="600"/>
      <c r="T544" s="600"/>
      <c r="U544" s="600"/>
      <c r="V544" s="600"/>
      <c r="W544" s="600"/>
      <c r="X544" s="600"/>
      <c r="Y544" s="600"/>
      <c r="Z544" s="600"/>
      <c r="AA544" s="482"/>
      <c r="AB544" s="482"/>
      <c r="AC544" s="482"/>
      <c r="AD544" s="600">
        <v>533</v>
      </c>
      <c r="AE544" s="482"/>
      <c r="AF544" s="600"/>
      <c r="AG544" s="600"/>
      <c r="AH544" s="600"/>
      <c r="AI544" s="600"/>
      <c r="AJ544" s="600"/>
      <c r="AK544" s="600"/>
      <c r="AL544" s="600"/>
      <c r="AM544" s="600"/>
      <c r="AN544" s="482"/>
      <c r="AO544" s="600"/>
      <c r="AP544" s="600"/>
      <c r="AQ544" s="600"/>
      <c r="AR544" s="600"/>
      <c r="AS544" s="600"/>
      <c r="AT544" s="600"/>
      <c r="AU544" s="600"/>
      <c r="AV544" s="600"/>
      <c r="AW544" s="482"/>
      <c r="AX544" s="482"/>
      <c r="AY544" s="482"/>
      <c r="AZ544" s="482"/>
      <c r="BA544" s="343"/>
      <c r="BB544" s="343"/>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row>
    <row r="545" spans="1:76" s="25" customFormat="1">
      <c r="A545" s="343"/>
      <c r="B545" s="343"/>
      <c r="C545" s="64"/>
      <c r="D545" s="64"/>
      <c r="E545" s="39"/>
      <c r="F545" s="39"/>
      <c r="G545" s="39"/>
      <c r="H545" s="39"/>
      <c r="I545" s="39"/>
      <c r="J545" s="39"/>
      <c r="K545" s="39"/>
      <c r="L545" s="39"/>
      <c r="M545" s="660"/>
      <c r="N545" s="343"/>
      <c r="O545" s="343"/>
      <c r="P545" s="343"/>
      <c r="Q545" s="343"/>
      <c r="R545" s="600"/>
      <c r="S545" s="600"/>
      <c r="T545" s="600"/>
      <c r="U545" s="600"/>
      <c r="V545" s="600"/>
      <c r="W545" s="600"/>
      <c r="X545" s="600"/>
      <c r="Y545" s="600"/>
      <c r="Z545" s="600"/>
      <c r="AA545" s="482"/>
      <c r="AB545" s="482"/>
      <c r="AC545" s="482"/>
      <c r="AD545" s="600">
        <v>534</v>
      </c>
      <c r="AE545" s="482"/>
      <c r="AF545" s="600"/>
      <c r="AG545" s="600"/>
      <c r="AH545" s="600"/>
      <c r="AI545" s="600"/>
      <c r="AJ545" s="600"/>
      <c r="AK545" s="600"/>
      <c r="AL545" s="600"/>
      <c r="AM545" s="600"/>
      <c r="AN545" s="482"/>
      <c r="AO545" s="600"/>
      <c r="AP545" s="600"/>
      <c r="AQ545" s="600"/>
      <c r="AR545" s="600"/>
      <c r="AS545" s="600"/>
      <c r="AT545" s="600"/>
      <c r="AU545" s="600"/>
      <c r="AV545" s="600"/>
      <c r="AW545" s="482"/>
      <c r="AX545" s="482"/>
      <c r="AY545" s="482"/>
      <c r="AZ545" s="482"/>
      <c r="BA545" s="343"/>
      <c r="BB545" s="343"/>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row>
    <row r="546" spans="1:76" s="25" customFormat="1">
      <c r="A546" s="343"/>
      <c r="B546" s="343"/>
      <c r="C546" s="64"/>
      <c r="D546" s="64"/>
      <c r="E546" s="39"/>
      <c r="F546" s="39"/>
      <c r="G546" s="39"/>
      <c r="H546" s="39"/>
      <c r="I546" s="39"/>
      <c r="J546" s="39"/>
      <c r="K546" s="39"/>
      <c r="L546" s="39"/>
      <c r="M546" s="660"/>
      <c r="N546" s="343"/>
      <c r="O546" s="343"/>
      <c r="P546" s="343"/>
      <c r="Q546" s="343"/>
      <c r="R546" s="600"/>
      <c r="S546" s="600"/>
      <c r="T546" s="600"/>
      <c r="U546" s="600"/>
      <c r="V546" s="600"/>
      <c r="W546" s="600"/>
      <c r="X546" s="600"/>
      <c r="Y546" s="600"/>
      <c r="Z546" s="600"/>
      <c r="AA546" s="482"/>
      <c r="AB546" s="482"/>
      <c r="AC546" s="482"/>
      <c r="AD546" s="600">
        <v>535</v>
      </c>
      <c r="AE546" s="482"/>
      <c r="AF546" s="600"/>
      <c r="AG546" s="600"/>
      <c r="AH546" s="600"/>
      <c r="AI546" s="600"/>
      <c r="AJ546" s="600"/>
      <c r="AK546" s="600"/>
      <c r="AL546" s="600"/>
      <c r="AM546" s="600"/>
      <c r="AN546" s="482"/>
      <c r="AO546" s="600"/>
      <c r="AP546" s="600"/>
      <c r="AQ546" s="600"/>
      <c r="AR546" s="600"/>
      <c r="AS546" s="600"/>
      <c r="AT546" s="600"/>
      <c r="AU546" s="600"/>
      <c r="AV546" s="600"/>
      <c r="AW546" s="482"/>
      <c r="AX546" s="482"/>
      <c r="AY546" s="482"/>
      <c r="AZ546" s="482"/>
      <c r="BA546" s="343"/>
      <c r="BB546" s="343"/>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row>
    <row r="547" spans="1:76" s="25" customFormat="1">
      <c r="A547" s="343"/>
      <c r="B547" s="343"/>
      <c r="C547" s="64"/>
      <c r="D547" s="64"/>
      <c r="E547" s="39"/>
      <c r="F547" s="39"/>
      <c r="G547" s="39"/>
      <c r="H547" s="39"/>
      <c r="I547" s="39"/>
      <c r="J547" s="39"/>
      <c r="K547" s="39"/>
      <c r="L547" s="39"/>
      <c r="M547" s="660"/>
      <c r="N547" s="343"/>
      <c r="O547" s="343"/>
      <c r="P547" s="343"/>
      <c r="Q547" s="343"/>
      <c r="R547" s="600"/>
      <c r="S547" s="600"/>
      <c r="T547" s="600"/>
      <c r="U547" s="600"/>
      <c r="V547" s="600"/>
      <c r="W547" s="600"/>
      <c r="X547" s="600"/>
      <c r="Y547" s="600"/>
      <c r="Z547" s="600"/>
      <c r="AA547" s="482"/>
      <c r="AB547" s="482"/>
      <c r="AC547" s="482"/>
      <c r="AD547" s="600">
        <v>536</v>
      </c>
      <c r="AE547" s="482"/>
      <c r="AF547" s="600"/>
      <c r="AG547" s="600"/>
      <c r="AH547" s="600"/>
      <c r="AI547" s="600"/>
      <c r="AJ547" s="600"/>
      <c r="AK547" s="600"/>
      <c r="AL547" s="600"/>
      <c r="AM547" s="600"/>
      <c r="AN547" s="482"/>
      <c r="AO547" s="600"/>
      <c r="AP547" s="600"/>
      <c r="AQ547" s="600"/>
      <c r="AR547" s="600"/>
      <c r="AS547" s="600"/>
      <c r="AT547" s="600"/>
      <c r="AU547" s="600"/>
      <c r="AV547" s="600"/>
      <c r="AW547" s="482"/>
      <c r="AX547" s="482"/>
      <c r="AY547" s="482"/>
      <c r="AZ547" s="482"/>
      <c r="BA547" s="343"/>
      <c r="BB547" s="343"/>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row>
    <row r="548" spans="1:76" s="25" customFormat="1">
      <c r="A548" s="343"/>
      <c r="B548" s="343"/>
      <c r="C548" s="64"/>
      <c r="D548" s="64"/>
      <c r="E548" s="39"/>
      <c r="F548" s="39"/>
      <c r="G548" s="39"/>
      <c r="H548" s="39"/>
      <c r="I548" s="39"/>
      <c r="J548" s="39"/>
      <c r="K548" s="39"/>
      <c r="L548" s="39"/>
      <c r="M548" s="660"/>
      <c r="N548" s="343"/>
      <c r="O548" s="343"/>
      <c r="P548" s="343"/>
      <c r="Q548" s="343"/>
      <c r="R548" s="600"/>
      <c r="S548" s="600"/>
      <c r="T548" s="600"/>
      <c r="U548" s="600"/>
      <c r="V548" s="600"/>
      <c r="W548" s="600"/>
      <c r="X548" s="600"/>
      <c r="Y548" s="600"/>
      <c r="Z548" s="600"/>
      <c r="AA548" s="482"/>
      <c r="AB548" s="482"/>
      <c r="AC548" s="482"/>
      <c r="AD548" s="600">
        <v>537</v>
      </c>
      <c r="AE548" s="482"/>
      <c r="AF548" s="600"/>
      <c r="AG548" s="600"/>
      <c r="AH548" s="600"/>
      <c r="AI548" s="600"/>
      <c r="AJ548" s="600"/>
      <c r="AK548" s="600"/>
      <c r="AL548" s="600"/>
      <c r="AM548" s="600"/>
      <c r="AN548" s="482"/>
      <c r="AO548" s="600"/>
      <c r="AP548" s="600"/>
      <c r="AQ548" s="600"/>
      <c r="AR548" s="600"/>
      <c r="AS548" s="600"/>
      <c r="AT548" s="600"/>
      <c r="AU548" s="600"/>
      <c r="AV548" s="600"/>
      <c r="AW548" s="482"/>
      <c r="AX548" s="482"/>
      <c r="AY548" s="482"/>
      <c r="AZ548" s="482"/>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row>
    <row r="549" spans="1:76" s="25" customFormat="1">
      <c r="A549" s="343"/>
      <c r="B549" s="343"/>
      <c r="C549" s="64"/>
      <c r="D549" s="64"/>
      <c r="E549" s="39"/>
      <c r="F549" s="39"/>
      <c r="G549" s="39"/>
      <c r="H549" s="39"/>
      <c r="I549" s="39"/>
      <c r="J549" s="39"/>
      <c r="K549" s="39"/>
      <c r="L549" s="39"/>
      <c r="M549" s="660"/>
      <c r="N549" s="343"/>
      <c r="O549" s="343"/>
      <c r="P549" s="343"/>
      <c r="Q549" s="343"/>
      <c r="R549" s="600"/>
      <c r="S549" s="600"/>
      <c r="T549" s="600"/>
      <c r="U549" s="600"/>
      <c r="V549" s="600"/>
      <c r="W549" s="600"/>
      <c r="X549" s="600"/>
      <c r="Y549" s="600"/>
      <c r="Z549" s="600"/>
      <c r="AA549" s="482"/>
      <c r="AB549" s="482"/>
      <c r="AC549" s="482"/>
      <c r="AD549" s="600">
        <v>538</v>
      </c>
      <c r="AE549" s="482"/>
      <c r="AF549" s="600"/>
      <c r="AG549" s="600"/>
      <c r="AH549" s="600"/>
      <c r="AI549" s="600"/>
      <c r="AJ549" s="600"/>
      <c r="AK549" s="600"/>
      <c r="AL549" s="600"/>
      <c r="AM549" s="600"/>
      <c r="AN549" s="482"/>
      <c r="AO549" s="600"/>
      <c r="AP549" s="600"/>
      <c r="AQ549" s="600"/>
      <c r="AR549" s="600"/>
      <c r="AS549" s="600"/>
      <c r="AT549" s="600"/>
      <c r="AU549" s="600"/>
      <c r="AV549" s="600"/>
      <c r="AW549" s="482"/>
      <c r="AX549" s="482"/>
      <c r="AY549" s="482"/>
      <c r="AZ549" s="482"/>
      <c r="BA549" s="343"/>
      <c r="BB549" s="343"/>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row>
    <row r="550" spans="1:76" s="25" customFormat="1">
      <c r="A550" s="343"/>
      <c r="B550" s="343"/>
      <c r="C550" s="64"/>
      <c r="D550" s="64"/>
      <c r="E550" s="39"/>
      <c r="F550" s="39"/>
      <c r="G550" s="39"/>
      <c r="H550" s="39"/>
      <c r="I550" s="39"/>
      <c r="J550" s="39"/>
      <c r="K550" s="39"/>
      <c r="L550" s="39"/>
      <c r="M550" s="660"/>
      <c r="N550" s="343"/>
      <c r="O550" s="343"/>
      <c r="P550" s="343"/>
      <c r="Q550" s="343"/>
      <c r="R550" s="600"/>
      <c r="S550" s="600"/>
      <c r="T550" s="600"/>
      <c r="U550" s="600"/>
      <c r="V550" s="600"/>
      <c r="W550" s="600"/>
      <c r="X550" s="600"/>
      <c r="Y550" s="600"/>
      <c r="Z550" s="600"/>
      <c r="AA550" s="482"/>
      <c r="AB550" s="482"/>
      <c r="AC550" s="482"/>
      <c r="AD550" s="600">
        <v>539</v>
      </c>
      <c r="AE550" s="482"/>
      <c r="AF550" s="600"/>
      <c r="AG550" s="600"/>
      <c r="AH550" s="600"/>
      <c r="AI550" s="600"/>
      <c r="AJ550" s="600"/>
      <c r="AK550" s="600"/>
      <c r="AL550" s="600"/>
      <c r="AM550" s="600"/>
      <c r="AN550" s="482"/>
      <c r="AO550" s="600"/>
      <c r="AP550" s="600"/>
      <c r="AQ550" s="600"/>
      <c r="AR550" s="600"/>
      <c r="AS550" s="600"/>
      <c r="AT550" s="600"/>
      <c r="AU550" s="600"/>
      <c r="AV550" s="600"/>
      <c r="AW550" s="482"/>
      <c r="AX550" s="482"/>
      <c r="AY550" s="482"/>
      <c r="AZ550" s="482"/>
      <c r="BA550" s="343"/>
      <c r="BB550" s="343"/>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row>
    <row r="551" spans="1:76" s="25" customFormat="1">
      <c r="A551" s="343"/>
      <c r="B551" s="343"/>
      <c r="C551" s="64"/>
      <c r="D551" s="64"/>
      <c r="E551" s="39"/>
      <c r="F551" s="39"/>
      <c r="G551" s="39"/>
      <c r="H551" s="39"/>
      <c r="I551" s="39"/>
      <c r="J551" s="39"/>
      <c r="K551" s="39"/>
      <c r="L551" s="39"/>
      <c r="M551" s="660"/>
      <c r="N551" s="343"/>
      <c r="O551" s="343"/>
      <c r="P551" s="343"/>
      <c r="Q551" s="343"/>
      <c r="R551" s="600"/>
      <c r="S551" s="600"/>
      <c r="T551" s="600"/>
      <c r="U551" s="600"/>
      <c r="V551" s="600"/>
      <c r="W551" s="600"/>
      <c r="X551" s="600"/>
      <c r="Y551" s="600"/>
      <c r="Z551" s="600"/>
      <c r="AA551" s="482"/>
      <c r="AB551" s="482"/>
      <c r="AC551" s="482"/>
      <c r="AD551" s="600">
        <v>540</v>
      </c>
      <c r="AE551" s="482"/>
      <c r="AF551" s="600"/>
      <c r="AG551" s="600"/>
      <c r="AH551" s="600"/>
      <c r="AI551" s="600"/>
      <c r="AJ551" s="600"/>
      <c r="AK551" s="600"/>
      <c r="AL551" s="600"/>
      <c r="AM551" s="600"/>
      <c r="AN551" s="482"/>
      <c r="AO551" s="600"/>
      <c r="AP551" s="600"/>
      <c r="AQ551" s="600"/>
      <c r="AR551" s="600"/>
      <c r="AS551" s="600"/>
      <c r="AT551" s="600"/>
      <c r="AU551" s="600"/>
      <c r="AV551" s="600"/>
      <c r="AW551" s="482"/>
      <c r="AX551" s="482"/>
      <c r="AY551" s="482"/>
      <c r="AZ551" s="482"/>
      <c r="BA551" s="343"/>
      <c r="BB551" s="343"/>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row>
    <row r="552" spans="1:76" s="25" customFormat="1">
      <c r="A552" s="343"/>
      <c r="B552" s="343"/>
      <c r="C552" s="64"/>
      <c r="D552" s="64"/>
      <c r="E552" s="39"/>
      <c r="F552" s="39"/>
      <c r="G552" s="39"/>
      <c r="H552" s="39"/>
      <c r="I552" s="39"/>
      <c r="J552" s="39"/>
      <c r="K552" s="39"/>
      <c r="L552" s="39"/>
      <c r="M552" s="660"/>
      <c r="N552" s="343"/>
      <c r="O552" s="343"/>
      <c r="P552" s="343"/>
      <c r="Q552" s="343"/>
      <c r="R552" s="600"/>
      <c r="S552" s="600"/>
      <c r="T552" s="600"/>
      <c r="U552" s="600"/>
      <c r="V552" s="600"/>
      <c r="W552" s="600"/>
      <c r="X552" s="600"/>
      <c r="Y552" s="600"/>
      <c r="Z552" s="600"/>
      <c r="AA552" s="482"/>
      <c r="AB552" s="482"/>
      <c r="AC552" s="482"/>
      <c r="AD552" s="600">
        <v>541</v>
      </c>
      <c r="AE552" s="482"/>
      <c r="AF552" s="600"/>
      <c r="AG552" s="600"/>
      <c r="AH552" s="600"/>
      <c r="AI552" s="600"/>
      <c r="AJ552" s="600"/>
      <c r="AK552" s="600"/>
      <c r="AL552" s="600"/>
      <c r="AM552" s="600"/>
      <c r="AN552" s="482"/>
      <c r="AO552" s="600"/>
      <c r="AP552" s="600"/>
      <c r="AQ552" s="600"/>
      <c r="AR552" s="600"/>
      <c r="AS552" s="600"/>
      <c r="AT552" s="600"/>
      <c r="AU552" s="600"/>
      <c r="AV552" s="600"/>
      <c r="AW552" s="482"/>
      <c r="AX552" s="482"/>
      <c r="AY552" s="482"/>
      <c r="AZ552" s="482"/>
      <c r="BA552" s="343"/>
      <c r="BB552" s="343"/>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row>
    <row r="553" spans="1:76" s="25" customFormat="1">
      <c r="A553" s="343"/>
      <c r="B553" s="343"/>
      <c r="C553" s="64"/>
      <c r="D553" s="64"/>
      <c r="E553" s="39"/>
      <c r="F553" s="39"/>
      <c r="G553" s="39"/>
      <c r="H553" s="39"/>
      <c r="I553" s="39"/>
      <c r="J553" s="39"/>
      <c r="K553" s="39"/>
      <c r="L553" s="39"/>
      <c r="M553" s="660"/>
      <c r="N553" s="343"/>
      <c r="O553" s="343"/>
      <c r="P553" s="343"/>
      <c r="Q553" s="343"/>
      <c r="R553" s="600"/>
      <c r="S553" s="600"/>
      <c r="T553" s="600"/>
      <c r="U553" s="600"/>
      <c r="V553" s="600"/>
      <c r="W553" s="600"/>
      <c r="X553" s="600"/>
      <c r="Y553" s="600"/>
      <c r="Z553" s="600"/>
      <c r="AA553" s="482"/>
      <c r="AB553" s="482"/>
      <c r="AC553" s="482"/>
      <c r="AD553" s="600">
        <v>542</v>
      </c>
      <c r="AE553" s="482"/>
      <c r="AF553" s="600"/>
      <c r="AG553" s="600"/>
      <c r="AH553" s="600"/>
      <c r="AI553" s="600"/>
      <c r="AJ553" s="600"/>
      <c r="AK553" s="600"/>
      <c r="AL553" s="600"/>
      <c r="AM553" s="600"/>
      <c r="AN553" s="482"/>
      <c r="AO553" s="600"/>
      <c r="AP553" s="600"/>
      <c r="AQ553" s="600"/>
      <c r="AR553" s="600"/>
      <c r="AS553" s="600"/>
      <c r="AT553" s="600"/>
      <c r="AU553" s="600"/>
      <c r="AV553" s="600"/>
      <c r="AW553" s="482"/>
      <c r="AX553" s="482"/>
      <c r="AY553" s="482"/>
      <c r="AZ553" s="482"/>
      <c r="BA553" s="343"/>
      <c r="BB553" s="343"/>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row>
    <row r="554" spans="1:76" s="25" customFormat="1">
      <c r="A554" s="343"/>
      <c r="B554" s="343"/>
      <c r="C554" s="64"/>
      <c r="D554" s="64"/>
      <c r="E554" s="39"/>
      <c r="F554" s="39"/>
      <c r="G554" s="39"/>
      <c r="H554" s="39"/>
      <c r="I554" s="39"/>
      <c r="J554" s="39"/>
      <c r="K554" s="39"/>
      <c r="L554" s="39"/>
      <c r="M554" s="660"/>
      <c r="N554" s="343"/>
      <c r="O554" s="343"/>
      <c r="P554" s="343"/>
      <c r="Q554" s="343"/>
      <c r="R554" s="600"/>
      <c r="S554" s="600"/>
      <c r="T554" s="600"/>
      <c r="U554" s="600"/>
      <c r="V554" s="600"/>
      <c r="W554" s="600"/>
      <c r="X554" s="600"/>
      <c r="Y554" s="600"/>
      <c r="Z554" s="600"/>
      <c r="AA554" s="482"/>
      <c r="AB554" s="482"/>
      <c r="AC554" s="482"/>
      <c r="AD554" s="600">
        <v>543</v>
      </c>
      <c r="AE554" s="482"/>
      <c r="AF554" s="600"/>
      <c r="AG554" s="600"/>
      <c r="AH554" s="600"/>
      <c r="AI554" s="600"/>
      <c r="AJ554" s="600"/>
      <c r="AK554" s="600"/>
      <c r="AL554" s="600"/>
      <c r="AM554" s="600"/>
      <c r="AN554" s="482"/>
      <c r="AO554" s="600"/>
      <c r="AP554" s="600"/>
      <c r="AQ554" s="600"/>
      <c r="AR554" s="600"/>
      <c r="AS554" s="600"/>
      <c r="AT554" s="600"/>
      <c r="AU554" s="600"/>
      <c r="AV554" s="600"/>
      <c r="AW554" s="482"/>
      <c r="AX554" s="482"/>
      <c r="AY554" s="482"/>
      <c r="AZ554" s="482"/>
      <c r="BA554" s="343"/>
      <c r="BB554" s="343"/>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row>
    <row r="555" spans="1:76" s="25" customFormat="1">
      <c r="A555" s="343"/>
      <c r="B555" s="343"/>
      <c r="C555" s="64"/>
      <c r="D555" s="64"/>
      <c r="E555" s="39"/>
      <c r="F555" s="39"/>
      <c r="G555" s="39"/>
      <c r="H555" s="39"/>
      <c r="I555" s="39"/>
      <c r="J555" s="39"/>
      <c r="K555" s="39"/>
      <c r="L555" s="39"/>
      <c r="M555" s="660"/>
      <c r="N555" s="343"/>
      <c r="O555" s="343"/>
      <c r="P555" s="343"/>
      <c r="Q555" s="343"/>
      <c r="R555" s="600"/>
      <c r="S555" s="600"/>
      <c r="T555" s="600"/>
      <c r="U555" s="600"/>
      <c r="V555" s="600"/>
      <c r="W555" s="600"/>
      <c r="X555" s="600"/>
      <c r="Y555" s="600"/>
      <c r="Z555" s="600"/>
      <c r="AA555" s="482"/>
      <c r="AB555" s="482"/>
      <c r="AC555" s="482"/>
      <c r="AD555" s="600">
        <v>544</v>
      </c>
      <c r="AE555" s="482"/>
      <c r="AF555" s="600"/>
      <c r="AG555" s="600"/>
      <c r="AH555" s="600"/>
      <c r="AI555" s="600"/>
      <c r="AJ555" s="600"/>
      <c r="AK555" s="600"/>
      <c r="AL555" s="600"/>
      <c r="AM555" s="600"/>
      <c r="AN555" s="482"/>
      <c r="AO555" s="600"/>
      <c r="AP555" s="600"/>
      <c r="AQ555" s="600"/>
      <c r="AR555" s="600"/>
      <c r="AS555" s="600"/>
      <c r="AT555" s="600"/>
      <c r="AU555" s="600"/>
      <c r="AV555" s="600"/>
      <c r="AW555" s="482"/>
      <c r="AX555" s="482"/>
      <c r="AY555" s="482"/>
      <c r="AZ555" s="482"/>
      <c r="BA555" s="343"/>
      <c r="BB555" s="343"/>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row>
    <row r="556" spans="1:76" s="25" customFormat="1">
      <c r="A556" s="343"/>
      <c r="B556" s="343"/>
      <c r="C556" s="64"/>
      <c r="D556" s="64"/>
      <c r="E556" s="39"/>
      <c r="F556" s="39"/>
      <c r="G556" s="39"/>
      <c r="H556" s="39"/>
      <c r="I556" s="39"/>
      <c r="J556" s="39"/>
      <c r="K556" s="39"/>
      <c r="L556" s="39"/>
      <c r="M556" s="660"/>
      <c r="N556" s="343"/>
      <c r="O556" s="343"/>
      <c r="P556" s="343"/>
      <c r="Q556" s="343"/>
      <c r="R556" s="600"/>
      <c r="S556" s="600"/>
      <c r="T556" s="600"/>
      <c r="U556" s="600"/>
      <c r="V556" s="600"/>
      <c r="W556" s="600"/>
      <c r="X556" s="600"/>
      <c r="Y556" s="600"/>
      <c r="Z556" s="600"/>
      <c r="AA556" s="482"/>
      <c r="AB556" s="482"/>
      <c r="AC556" s="482"/>
      <c r="AD556" s="600">
        <v>545</v>
      </c>
      <c r="AE556" s="482"/>
      <c r="AF556" s="600"/>
      <c r="AG556" s="600"/>
      <c r="AH556" s="600"/>
      <c r="AI556" s="600"/>
      <c r="AJ556" s="600"/>
      <c r="AK556" s="600"/>
      <c r="AL556" s="600"/>
      <c r="AM556" s="600"/>
      <c r="AN556" s="482"/>
      <c r="AO556" s="600"/>
      <c r="AP556" s="600"/>
      <c r="AQ556" s="600"/>
      <c r="AR556" s="600"/>
      <c r="AS556" s="600"/>
      <c r="AT556" s="600"/>
      <c r="AU556" s="600"/>
      <c r="AV556" s="600"/>
      <c r="AW556" s="482"/>
      <c r="AX556" s="482"/>
      <c r="AY556" s="482"/>
      <c r="AZ556" s="482"/>
      <c r="BA556" s="343"/>
      <c r="BB556" s="343"/>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row>
    <row r="557" spans="1:76" s="25" customFormat="1">
      <c r="A557" s="343"/>
      <c r="B557" s="343"/>
      <c r="C557" s="64"/>
      <c r="D557" s="64"/>
      <c r="E557" s="39"/>
      <c r="F557" s="39"/>
      <c r="G557" s="39"/>
      <c r="H557" s="39"/>
      <c r="I557" s="39"/>
      <c r="J557" s="39"/>
      <c r="K557" s="39"/>
      <c r="L557" s="39"/>
      <c r="M557" s="660"/>
      <c r="N557" s="343"/>
      <c r="O557" s="343"/>
      <c r="P557" s="343"/>
      <c r="Q557" s="343"/>
      <c r="R557" s="600"/>
      <c r="S557" s="600"/>
      <c r="T557" s="600"/>
      <c r="U557" s="600"/>
      <c r="V557" s="600"/>
      <c r="W557" s="600"/>
      <c r="X557" s="600"/>
      <c r="Y557" s="600"/>
      <c r="Z557" s="600"/>
      <c r="AA557" s="482"/>
      <c r="AB557" s="482"/>
      <c r="AC557" s="482"/>
      <c r="AD557" s="600">
        <v>546</v>
      </c>
      <c r="AE557" s="482"/>
      <c r="AF557" s="600"/>
      <c r="AG557" s="600"/>
      <c r="AH557" s="600"/>
      <c r="AI557" s="600"/>
      <c r="AJ557" s="600"/>
      <c r="AK557" s="600"/>
      <c r="AL557" s="600"/>
      <c r="AM557" s="600"/>
      <c r="AN557" s="482"/>
      <c r="AO557" s="600"/>
      <c r="AP557" s="600"/>
      <c r="AQ557" s="600"/>
      <c r="AR557" s="600"/>
      <c r="AS557" s="600"/>
      <c r="AT557" s="600"/>
      <c r="AU557" s="600"/>
      <c r="AV557" s="600"/>
      <c r="AW557" s="482"/>
      <c r="AX557" s="482"/>
      <c r="AY557" s="482"/>
      <c r="AZ557" s="482"/>
      <c r="BA557" s="343"/>
      <c r="BB557" s="343"/>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row>
    <row r="558" spans="1:76" s="25" customFormat="1">
      <c r="A558" s="343"/>
      <c r="B558" s="343"/>
      <c r="C558" s="64"/>
      <c r="D558" s="64"/>
      <c r="E558" s="39"/>
      <c r="F558" s="39"/>
      <c r="G558" s="39"/>
      <c r="H558" s="39"/>
      <c r="I558" s="39"/>
      <c r="J558" s="39"/>
      <c r="K558" s="39"/>
      <c r="L558" s="39"/>
      <c r="M558" s="660"/>
      <c r="N558" s="343"/>
      <c r="O558" s="343"/>
      <c r="P558" s="343"/>
      <c r="Q558" s="343"/>
      <c r="R558" s="600"/>
      <c r="S558" s="600"/>
      <c r="T558" s="600"/>
      <c r="U558" s="600"/>
      <c r="V558" s="600"/>
      <c r="W558" s="600"/>
      <c r="X558" s="600"/>
      <c r="Y558" s="600"/>
      <c r="Z558" s="600"/>
      <c r="AA558" s="482"/>
      <c r="AB558" s="482"/>
      <c r="AC558" s="482"/>
      <c r="AD558" s="600">
        <v>547</v>
      </c>
      <c r="AE558" s="482"/>
      <c r="AF558" s="600"/>
      <c r="AG558" s="600"/>
      <c r="AH558" s="600"/>
      <c r="AI558" s="600"/>
      <c r="AJ558" s="600"/>
      <c r="AK558" s="600"/>
      <c r="AL558" s="600"/>
      <c r="AM558" s="600"/>
      <c r="AN558" s="482"/>
      <c r="AO558" s="600"/>
      <c r="AP558" s="600"/>
      <c r="AQ558" s="600"/>
      <c r="AR558" s="600"/>
      <c r="AS558" s="600"/>
      <c r="AT558" s="600"/>
      <c r="AU558" s="600"/>
      <c r="AV558" s="600"/>
      <c r="AW558" s="482"/>
      <c r="AX558" s="482"/>
      <c r="AY558" s="482"/>
      <c r="AZ558" s="482"/>
      <c r="BA558" s="343"/>
      <c r="BB558" s="343"/>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row>
    <row r="559" spans="1:76" s="25" customFormat="1">
      <c r="A559" s="343"/>
      <c r="B559" s="343"/>
      <c r="C559" s="64"/>
      <c r="D559" s="64"/>
      <c r="E559" s="39"/>
      <c r="F559" s="39"/>
      <c r="G559" s="39"/>
      <c r="H559" s="39"/>
      <c r="I559" s="39"/>
      <c r="J559" s="39"/>
      <c r="K559" s="39"/>
      <c r="L559" s="39"/>
      <c r="M559" s="660"/>
      <c r="N559" s="343"/>
      <c r="O559" s="343"/>
      <c r="P559" s="343"/>
      <c r="Q559" s="343"/>
      <c r="R559" s="600"/>
      <c r="S559" s="600"/>
      <c r="T559" s="600"/>
      <c r="U559" s="600"/>
      <c r="V559" s="600"/>
      <c r="W559" s="600"/>
      <c r="X559" s="600"/>
      <c r="Y559" s="600"/>
      <c r="Z559" s="600"/>
      <c r="AA559" s="482"/>
      <c r="AB559" s="482"/>
      <c r="AC559" s="482"/>
      <c r="AD559" s="600">
        <v>548</v>
      </c>
      <c r="AE559" s="482"/>
      <c r="AF559" s="600"/>
      <c r="AG559" s="600"/>
      <c r="AH559" s="600"/>
      <c r="AI559" s="600"/>
      <c r="AJ559" s="600"/>
      <c r="AK559" s="600"/>
      <c r="AL559" s="600"/>
      <c r="AM559" s="600"/>
      <c r="AN559" s="482"/>
      <c r="AO559" s="600"/>
      <c r="AP559" s="600"/>
      <c r="AQ559" s="600"/>
      <c r="AR559" s="600"/>
      <c r="AS559" s="600"/>
      <c r="AT559" s="600"/>
      <c r="AU559" s="600"/>
      <c r="AV559" s="600"/>
      <c r="AW559" s="482"/>
      <c r="AX559" s="482"/>
      <c r="AY559" s="482"/>
      <c r="AZ559" s="482"/>
      <c r="BA559" s="343"/>
      <c r="BB559" s="343"/>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row>
    <row r="560" spans="1:76" s="25" customFormat="1">
      <c r="A560" s="343"/>
      <c r="B560" s="343"/>
      <c r="C560" s="64"/>
      <c r="D560" s="64"/>
      <c r="E560" s="39"/>
      <c r="F560" s="39"/>
      <c r="G560" s="39"/>
      <c r="H560" s="39"/>
      <c r="I560" s="39"/>
      <c r="J560" s="39"/>
      <c r="K560" s="39"/>
      <c r="L560" s="39"/>
      <c r="M560" s="660"/>
      <c r="N560" s="343"/>
      <c r="O560" s="343"/>
      <c r="P560" s="343"/>
      <c r="Q560" s="343"/>
      <c r="R560" s="600"/>
      <c r="S560" s="600"/>
      <c r="T560" s="600"/>
      <c r="U560" s="600"/>
      <c r="V560" s="600"/>
      <c r="W560" s="600"/>
      <c r="X560" s="600"/>
      <c r="Y560" s="600"/>
      <c r="Z560" s="600"/>
      <c r="AA560" s="482"/>
      <c r="AB560" s="482"/>
      <c r="AC560" s="482"/>
      <c r="AD560" s="600">
        <v>549</v>
      </c>
      <c r="AE560" s="482"/>
      <c r="AF560" s="600"/>
      <c r="AG560" s="600"/>
      <c r="AH560" s="600"/>
      <c r="AI560" s="600"/>
      <c r="AJ560" s="600"/>
      <c r="AK560" s="600"/>
      <c r="AL560" s="600"/>
      <c r="AM560" s="600"/>
      <c r="AN560" s="482"/>
      <c r="AO560" s="600"/>
      <c r="AP560" s="600"/>
      <c r="AQ560" s="600"/>
      <c r="AR560" s="600"/>
      <c r="AS560" s="600"/>
      <c r="AT560" s="600"/>
      <c r="AU560" s="600"/>
      <c r="AV560" s="600"/>
      <c r="AW560" s="482"/>
      <c r="AX560" s="482"/>
      <c r="AY560" s="482"/>
      <c r="AZ560" s="482"/>
      <c r="BA560" s="343"/>
      <c r="BB560" s="343"/>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row>
    <row r="561" spans="1:76" s="25" customFormat="1">
      <c r="A561" s="343"/>
      <c r="B561" s="343"/>
      <c r="C561" s="64"/>
      <c r="D561" s="64"/>
      <c r="E561" s="39"/>
      <c r="F561" s="39"/>
      <c r="G561" s="39"/>
      <c r="H561" s="39"/>
      <c r="I561" s="39"/>
      <c r="J561" s="39"/>
      <c r="K561" s="39"/>
      <c r="L561" s="39"/>
      <c r="M561" s="660"/>
      <c r="N561" s="343"/>
      <c r="O561" s="343"/>
      <c r="P561" s="343"/>
      <c r="Q561" s="343"/>
      <c r="R561" s="600"/>
      <c r="S561" s="600"/>
      <c r="T561" s="600"/>
      <c r="U561" s="600"/>
      <c r="V561" s="600"/>
      <c r="W561" s="600"/>
      <c r="X561" s="600"/>
      <c r="Y561" s="600"/>
      <c r="Z561" s="600"/>
      <c r="AA561" s="482"/>
      <c r="AB561" s="482"/>
      <c r="AC561" s="482"/>
      <c r="AD561" s="600">
        <v>550</v>
      </c>
      <c r="AE561" s="482"/>
      <c r="AF561" s="600"/>
      <c r="AG561" s="600"/>
      <c r="AH561" s="600"/>
      <c r="AI561" s="600"/>
      <c r="AJ561" s="600"/>
      <c r="AK561" s="600"/>
      <c r="AL561" s="600"/>
      <c r="AM561" s="600"/>
      <c r="AN561" s="482"/>
      <c r="AO561" s="600"/>
      <c r="AP561" s="600"/>
      <c r="AQ561" s="600"/>
      <c r="AR561" s="600"/>
      <c r="AS561" s="600"/>
      <c r="AT561" s="600"/>
      <c r="AU561" s="600"/>
      <c r="AV561" s="600"/>
      <c r="AW561" s="482"/>
      <c r="AX561" s="482"/>
      <c r="AY561" s="482"/>
      <c r="AZ561" s="482"/>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row>
    <row r="562" spans="1:76" s="25" customFormat="1">
      <c r="A562" s="343"/>
      <c r="B562" s="343"/>
      <c r="C562" s="64"/>
      <c r="D562" s="64"/>
      <c r="E562" s="39"/>
      <c r="F562" s="39"/>
      <c r="G562" s="39"/>
      <c r="H562" s="39"/>
      <c r="I562" s="39"/>
      <c r="J562" s="39"/>
      <c r="K562" s="39"/>
      <c r="L562" s="39"/>
      <c r="M562" s="660"/>
      <c r="N562" s="343"/>
      <c r="O562" s="343"/>
      <c r="P562" s="343"/>
      <c r="Q562" s="343"/>
      <c r="R562" s="600"/>
      <c r="S562" s="600"/>
      <c r="T562" s="600"/>
      <c r="U562" s="600"/>
      <c r="V562" s="600"/>
      <c r="W562" s="600"/>
      <c r="X562" s="600"/>
      <c r="Y562" s="600"/>
      <c r="Z562" s="600"/>
      <c r="AA562" s="482"/>
      <c r="AB562" s="482"/>
      <c r="AC562" s="482"/>
      <c r="AD562" s="600">
        <v>551</v>
      </c>
      <c r="AE562" s="482"/>
      <c r="AF562" s="600"/>
      <c r="AG562" s="600"/>
      <c r="AH562" s="600"/>
      <c r="AI562" s="600"/>
      <c r="AJ562" s="600"/>
      <c r="AK562" s="600"/>
      <c r="AL562" s="600"/>
      <c r="AM562" s="600"/>
      <c r="AN562" s="482"/>
      <c r="AO562" s="600"/>
      <c r="AP562" s="600"/>
      <c r="AQ562" s="600"/>
      <c r="AR562" s="600"/>
      <c r="AS562" s="600"/>
      <c r="AT562" s="600"/>
      <c r="AU562" s="600"/>
      <c r="AV562" s="600"/>
      <c r="AW562" s="482"/>
      <c r="AX562" s="482"/>
      <c r="AY562" s="482"/>
      <c r="AZ562" s="482"/>
      <c r="BA562" s="343"/>
      <c r="BB562" s="343"/>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row>
    <row r="563" spans="1:76" s="25" customFormat="1">
      <c r="A563" s="343"/>
      <c r="B563" s="343"/>
      <c r="C563" s="64"/>
      <c r="D563" s="64"/>
      <c r="E563" s="39"/>
      <c r="F563" s="39"/>
      <c r="G563" s="39"/>
      <c r="H563" s="39"/>
      <c r="I563" s="39"/>
      <c r="J563" s="39"/>
      <c r="K563" s="39"/>
      <c r="L563" s="39"/>
      <c r="M563" s="660"/>
      <c r="N563" s="343"/>
      <c r="O563" s="343"/>
      <c r="P563" s="343"/>
      <c r="Q563" s="343"/>
      <c r="R563" s="600"/>
      <c r="S563" s="600"/>
      <c r="T563" s="600"/>
      <c r="U563" s="600"/>
      <c r="V563" s="600"/>
      <c r="W563" s="600"/>
      <c r="X563" s="600"/>
      <c r="Y563" s="600"/>
      <c r="Z563" s="600"/>
      <c r="AA563" s="482"/>
      <c r="AB563" s="482"/>
      <c r="AC563" s="482"/>
      <c r="AD563" s="600">
        <v>552</v>
      </c>
      <c r="AE563" s="482"/>
      <c r="AF563" s="600"/>
      <c r="AG563" s="600"/>
      <c r="AH563" s="600"/>
      <c r="AI563" s="600"/>
      <c r="AJ563" s="600"/>
      <c r="AK563" s="600"/>
      <c r="AL563" s="600"/>
      <c r="AM563" s="600"/>
      <c r="AN563" s="482"/>
      <c r="AO563" s="600"/>
      <c r="AP563" s="600"/>
      <c r="AQ563" s="600"/>
      <c r="AR563" s="600"/>
      <c r="AS563" s="600"/>
      <c r="AT563" s="600"/>
      <c r="AU563" s="600"/>
      <c r="AV563" s="600"/>
      <c r="AW563" s="482"/>
      <c r="AX563" s="482"/>
      <c r="AY563" s="482"/>
      <c r="AZ563" s="482"/>
      <c r="BA563" s="343"/>
      <c r="BB563" s="343"/>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row>
    <row r="564" spans="1:76" s="25" customFormat="1">
      <c r="A564" s="343"/>
      <c r="B564" s="343"/>
      <c r="C564" s="64"/>
      <c r="D564" s="64"/>
      <c r="E564" s="39"/>
      <c r="F564" s="39"/>
      <c r="G564" s="39"/>
      <c r="H564" s="39"/>
      <c r="I564" s="39"/>
      <c r="J564" s="39"/>
      <c r="K564" s="39"/>
      <c r="L564" s="39"/>
      <c r="M564" s="660"/>
      <c r="N564" s="343"/>
      <c r="O564" s="343"/>
      <c r="P564" s="343"/>
      <c r="Q564" s="343"/>
      <c r="R564" s="600"/>
      <c r="S564" s="600"/>
      <c r="T564" s="600"/>
      <c r="U564" s="600"/>
      <c r="V564" s="600"/>
      <c r="W564" s="600"/>
      <c r="X564" s="600"/>
      <c r="Y564" s="600"/>
      <c r="Z564" s="600"/>
      <c r="AA564" s="482"/>
      <c r="AB564" s="482"/>
      <c r="AC564" s="482"/>
      <c r="AD564" s="600">
        <v>553</v>
      </c>
      <c r="AE564" s="482"/>
      <c r="AF564" s="600"/>
      <c r="AG564" s="600"/>
      <c r="AH564" s="600"/>
      <c r="AI564" s="600"/>
      <c r="AJ564" s="600"/>
      <c r="AK564" s="600"/>
      <c r="AL564" s="600"/>
      <c r="AM564" s="600"/>
      <c r="AN564" s="482"/>
      <c r="AO564" s="600"/>
      <c r="AP564" s="600"/>
      <c r="AQ564" s="600"/>
      <c r="AR564" s="600"/>
      <c r="AS564" s="600"/>
      <c r="AT564" s="600"/>
      <c r="AU564" s="600"/>
      <c r="AV564" s="600"/>
      <c r="AW564" s="482"/>
      <c r="AX564" s="482"/>
      <c r="AY564" s="482"/>
      <c r="AZ564" s="482"/>
      <c r="BA564" s="343"/>
      <c r="BB564" s="343"/>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row>
    <row r="565" spans="1:76" s="25" customFormat="1">
      <c r="A565" s="343"/>
      <c r="B565" s="343"/>
      <c r="C565" s="64"/>
      <c r="D565" s="64"/>
      <c r="E565" s="39"/>
      <c r="F565" s="39"/>
      <c r="G565" s="39"/>
      <c r="H565" s="39"/>
      <c r="I565" s="39"/>
      <c r="J565" s="39"/>
      <c r="K565" s="39"/>
      <c r="L565" s="39"/>
      <c r="M565" s="660"/>
      <c r="N565" s="343"/>
      <c r="O565" s="343"/>
      <c r="P565" s="343"/>
      <c r="Q565" s="343"/>
      <c r="R565" s="600"/>
      <c r="S565" s="600"/>
      <c r="T565" s="600"/>
      <c r="U565" s="600"/>
      <c r="V565" s="600"/>
      <c r="W565" s="600"/>
      <c r="X565" s="600"/>
      <c r="Y565" s="600"/>
      <c r="Z565" s="600"/>
      <c r="AA565" s="482"/>
      <c r="AB565" s="482"/>
      <c r="AC565" s="482"/>
      <c r="AD565" s="600">
        <v>554</v>
      </c>
      <c r="AE565" s="482"/>
      <c r="AF565" s="600"/>
      <c r="AG565" s="600"/>
      <c r="AH565" s="600"/>
      <c r="AI565" s="600"/>
      <c r="AJ565" s="600"/>
      <c r="AK565" s="600"/>
      <c r="AL565" s="600"/>
      <c r="AM565" s="600"/>
      <c r="AN565" s="482"/>
      <c r="AO565" s="600"/>
      <c r="AP565" s="600"/>
      <c r="AQ565" s="600"/>
      <c r="AR565" s="600"/>
      <c r="AS565" s="600"/>
      <c r="AT565" s="600"/>
      <c r="AU565" s="600"/>
      <c r="AV565" s="600"/>
      <c r="AW565" s="482"/>
      <c r="AX565" s="482"/>
      <c r="AY565" s="482"/>
      <c r="AZ565" s="482"/>
      <c r="BA565" s="343"/>
      <c r="BB565" s="343"/>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row>
    <row r="566" spans="1:76" s="25" customFormat="1">
      <c r="A566" s="343"/>
      <c r="B566" s="343"/>
      <c r="C566" s="64"/>
      <c r="D566" s="64"/>
      <c r="E566" s="39"/>
      <c r="F566" s="39"/>
      <c r="G566" s="39"/>
      <c r="H566" s="39"/>
      <c r="I566" s="39"/>
      <c r="J566" s="39"/>
      <c r="K566" s="39"/>
      <c r="L566" s="39"/>
      <c r="M566" s="660"/>
      <c r="N566" s="343"/>
      <c r="O566" s="343"/>
      <c r="P566" s="343"/>
      <c r="Q566" s="343"/>
      <c r="R566" s="600"/>
      <c r="S566" s="600"/>
      <c r="T566" s="600"/>
      <c r="U566" s="600"/>
      <c r="V566" s="600"/>
      <c r="W566" s="600"/>
      <c r="X566" s="600"/>
      <c r="Y566" s="600"/>
      <c r="Z566" s="600"/>
      <c r="AA566" s="482"/>
      <c r="AB566" s="482"/>
      <c r="AC566" s="482"/>
      <c r="AD566" s="600">
        <v>555</v>
      </c>
      <c r="AE566" s="482"/>
      <c r="AF566" s="600"/>
      <c r="AG566" s="600"/>
      <c r="AH566" s="600"/>
      <c r="AI566" s="600"/>
      <c r="AJ566" s="600"/>
      <c r="AK566" s="600"/>
      <c r="AL566" s="600"/>
      <c r="AM566" s="600"/>
      <c r="AN566" s="482"/>
      <c r="AO566" s="600"/>
      <c r="AP566" s="600"/>
      <c r="AQ566" s="600"/>
      <c r="AR566" s="600"/>
      <c r="AS566" s="600"/>
      <c r="AT566" s="600"/>
      <c r="AU566" s="600"/>
      <c r="AV566" s="600"/>
      <c r="AW566" s="482"/>
      <c r="AX566" s="482"/>
      <c r="AY566" s="482"/>
      <c r="AZ566" s="482"/>
      <c r="BA566" s="343"/>
      <c r="BB566" s="343"/>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row>
    <row r="567" spans="1:76" s="25" customFormat="1">
      <c r="A567" s="343"/>
      <c r="B567" s="343"/>
      <c r="C567" s="64"/>
      <c r="D567" s="64"/>
      <c r="E567" s="39"/>
      <c r="F567" s="39"/>
      <c r="G567" s="39"/>
      <c r="H567" s="39"/>
      <c r="I567" s="39"/>
      <c r="J567" s="39"/>
      <c r="K567" s="39"/>
      <c r="L567" s="39"/>
      <c r="M567" s="660"/>
      <c r="N567" s="343"/>
      <c r="O567" s="343"/>
      <c r="P567" s="343"/>
      <c r="Q567" s="343"/>
      <c r="R567" s="600"/>
      <c r="S567" s="600"/>
      <c r="T567" s="600"/>
      <c r="U567" s="600"/>
      <c r="V567" s="600"/>
      <c r="W567" s="600"/>
      <c r="X567" s="600"/>
      <c r="Y567" s="600"/>
      <c r="Z567" s="600"/>
      <c r="AA567" s="482"/>
      <c r="AB567" s="482"/>
      <c r="AC567" s="482"/>
      <c r="AD567" s="600">
        <v>556</v>
      </c>
      <c r="AE567" s="482"/>
      <c r="AF567" s="600"/>
      <c r="AG567" s="600"/>
      <c r="AH567" s="600"/>
      <c r="AI567" s="600"/>
      <c r="AJ567" s="600"/>
      <c r="AK567" s="600"/>
      <c r="AL567" s="600"/>
      <c r="AM567" s="600"/>
      <c r="AN567" s="482"/>
      <c r="AO567" s="600"/>
      <c r="AP567" s="600"/>
      <c r="AQ567" s="600"/>
      <c r="AR567" s="600"/>
      <c r="AS567" s="600"/>
      <c r="AT567" s="600"/>
      <c r="AU567" s="600"/>
      <c r="AV567" s="600"/>
      <c r="AW567" s="482"/>
      <c r="AX567" s="482"/>
      <c r="AY567" s="482"/>
      <c r="AZ567" s="482"/>
      <c r="BA567" s="343"/>
      <c r="BB567" s="343"/>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row>
    <row r="568" spans="1:76" s="25" customFormat="1">
      <c r="A568" s="343"/>
      <c r="B568" s="343"/>
      <c r="C568" s="64"/>
      <c r="D568" s="64"/>
      <c r="E568" s="39"/>
      <c r="F568" s="39"/>
      <c r="G568" s="39"/>
      <c r="H568" s="39"/>
      <c r="I568" s="39"/>
      <c r="J568" s="39"/>
      <c r="K568" s="39"/>
      <c r="L568" s="39"/>
      <c r="M568" s="660"/>
      <c r="N568" s="343"/>
      <c r="O568" s="343"/>
      <c r="P568" s="343"/>
      <c r="Q568" s="343"/>
      <c r="R568" s="600"/>
      <c r="S568" s="600"/>
      <c r="T568" s="600"/>
      <c r="U568" s="600"/>
      <c r="V568" s="600"/>
      <c r="W568" s="600"/>
      <c r="X568" s="600"/>
      <c r="Y568" s="600"/>
      <c r="Z568" s="600"/>
      <c r="AA568" s="482"/>
      <c r="AB568" s="482"/>
      <c r="AC568" s="482"/>
      <c r="AD568" s="600">
        <v>557</v>
      </c>
      <c r="AE568" s="482"/>
      <c r="AF568" s="600"/>
      <c r="AG568" s="600"/>
      <c r="AH568" s="600"/>
      <c r="AI568" s="600"/>
      <c r="AJ568" s="600"/>
      <c r="AK568" s="600"/>
      <c r="AL568" s="600"/>
      <c r="AM568" s="600"/>
      <c r="AN568" s="482"/>
      <c r="AO568" s="600"/>
      <c r="AP568" s="600"/>
      <c r="AQ568" s="600"/>
      <c r="AR568" s="600"/>
      <c r="AS568" s="600"/>
      <c r="AT568" s="600"/>
      <c r="AU568" s="600"/>
      <c r="AV568" s="600"/>
      <c r="AW568" s="482"/>
      <c r="AX568" s="482"/>
      <c r="AY568" s="482"/>
      <c r="AZ568" s="482"/>
      <c r="BA568" s="343"/>
      <c r="BB568" s="343"/>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row>
    <row r="569" spans="1:76" s="25" customFormat="1">
      <c r="A569" s="343"/>
      <c r="B569" s="343"/>
      <c r="C569" s="64"/>
      <c r="D569" s="64"/>
      <c r="E569" s="39"/>
      <c r="F569" s="39"/>
      <c r="G569" s="39"/>
      <c r="H569" s="39"/>
      <c r="I569" s="39"/>
      <c r="J569" s="39"/>
      <c r="K569" s="39"/>
      <c r="L569" s="39"/>
      <c r="M569" s="660"/>
      <c r="N569" s="343"/>
      <c r="O569" s="343"/>
      <c r="P569" s="343"/>
      <c r="Q569" s="343"/>
      <c r="R569" s="600"/>
      <c r="S569" s="600"/>
      <c r="T569" s="600"/>
      <c r="U569" s="600"/>
      <c r="V569" s="600"/>
      <c r="W569" s="600"/>
      <c r="X569" s="600"/>
      <c r="Y569" s="600"/>
      <c r="Z569" s="600"/>
      <c r="AA569" s="482"/>
      <c r="AB569" s="482"/>
      <c r="AC569" s="482"/>
      <c r="AD569" s="600">
        <v>558</v>
      </c>
      <c r="AE569" s="482"/>
      <c r="AF569" s="600"/>
      <c r="AG569" s="600"/>
      <c r="AH569" s="600"/>
      <c r="AI569" s="600"/>
      <c r="AJ569" s="600"/>
      <c r="AK569" s="600"/>
      <c r="AL569" s="600"/>
      <c r="AM569" s="600"/>
      <c r="AN569" s="482"/>
      <c r="AO569" s="600"/>
      <c r="AP569" s="600"/>
      <c r="AQ569" s="600"/>
      <c r="AR569" s="600"/>
      <c r="AS569" s="600"/>
      <c r="AT569" s="600"/>
      <c r="AU569" s="600"/>
      <c r="AV569" s="600"/>
      <c r="AW569" s="482"/>
      <c r="AX569" s="482"/>
      <c r="AY569" s="482"/>
      <c r="AZ569" s="482"/>
      <c r="BA569" s="343"/>
      <c r="BB569" s="343"/>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row>
    <row r="570" spans="1:76" s="25" customFormat="1">
      <c r="A570" s="343"/>
      <c r="B570" s="343"/>
      <c r="C570" s="64"/>
      <c r="D570" s="64"/>
      <c r="E570" s="39"/>
      <c r="F570" s="39"/>
      <c r="G570" s="39"/>
      <c r="H570" s="39"/>
      <c r="I570" s="39"/>
      <c r="J570" s="39"/>
      <c r="K570" s="39"/>
      <c r="L570" s="39"/>
      <c r="M570" s="660"/>
      <c r="N570" s="343"/>
      <c r="O570" s="343"/>
      <c r="P570" s="343"/>
      <c r="Q570" s="343"/>
      <c r="R570" s="600"/>
      <c r="S570" s="600"/>
      <c r="T570" s="600"/>
      <c r="U570" s="600"/>
      <c r="V570" s="600"/>
      <c r="W570" s="600"/>
      <c r="X570" s="600"/>
      <c r="Y570" s="600"/>
      <c r="Z570" s="600"/>
      <c r="AA570" s="482"/>
      <c r="AB570" s="482"/>
      <c r="AC570" s="482"/>
      <c r="AD570" s="600">
        <v>559</v>
      </c>
      <c r="AE570" s="482"/>
      <c r="AF570" s="600"/>
      <c r="AG570" s="600"/>
      <c r="AH570" s="600"/>
      <c r="AI570" s="600"/>
      <c r="AJ570" s="600"/>
      <c r="AK570" s="600"/>
      <c r="AL570" s="600"/>
      <c r="AM570" s="600"/>
      <c r="AN570" s="482"/>
      <c r="AO570" s="600"/>
      <c r="AP570" s="600"/>
      <c r="AQ570" s="600"/>
      <c r="AR570" s="600"/>
      <c r="AS570" s="600"/>
      <c r="AT570" s="600"/>
      <c r="AU570" s="600"/>
      <c r="AV570" s="600"/>
      <c r="AW570" s="482"/>
      <c r="AX570" s="482"/>
      <c r="AY570" s="482"/>
      <c r="AZ570" s="482"/>
      <c r="BA570" s="343"/>
      <c r="BB570" s="343"/>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row>
    <row r="571" spans="1:76" s="25" customFormat="1">
      <c r="A571" s="343"/>
      <c r="B571" s="343"/>
      <c r="C571" s="64"/>
      <c r="D571" s="64"/>
      <c r="E571" s="39"/>
      <c r="F571" s="39"/>
      <c r="G571" s="39"/>
      <c r="H571" s="39"/>
      <c r="I571" s="39"/>
      <c r="J571" s="39"/>
      <c r="K571" s="39"/>
      <c r="L571" s="39"/>
      <c r="M571" s="660"/>
      <c r="N571" s="343"/>
      <c r="O571" s="343"/>
      <c r="P571" s="343"/>
      <c r="Q571" s="343"/>
      <c r="R571" s="600"/>
      <c r="S571" s="600"/>
      <c r="T571" s="600"/>
      <c r="U571" s="600"/>
      <c r="V571" s="600"/>
      <c r="W571" s="600"/>
      <c r="X571" s="600"/>
      <c r="Y571" s="600"/>
      <c r="Z571" s="600"/>
      <c r="AA571" s="482"/>
      <c r="AB571" s="482"/>
      <c r="AC571" s="482"/>
      <c r="AD571" s="600">
        <v>560</v>
      </c>
      <c r="AE571" s="482"/>
      <c r="AF571" s="600"/>
      <c r="AG571" s="600"/>
      <c r="AH571" s="600"/>
      <c r="AI571" s="600"/>
      <c r="AJ571" s="600"/>
      <c r="AK571" s="600"/>
      <c r="AL571" s="600"/>
      <c r="AM571" s="600"/>
      <c r="AN571" s="482"/>
      <c r="AO571" s="600"/>
      <c r="AP571" s="600"/>
      <c r="AQ571" s="600"/>
      <c r="AR571" s="600"/>
      <c r="AS571" s="600"/>
      <c r="AT571" s="600"/>
      <c r="AU571" s="600"/>
      <c r="AV571" s="600"/>
      <c r="AW571" s="482"/>
      <c r="AX571" s="482"/>
      <c r="AY571" s="482"/>
      <c r="AZ571" s="482"/>
      <c r="BA571" s="343"/>
      <c r="BB571" s="343"/>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row>
    <row r="572" spans="1:76" s="25" customFormat="1">
      <c r="A572" s="343"/>
      <c r="B572" s="343"/>
      <c r="C572" s="64"/>
      <c r="D572" s="64"/>
      <c r="E572" s="39"/>
      <c r="F572" s="39"/>
      <c r="G572" s="39"/>
      <c r="H572" s="39"/>
      <c r="I572" s="39"/>
      <c r="J572" s="39"/>
      <c r="K572" s="39"/>
      <c r="L572" s="39"/>
      <c r="M572" s="660"/>
      <c r="N572" s="343"/>
      <c r="O572" s="343"/>
      <c r="P572" s="343"/>
      <c r="Q572" s="343"/>
      <c r="R572" s="600"/>
      <c r="S572" s="600"/>
      <c r="T572" s="600"/>
      <c r="U572" s="600"/>
      <c r="V572" s="600"/>
      <c r="W572" s="600"/>
      <c r="X572" s="600"/>
      <c r="Y572" s="600"/>
      <c r="Z572" s="600"/>
      <c r="AA572" s="482"/>
      <c r="AB572" s="482"/>
      <c r="AC572" s="482"/>
      <c r="AD572" s="600">
        <v>561</v>
      </c>
      <c r="AE572" s="482"/>
      <c r="AF572" s="600"/>
      <c r="AG572" s="600"/>
      <c r="AH572" s="600"/>
      <c r="AI572" s="600"/>
      <c r="AJ572" s="600"/>
      <c r="AK572" s="600"/>
      <c r="AL572" s="600"/>
      <c r="AM572" s="600"/>
      <c r="AN572" s="482"/>
      <c r="AO572" s="600"/>
      <c r="AP572" s="600"/>
      <c r="AQ572" s="600"/>
      <c r="AR572" s="600"/>
      <c r="AS572" s="600"/>
      <c r="AT572" s="600"/>
      <c r="AU572" s="600"/>
      <c r="AV572" s="600"/>
      <c r="AW572" s="482"/>
      <c r="AX572" s="482"/>
      <c r="AY572" s="482"/>
      <c r="AZ572" s="482"/>
      <c r="BA572" s="343"/>
      <c r="BB572" s="343"/>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row>
    <row r="573" spans="1:76" s="25" customFormat="1">
      <c r="A573" s="343"/>
      <c r="B573" s="343"/>
      <c r="C573" s="64"/>
      <c r="D573" s="64"/>
      <c r="E573" s="39"/>
      <c r="F573" s="39"/>
      <c r="G573" s="39"/>
      <c r="H573" s="39"/>
      <c r="I573" s="39"/>
      <c r="J573" s="39"/>
      <c r="K573" s="39"/>
      <c r="L573" s="39"/>
      <c r="M573" s="660"/>
      <c r="N573" s="343"/>
      <c r="O573" s="343"/>
      <c r="P573" s="343"/>
      <c r="Q573" s="343"/>
      <c r="R573" s="600"/>
      <c r="S573" s="600"/>
      <c r="T573" s="600"/>
      <c r="U573" s="600"/>
      <c r="V573" s="600"/>
      <c r="W573" s="600"/>
      <c r="X573" s="600"/>
      <c r="Y573" s="600"/>
      <c r="Z573" s="600"/>
      <c r="AA573" s="482"/>
      <c r="AB573" s="482"/>
      <c r="AC573" s="482"/>
      <c r="AD573" s="600">
        <v>562</v>
      </c>
      <c r="AE573" s="482"/>
      <c r="AF573" s="600"/>
      <c r="AG573" s="600"/>
      <c r="AH573" s="600"/>
      <c r="AI573" s="600"/>
      <c r="AJ573" s="600"/>
      <c r="AK573" s="600"/>
      <c r="AL573" s="600"/>
      <c r="AM573" s="600"/>
      <c r="AN573" s="482"/>
      <c r="AO573" s="600"/>
      <c r="AP573" s="600"/>
      <c r="AQ573" s="600"/>
      <c r="AR573" s="600"/>
      <c r="AS573" s="600"/>
      <c r="AT573" s="600"/>
      <c r="AU573" s="600"/>
      <c r="AV573" s="600"/>
      <c r="AW573" s="482"/>
      <c r="AX573" s="482"/>
      <c r="AY573" s="482"/>
      <c r="AZ573" s="482"/>
      <c r="BA573" s="343"/>
      <c r="BB573" s="343"/>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row>
    <row r="574" spans="1:76" s="25" customFormat="1">
      <c r="A574" s="343"/>
      <c r="B574" s="343"/>
      <c r="C574" s="64"/>
      <c r="D574" s="64"/>
      <c r="E574" s="39"/>
      <c r="F574" s="39"/>
      <c r="G574" s="39"/>
      <c r="H574" s="39"/>
      <c r="I574" s="39"/>
      <c r="J574" s="39"/>
      <c r="K574" s="39"/>
      <c r="L574" s="39"/>
      <c r="M574" s="660"/>
      <c r="N574" s="343"/>
      <c r="O574" s="343"/>
      <c r="P574" s="343"/>
      <c r="Q574" s="343"/>
      <c r="R574" s="600"/>
      <c r="S574" s="600"/>
      <c r="T574" s="600"/>
      <c r="U574" s="600"/>
      <c r="V574" s="600"/>
      <c r="W574" s="600"/>
      <c r="X574" s="600"/>
      <c r="Y574" s="600"/>
      <c r="Z574" s="600"/>
      <c r="AA574" s="482"/>
      <c r="AB574" s="482"/>
      <c r="AC574" s="482"/>
      <c r="AD574" s="600">
        <v>563</v>
      </c>
      <c r="AE574" s="482"/>
      <c r="AF574" s="600"/>
      <c r="AG574" s="600"/>
      <c r="AH574" s="600"/>
      <c r="AI574" s="600"/>
      <c r="AJ574" s="600"/>
      <c r="AK574" s="600"/>
      <c r="AL574" s="600"/>
      <c r="AM574" s="600"/>
      <c r="AN574" s="482"/>
      <c r="AO574" s="600"/>
      <c r="AP574" s="600"/>
      <c r="AQ574" s="600"/>
      <c r="AR574" s="600"/>
      <c r="AS574" s="600"/>
      <c r="AT574" s="600"/>
      <c r="AU574" s="600"/>
      <c r="AV574" s="600"/>
      <c r="AW574" s="482"/>
      <c r="AX574" s="482"/>
      <c r="AY574" s="482"/>
      <c r="AZ574" s="482"/>
      <c r="BA574" s="343"/>
      <c r="BB574" s="343"/>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row>
    <row r="575" spans="1:76" s="25" customFormat="1">
      <c r="A575" s="343"/>
      <c r="B575" s="343"/>
      <c r="C575" s="64"/>
      <c r="D575" s="64"/>
      <c r="E575" s="39"/>
      <c r="F575" s="39"/>
      <c r="G575" s="39"/>
      <c r="H575" s="39"/>
      <c r="I575" s="39"/>
      <c r="J575" s="39"/>
      <c r="K575" s="39"/>
      <c r="L575" s="39"/>
      <c r="M575" s="660"/>
      <c r="N575" s="343"/>
      <c r="O575" s="343"/>
      <c r="P575" s="343"/>
      <c r="Q575" s="343"/>
      <c r="R575" s="600"/>
      <c r="S575" s="600"/>
      <c r="T575" s="600"/>
      <c r="U575" s="600"/>
      <c r="V575" s="600"/>
      <c r="W575" s="600"/>
      <c r="X575" s="600"/>
      <c r="Y575" s="600"/>
      <c r="Z575" s="600"/>
      <c r="AA575" s="482"/>
      <c r="AB575" s="482"/>
      <c r="AC575" s="482"/>
      <c r="AD575" s="600">
        <v>564</v>
      </c>
      <c r="AE575" s="482"/>
      <c r="AF575" s="600"/>
      <c r="AG575" s="600"/>
      <c r="AH575" s="600"/>
      <c r="AI575" s="600"/>
      <c r="AJ575" s="600"/>
      <c r="AK575" s="600"/>
      <c r="AL575" s="600"/>
      <c r="AM575" s="600"/>
      <c r="AN575" s="482"/>
      <c r="AO575" s="600"/>
      <c r="AP575" s="600"/>
      <c r="AQ575" s="600"/>
      <c r="AR575" s="600"/>
      <c r="AS575" s="600"/>
      <c r="AT575" s="600"/>
      <c r="AU575" s="600"/>
      <c r="AV575" s="600"/>
      <c r="AW575" s="482"/>
      <c r="AX575" s="482"/>
      <c r="AY575" s="482"/>
      <c r="AZ575" s="482"/>
      <c r="BA575" s="343"/>
      <c r="BB575" s="343"/>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row>
    <row r="576" spans="1:76" s="25" customFormat="1">
      <c r="A576" s="343"/>
      <c r="B576" s="343"/>
      <c r="C576" s="64"/>
      <c r="D576" s="64"/>
      <c r="E576" s="39"/>
      <c r="F576" s="39"/>
      <c r="G576" s="39"/>
      <c r="H576" s="39"/>
      <c r="I576" s="39"/>
      <c r="J576" s="39"/>
      <c r="K576" s="39"/>
      <c r="L576" s="39"/>
      <c r="M576" s="660"/>
      <c r="N576" s="343"/>
      <c r="O576" s="343"/>
      <c r="P576" s="343"/>
      <c r="Q576" s="343"/>
      <c r="R576" s="600"/>
      <c r="S576" s="600"/>
      <c r="T576" s="600"/>
      <c r="U576" s="600"/>
      <c r="V576" s="600"/>
      <c r="W576" s="600"/>
      <c r="X576" s="600"/>
      <c r="Y576" s="600"/>
      <c r="Z576" s="600"/>
      <c r="AA576" s="482"/>
      <c r="AB576" s="482"/>
      <c r="AC576" s="482"/>
      <c r="AD576" s="600">
        <v>565</v>
      </c>
      <c r="AE576" s="482"/>
      <c r="AF576" s="600"/>
      <c r="AG576" s="600"/>
      <c r="AH576" s="600"/>
      <c r="AI576" s="600"/>
      <c r="AJ576" s="600"/>
      <c r="AK576" s="600"/>
      <c r="AL576" s="600"/>
      <c r="AM576" s="600"/>
      <c r="AN576" s="482"/>
      <c r="AO576" s="600"/>
      <c r="AP576" s="600"/>
      <c r="AQ576" s="600"/>
      <c r="AR576" s="600"/>
      <c r="AS576" s="600"/>
      <c r="AT576" s="600"/>
      <c r="AU576" s="600"/>
      <c r="AV576" s="600"/>
      <c r="AW576" s="482"/>
      <c r="AX576" s="482"/>
      <c r="AY576" s="482"/>
      <c r="AZ576" s="482"/>
      <c r="BA576" s="343"/>
      <c r="BB576" s="343"/>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row>
    <row r="577" spans="1:76" s="25" customFormat="1">
      <c r="A577" s="343"/>
      <c r="B577" s="343"/>
      <c r="C577" s="64"/>
      <c r="D577" s="64"/>
      <c r="E577" s="39"/>
      <c r="F577" s="39"/>
      <c r="G577" s="39"/>
      <c r="H577" s="39"/>
      <c r="I577" s="39"/>
      <c r="J577" s="39"/>
      <c r="K577" s="39"/>
      <c r="L577" s="39"/>
      <c r="M577" s="660"/>
      <c r="N577" s="343"/>
      <c r="O577" s="343"/>
      <c r="P577" s="343"/>
      <c r="Q577" s="343"/>
      <c r="R577" s="600"/>
      <c r="S577" s="600"/>
      <c r="T577" s="600"/>
      <c r="U577" s="600"/>
      <c r="V577" s="600"/>
      <c r="W577" s="600"/>
      <c r="X577" s="600"/>
      <c r="Y577" s="600"/>
      <c r="Z577" s="600"/>
      <c r="AA577" s="482"/>
      <c r="AB577" s="482"/>
      <c r="AC577" s="482"/>
      <c r="AD577" s="600">
        <v>566</v>
      </c>
      <c r="AE577" s="482"/>
      <c r="AF577" s="600"/>
      <c r="AG577" s="600"/>
      <c r="AH577" s="600"/>
      <c r="AI577" s="600"/>
      <c r="AJ577" s="600"/>
      <c r="AK577" s="600"/>
      <c r="AL577" s="600"/>
      <c r="AM577" s="600"/>
      <c r="AN577" s="482"/>
      <c r="AO577" s="600"/>
      <c r="AP577" s="600"/>
      <c r="AQ577" s="600"/>
      <c r="AR577" s="600"/>
      <c r="AS577" s="600"/>
      <c r="AT577" s="600"/>
      <c r="AU577" s="600"/>
      <c r="AV577" s="600"/>
      <c r="AW577" s="482"/>
      <c r="AX577" s="482"/>
      <c r="AY577" s="482"/>
      <c r="AZ577" s="482"/>
      <c r="BA577" s="343"/>
      <c r="BB577" s="343"/>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row>
    <row r="578" spans="1:76" s="25" customFormat="1">
      <c r="A578" s="343"/>
      <c r="B578" s="343"/>
      <c r="C578" s="64"/>
      <c r="D578" s="64"/>
      <c r="E578" s="39"/>
      <c r="F578" s="39"/>
      <c r="G578" s="39"/>
      <c r="H578" s="39"/>
      <c r="I578" s="39"/>
      <c r="J578" s="39"/>
      <c r="K578" s="39"/>
      <c r="L578" s="39"/>
      <c r="M578" s="660"/>
      <c r="N578" s="343"/>
      <c r="O578" s="343"/>
      <c r="P578" s="343"/>
      <c r="Q578" s="343"/>
      <c r="R578" s="600"/>
      <c r="S578" s="600"/>
      <c r="T578" s="600"/>
      <c r="U578" s="600"/>
      <c r="V578" s="600"/>
      <c r="W578" s="600"/>
      <c r="X578" s="600"/>
      <c r="Y578" s="600"/>
      <c r="Z578" s="600"/>
      <c r="AA578" s="482"/>
      <c r="AB578" s="482"/>
      <c r="AC578" s="482"/>
      <c r="AD578" s="600">
        <v>567</v>
      </c>
      <c r="AE578" s="482"/>
      <c r="AF578" s="600"/>
      <c r="AG578" s="600"/>
      <c r="AH578" s="600"/>
      <c r="AI578" s="600"/>
      <c r="AJ578" s="600"/>
      <c r="AK578" s="600"/>
      <c r="AL578" s="600"/>
      <c r="AM578" s="600"/>
      <c r="AN578" s="482"/>
      <c r="AO578" s="600"/>
      <c r="AP578" s="600"/>
      <c r="AQ578" s="600"/>
      <c r="AR578" s="600"/>
      <c r="AS578" s="600"/>
      <c r="AT578" s="600"/>
      <c r="AU578" s="600"/>
      <c r="AV578" s="600"/>
      <c r="AW578" s="482"/>
      <c r="AX578" s="482"/>
      <c r="AY578" s="482"/>
      <c r="AZ578" s="482"/>
      <c r="BA578" s="343"/>
      <c r="BB578" s="343"/>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row>
    <row r="579" spans="1:76" s="25" customFormat="1">
      <c r="A579" s="343"/>
      <c r="B579" s="343"/>
      <c r="C579" s="64"/>
      <c r="D579" s="64"/>
      <c r="E579" s="39"/>
      <c r="F579" s="39"/>
      <c r="G579" s="39"/>
      <c r="H579" s="39"/>
      <c r="I579" s="39"/>
      <c r="J579" s="39"/>
      <c r="K579" s="39"/>
      <c r="L579" s="39"/>
      <c r="M579" s="660"/>
      <c r="N579" s="343"/>
      <c r="O579" s="343"/>
      <c r="P579" s="343"/>
      <c r="Q579" s="343"/>
      <c r="R579" s="600"/>
      <c r="S579" s="600"/>
      <c r="T579" s="600"/>
      <c r="U579" s="600"/>
      <c r="V579" s="600"/>
      <c r="W579" s="600"/>
      <c r="X579" s="600"/>
      <c r="Y579" s="600"/>
      <c r="Z579" s="600"/>
      <c r="AA579" s="482"/>
      <c r="AB579" s="482"/>
      <c r="AC579" s="482"/>
      <c r="AD579" s="600">
        <v>568</v>
      </c>
      <c r="AE579" s="482"/>
      <c r="AF579" s="600"/>
      <c r="AG579" s="600"/>
      <c r="AH579" s="600"/>
      <c r="AI579" s="600"/>
      <c r="AJ579" s="600"/>
      <c r="AK579" s="600"/>
      <c r="AL579" s="600"/>
      <c r="AM579" s="600"/>
      <c r="AN579" s="482"/>
      <c r="AO579" s="600"/>
      <c r="AP579" s="600"/>
      <c r="AQ579" s="600"/>
      <c r="AR579" s="600"/>
      <c r="AS579" s="600"/>
      <c r="AT579" s="600"/>
      <c r="AU579" s="600"/>
      <c r="AV579" s="600"/>
      <c r="AW579" s="482"/>
      <c r="AX579" s="482"/>
      <c r="AY579" s="482"/>
      <c r="AZ579" s="482"/>
      <c r="BA579" s="343"/>
      <c r="BB579" s="343"/>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row>
    <row r="580" spans="1:76" s="25" customFormat="1">
      <c r="A580" s="343"/>
      <c r="B580" s="343"/>
      <c r="C580" s="64"/>
      <c r="D580" s="64"/>
      <c r="E580" s="39"/>
      <c r="F580" s="39"/>
      <c r="G580" s="39"/>
      <c r="H580" s="39"/>
      <c r="I580" s="39"/>
      <c r="J580" s="39"/>
      <c r="K580" s="39"/>
      <c r="L580" s="39"/>
      <c r="M580" s="660"/>
      <c r="N580" s="343"/>
      <c r="O580" s="343"/>
      <c r="P580" s="343"/>
      <c r="Q580" s="343"/>
      <c r="R580" s="600"/>
      <c r="S580" s="600"/>
      <c r="T580" s="600"/>
      <c r="U580" s="600"/>
      <c r="V580" s="600"/>
      <c r="W580" s="600"/>
      <c r="X580" s="600"/>
      <c r="Y580" s="600"/>
      <c r="Z580" s="600"/>
      <c r="AA580" s="482"/>
      <c r="AB580" s="482"/>
      <c r="AC580" s="482"/>
      <c r="AD580" s="600">
        <v>569</v>
      </c>
      <c r="AE580" s="482"/>
      <c r="AF580" s="600"/>
      <c r="AG580" s="600"/>
      <c r="AH580" s="600"/>
      <c r="AI580" s="600"/>
      <c r="AJ580" s="600"/>
      <c r="AK580" s="600"/>
      <c r="AL580" s="600"/>
      <c r="AM580" s="600"/>
      <c r="AN580" s="482"/>
      <c r="AO580" s="600"/>
      <c r="AP580" s="600"/>
      <c r="AQ580" s="600"/>
      <c r="AR580" s="600"/>
      <c r="AS580" s="600"/>
      <c r="AT580" s="600"/>
      <c r="AU580" s="600"/>
      <c r="AV580" s="600"/>
      <c r="AW580" s="482"/>
      <c r="AX580" s="482"/>
      <c r="AY580" s="482"/>
      <c r="AZ580" s="482"/>
      <c r="BA580" s="343"/>
      <c r="BB580" s="343"/>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row>
    <row r="581" spans="1:76" s="25" customFormat="1">
      <c r="A581" s="343"/>
      <c r="B581" s="343"/>
      <c r="C581" s="64"/>
      <c r="D581" s="64"/>
      <c r="E581" s="39"/>
      <c r="F581" s="39"/>
      <c r="G581" s="39"/>
      <c r="H581" s="39"/>
      <c r="I581" s="39"/>
      <c r="J581" s="39"/>
      <c r="K581" s="39"/>
      <c r="L581" s="39"/>
      <c r="M581" s="660"/>
      <c r="N581" s="343"/>
      <c r="O581" s="343"/>
      <c r="P581" s="343"/>
      <c r="Q581" s="343"/>
      <c r="R581" s="600"/>
      <c r="S581" s="600"/>
      <c r="T581" s="600"/>
      <c r="U581" s="600"/>
      <c r="V581" s="600"/>
      <c r="W581" s="600"/>
      <c r="X581" s="600"/>
      <c r="Y581" s="600"/>
      <c r="Z581" s="600"/>
      <c r="AA581" s="482"/>
      <c r="AB581" s="482"/>
      <c r="AC581" s="482"/>
      <c r="AD581" s="600">
        <v>570</v>
      </c>
      <c r="AE581" s="482"/>
      <c r="AF581" s="600"/>
      <c r="AG581" s="600"/>
      <c r="AH581" s="600"/>
      <c r="AI581" s="600"/>
      <c r="AJ581" s="600"/>
      <c r="AK581" s="600"/>
      <c r="AL581" s="600"/>
      <c r="AM581" s="600"/>
      <c r="AN581" s="482"/>
      <c r="AO581" s="600"/>
      <c r="AP581" s="600"/>
      <c r="AQ581" s="600"/>
      <c r="AR581" s="600"/>
      <c r="AS581" s="600"/>
      <c r="AT581" s="600"/>
      <c r="AU581" s="600"/>
      <c r="AV581" s="600"/>
      <c r="AW581" s="482"/>
      <c r="AX581" s="482"/>
      <c r="AY581" s="482"/>
      <c r="AZ581" s="482"/>
      <c r="BA581" s="343"/>
      <c r="BB581" s="343"/>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row>
    <row r="582" spans="1:76" s="25" customFormat="1">
      <c r="A582" s="343"/>
      <c r="B582" s="343"/>
      <c r="C582" s="64"/>
      <c r="D582" s="64"/>
      <c r="E582" s="39"/>
      <c r="F582" s="39"/>
      <c r="G582" s="39"/>
      <c r="H582" s="39"/>
      <c r="I582" s="39"/>
      <c r="J582" s="39"/>
      <c r="K582" s="39"/>
      <c r="L582" s="39"/>
      <c r="M582" s="660"/>
      <c r="N582" s="343"/>
      <c r="O582" s="343"/>
      <c r="P582" s="343"/>
      <c r="Q582" s="343"/>
      <c r="R582" s="600"/>
      <c r="S582" s="600"/>
      <c r="T582" s="600"/>
      <c r="U582" s="600"/>
      <c r="V582" s="600"/>
      <c r="W582" s="600"/>
      <c r="X582" s="600"/>
      <c r="Y582" s="600"/>
      <c r="Z582" s="600"/>
      <c r="AA582" s="482"/>
      <c r="AB582" s="482"/>
      <c r="AC582" s="482"/>
      <c r="AD582" s="600">
        <v>571</v>
      </c>
      <c r="AE582" s="482"/>
      <c r="AF582" s="600"/>
      <c r="AG582" s="600"/>
      <c r="AH582" s="600"/>
      <c r="AI582" s="600"/>
      <c r="AJ582" s="600"/>
      <c r="AK582" s="600"/>
      <c r="AL582" s="600"/>
      <c r="AM582" s="600"/>
      <c r="AN582" s="482"/>
      <c r="AO582" s="600"/>
      <c r="AP582" s="600"/>
      <c r="AQ582" s="600"/>
      <c r="AR582" s="600"/>
      <c r="AS582" s="600"/>
      <c r="AT582" s="600"/>
      <c r="AU582" s="600"/>
      <c r="AV582" s="600"/>
      <c r="AW582" s="482"/>
      <c r="AX582" s="482"/>
      <c r="AY582" s="482"/>
      <c r="AZ582" s="482"/>
      <c r="BA582" s="343"/>
      <c r="BB582" s="343"/>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row>
    <row r="583" spans="1:76" s="25" customFormat="1">
      <c r="A583" s="343"/>
      <c r="B583" s="343"/>
      <c r="C583" s="64"/>
      <c r="D583" s="64"/>
      <c r="E583" s="39"/>
      <c r="F583" s="39"/>
      <c r="G583" s="39"/>
      <c r="H583" s="39"/>
      <c r="I583" s="39"/>
      <c r="J583" s="39"/>
      <c r="K583" s="39"/>
      <c r="L583" s="39"/>
      <c r="M583" s="660"/>
      <c r="N583" s="343"/>
      <c r="O583" s="343"/>
      <c r="P583" s="343"/>
      <c r="Q583" s="343"/>
      <c r="R583" s="600"/>
      <c r="S583" s="600"/>
      <c r="T583" s="600"/>
      <c r="U583" s="600"/>
      <c r="V583" s="600"/>
      <c r="W583" s="600"/>
      <c r="X583" s="600"/>
      <c r="Y583" s="600"/>
      <c r="Z583" s="600"/>
      <c r="AA583" s="482"/>
      <c r="AB583" s="482"/>
      <c r="AC583" s="482"/>
      <c r="AD583" s="600">
        <v>572</v>
      </c>
      <c r="AE583" s="482"/>
      <c r="AF583" s="600"/>
      <c r="AG583" s="600"/>
      <c r="AH583" s="600"/>
      <c r="AI583" s="600"/>
      <c r="AJ583" s="600"/>
      <c r="AK583" s="600"/>
      <c r="AL583" s="600"/>
      <c r="AM583" s="600"/>
      <c r="AN583" s="482"/>
      <c r="AO583" s="600"/>
      <c r="AP583" s="600"/>
      <c r="AQ583" s="600"/>
      <c r="AR583" s="600"/>
      <c r="AS583" s="600"/>
      <c r="AT583" s="600"/>
      <c r="AU583" s="600"/>
      <c r="AV583" s="600"/>
      <c r="AW583" s="482"/>
      <c r="AX583" s="482"/>
      <c r="AY583" s="482"/>
      <c r="AZ583" s="482"/>
      <c r="BA583" s="343"/>
      <c r="BB583" s="343"/>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row>
    <row r="584" spans="1:76" s="25" customFormat="1">
      <c r="A584" s="343"/>
      <c r="B584" s="343"/>
      <c r="C584" s="64"/>
      <c r="D584" s="64"/>
      <c r="E584" s="39"/>
      <c r="F584" s="39"/>
      <c r="G584" s="39"/>
      <c r="H584" s="39"/>
      <c r="I584" s="39"/>
      <c r="J584" s="39"/>
      <c r="K584" s="39"/>
      <c r="L584" s="39"/>
      <c r="M584" s="660"/>
      <c r="N584" s="343"/>
      <c r="O584" s="343"/>
      <c r="P584" s="343"/>
      <c r="Q584" s="343"/>
      <c r="R584" s="600"/>
      <c r="S584" s="600"/>
      <c r="T584" s="600"/>
      <c r="U584" s="600"/>
      <c r="V584" s="600"/>
      <c r="W584" s="600"/>
      <c r="X584" s="600"/>
      <c r="Y584" s="600"/>
      <c r="Z584" s="600"/>
      <c r="AA584" s="482"/>
      <c r="AB584" s="482"/>
      <c r="AC584" s="482"/>
      <c r="AD584" s="600">
        <v>573</v>
      </c>
      <c r="AE584" s="482"/>
      <c r="AF584" s="600"/>
      <c r="AG584" s="600"/>
      <c r="AH584" s="600"/>
      <c r="AI584" s="600"/>
      <c r="AJ584" s="600"/>
      <c r="AK584" s="600"/>
      <c r="AL584" s="600"/>
      <c r="AM584" s="600"/>
      <c r="AN584" s="482"/>
      <c r="AO584" s="600"/>
      <c r="AP584" s="600"/>
      <c r="AQ584" s="600"/>
      <c r="AR584" s="600"/>
      <c r="AS584" s="600"/>
      <c r="AT584" s="600"/>
      <c r="AU584" s="600"/>
      <c r="AV584" s="600"/>
      <c r="AW584" s="482"/>
      <c r="AX584" s="482"/>
      <c r="AY584" s="482"/>
      <c r="AZ584" s="482"/>
      <c r="BA584" s="343"/>
      <c r="BB584" s="343"/>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row>
    <row r="585" spans="1:76" s="25" customFormat="1">
      <c r="A585" s="343"/>
      <c r="B585" s="343"/>
      <c r="C585" s="64"/>
      <c r="D585" s="64"/>
      <c r="E585" s="39"/>
      <c r="F585" s="39"/>
      <c r="G585" s="39"/>
      <c r="H585" s="39"/>
      <c r="I585" s="39"/>
      <c r="J585" s="39"/>
      <c r="K585" s="39"/>
      <c r="L585" s="39"/>
      <c r="M585" s="660"/>
      <c r="N585" s="343"/>
      <c r="O585" s="343"/>
      <c r="P585" s="343"/>
      <c r="Q585" s="343"/>
      <c r="R585" s="600"/>
      <c r="S585" s="600"/>
      <c r="T585" s="600"/>
      <c r="U585" s="600"/>
      <c r="V585" s="600"/>
      <c r="W585" s="600"/>
      <c r="X585" s="600"/>
      <c r="Y585" s="600"/>
      <c r="Z585" s="600"/>
      <c r="AA585" s="482"/>
      <c r="AB585" s="482"/>
      <c r="AC585" s="482"/>
      <c r="AD585" s="600">
        <v>574</v>
      </c>
      <c r="AE585" s="482"/>
      <c r="AF585" s="600"/>
      <c r="AG585" s="600"/>
      <c r="AH585" s="600"/>
      <c r="AI585" s="600"/>
      <c r="AJ585" s="600"/>
      <c r="AK585" s="600"/>
      <c r="AL585" s="600"/>
      <c r="AM585" s="600"/>
      <c r="AN585" s="482"/>
      <c r="AO585" s="600"/>
      <c r="AP585" s="600"/>
      <c r="AQ585" s="600"/>
      <c r="AR585" s="600"/>
      <c r="AS585" s="600"/>
      <c r="AT585" s="600"/>
      <c r="AU585" s="600"/>
      <c r="AV585" s="600"/>
      <c r="AW585" s="482"/>
      <c r="AX585" s="482"/>
      <c r="AY585" s="482"/>
      <c r="AZ585" s="482"/>
      <c r="BA585" s="343"/>
      <c r="BB585" s="343"/>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row>
    <row r="586" spans="1:76" s="25" customFormat="1">
      <c r="A586" s="343"/>
      <c r="B586" s="343"/>
      <c r="C586" s="64"/>
      <c r="D586" s="64"/>
      <c r="E586" s="39"/>
      <c r="F586" s="39"/>
      <c r="G586" s="39"/>
      <c r="H586" s="39"/>
      <c r="I586" s="39"/>
      <c r="J586" s="39"/>
      <c r="K586" s="39"/>
      <c r="L586" s="39"/>
      <c r="M586" s="660"/>
      <c r="N586" s="343"/>
      <c r="O586" s="343"/>
      <c r="P586" s="343"/>
      <c r="Q586" s="343"/>
      <c r="R586" s="600"/>
      <c r="S586" s="600"/>
      <c r="T586" s="600"/>
      <c r="U586" s="600"/>
      <c r="V586" s="600"/>
      <c r="W586" s="600"/>
      <c r="X586" s="600"/>
      <c r="Y586" s="600"/>
      <c r="Z586" s="600"/>
      <c r="AA586" s="482"/>
      <c r="AB586" s="482"/>
      <c r="AC586" s="482"/>
      <c r="AD586" s="600">
        <v>575</v>
      </c>
      <c r="AE586" s="482"/>
      <c r="AF586" s="600"/>
      <c r="AG586" s="600"/>
      <c r="AH586" s="600"/>
      <c r="AI586" s="600"/>
      <c r="AJ586" s="600"/>
      <c r="AK586" s="600"/>
      <c r="AL586" s="600"/>
      <c r="AM586" s="600"/>
      <c r="AN586" s="482"/>
      <c r="AO586" s="600"/>
      <c r="AP586" s="600"/>
      <c r="AQ586" s="600"/>
      <c r="AR586" s="600"/>
      <c r="AS586" s="600"/>
      <c r="AT586" s="600"/>
      <c r="AU586" s="600"/>
      <c r="AV586" s="600"/>
      <c r="AW586" s="482"/>
      <c r="AX586" s="482"/>
      <c r="AY586" s="482"/>
      <c r="AZ586" s="482"/>
      <c r="BA586" s="343"/>
      <c r="BB586" s="343"/>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row>
    <row r="587" spans="1:76" s="25" customFormat="1">
      <c r="A587" s="343"/>
      <c r="B587" s="343"/>
      <c r="C587" s="64"/>
      <c r="D587" s="64"/>
      <c r="E587" s="39"/>
      <c r="F587" s="39"/>
      <c r="G587" s="39"/>
      <c r="H587" s="39"/>
      <c r="I587" s="39"/>
      <c r="J587" s="39"/>
      <c r="K587" s="39"/>
      <c r="L587" s="39"/>
      <c r="M587" s="660"/>
      <c r="N587" s="343"/>
      <c r="O587" s="343"/>
      <c r="P587" s="343"/>
      <c r="Q587" s="343"/>
      <c r="R587" s="600"/>
      <c r="S587" s="600"/>
      <c r="T587" s="600"/>
      <c r="U587" s="600"/>
      <c r="V587" s="600"/>
      <c r="W587" s="600"/>
      <c r="X587" s="600"/>
      <c r="Y587" s="600"/>
      <c r="Z587" s="600"/>
      <c r="AA587" s="482"/>
      <c r="AB587" s="482"/>
      <c r="AC587" s="482"/>
      <c r="AD587" s="600">
        <v>576</v>
      </c>
      <c r="AE587" s="482"/>
      <c r="AF587" s="600"/>
      <c r="AG587" s="600"/>
      <c r="AH587" s="600"/>
      <c r="AI587" s="600"/>
      <c r="AJ587" s="600"/>
      <c r="AK587" s="600"/>
      <c r="AL587" s="600"/>
      <c r="AM587" s="600"/>
      <c r="AN587" s="482"/>
      <c r="AO587" s="600"/>
      <c r="AP587" s="600"/>
      <c r="AQ587" s="600"/>
      <c r="AR587" s="600"/>
      <c r="AS587" s="600"/>
      <c r="AT587" s="600"/>
      <c r="AU587" s="600"/>
      <c r="AV587" s="600"/>
      <c r="AW587" s="482"/>
      <c r="AX587" s="482"/>
      <c r="AY587" s="482"/>
      <c r="AZ587" s="482"/>
      <c r="BA587" s="343"/>
      <c r="BB587" s="343"/>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row>
    <row r="588" spans="1:76" s="25" customFormat="1">
      <c r="A588" s="343"/>
      <c r="B588" s="343"/>
      <c r="C588" s="64"/>
      <c r="D588" s="64"/>
      <c r="E588" s="39"/>
      <c r="F588" s="39"/>
      <c r="G588" s="39"/>
      <c r="H588" s="39"/>
      <c r="I588" s="39"/>
      <c r="J588" s="39"/>
      <c r="K588" s="39"/>
      <c r="L588" s="39"/>
      <c r="M588" s="660"/>
      <c r="N588" s="343"/>
      <c r="O588" s="343"/>
      <c r="P588" s="343"/>
      <c r="Q588" s="343"/>
      <c r="R588" s="600"/>
      <c r="S588" s="600"/>
      <c r="T588" s="600"/>
      <c r="U588" s="600"/>
      <c r="V588" s="600"/>
      <c r="W588" s="600"/>
      <c r="X588" s="600"/>
      <c r="Y588" s="600"/>
      <c r="Z588" s="600"/>
      <c r="AA588" s="482"/>
      <c r="AB588" s="482"/>
      <c r="AC588" s="482"/>
      <c r="AD588" s="600">
        <v>577</v>
      </c>
      <c r="AE588" s="482"/>
      <c r="AF588" s="600"/>
      <c r="AG588" s="600"/>
      <c r="AH588" s="600"/>
      <c r="AI588" s="600"/>
      <c r="AJ588" s="600"/>
      <c r="AK588" s="600"/>
      <c r="AL588" s="600"/>
      <c r="AM588" s="600"/>
      <c r="AN588" s="482"/>
      <c r="AO588" s="600"/>
      <c r="AP588" s="600"/>
      <c r="AQ588" s="600"/>
      <c r="AR588" s="600"/>
      <c r="AS588" s="600"/>
      <c r="AT588" s="600"/>
      <c r="AU588" s="600"/>
      <c r="AV588" s="600"/>
      <c r="AW588" s="482"/>
      <c r="AX588" s="482"/>
      <c r="AY588" s="482"/>
      <c r="AZ588" s="482"/>
      <c r="BA588" s="343"/>
      <c r="BB588" s="343"/>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row>
    <row r="589" spans="1:76" s="25" customFormat="1">
      <c r="A589" s="343"/>
      <c r="B589" s="343"/>
      <c r="C589" s="64"/>
      <c r="D589" s="64"/>
      <c r="E589" s="39"/>
      <c r="F589" s="39"/>
      <c r="G589" s="39"/>
      <c r="H589" s="39"/>
      <c r="I589" s="39"/>
      <c r="J589" s="39"/>
      <c r="K589" s="39"/>
      <c r="L589" s="39"/>
      <c r="M589" s="660"/>
      <c r="N589" s="343"/>
      <c r="O589" s="343"/>
      <c r="P589" s="343"/>
      <c r="Q589" s="343"/>
      <c r="R589" s="600"/>
      <c r="S589" s="600"/>
      <c r="T589" s="600"/>
      <c r="U589" s="600"/>
      <c r="V589" s="600"/>
      <c r="W589" s="600"/>
      <c r="X589" s="600"/>
      <c r="Y589" s="600"/>
      <c r="Z589" s="600"/>
      <c r="AA589" s="482"/>
      <c r="AB589" s="482"/>
      <c r="AC589" s="482"/>
      <c r="AD589" s="600">
        <v>578</v>
      </c>
      <c r="AE589" s="482"/>
      <c r="AF589" s="600"/>
      <c r="AG589" s="600"/>
      <c r="AH589" s="600"/>
      <c r="AI589" s="600"/>
      <c r="AJ589" s="600"/>
      <c r="AK589" s="600"/>
      <c r="AL589" s="600"/>
      <c r="AM589" s="600"/>
      <c r="AN589" s="482"/>
      <c r="AO589" s="600"/>
      <c r="AP589" s="600"/>
      <c r="AQ589" s="600"/>
      <c r="AR589" s="600"/>
      <c r="AS589" s="600"/>
      <c r="AT589" s="600"/>
      <c r="AU589" s="600"/>
      <c r="AV589" s="600"/>
      <c r="AW589" s="482"/>
      <c r="AX589" s="482"/>
      <c r="AY589" s="482"/>
      <c r="AZ589" s="482"/>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row>
    <row r="590" spans="1:76" s="25" customFormat="1">
      <c r="A590" s="343"/>
      <c r="B590" s="343"/>
      <c r="C590" s="64"/>
      <c r="D590" s="64"/>
      <c r="E590" s="39"/>
      <c r="F590" s="39"/>
      <c r="G590" s="39"/>
      <c r="H590" s="39"/>
      <c r="I590" s="39"/>
      <c r="J590" s="39"/>
      <c r="K590" s="39"/>
      <c r="L590" s="39"/>
      <c r="M590" s="660"/>
      <c r="N590" s="343"/>
      <c r="O590" s="343"/>
      <c r="P590" s="343"/>
      <c r="Q590" s="343"/>
      <c r="R590" s="600"/>
      <c r="S590" s="600"/>
      <c r="T590" s="600"/>
      <c r="U590" s="600"/>
      <c r="V590" s="600"/>
      <c r="W590" s="600"/>
      <c r="X590" s="600"/>
      <c r="Y590" s="600"/>
      <c r="Z590" s="600"/>
      <c r="AA590" s="482"/>
      <c r="AB590" s="482"/>
      <c r="AC590" s="482"/>
      <c r="AD590" s="600">
        <v>579</v>
      </c>
      <c r="AE590" s="482"/>
      <c r="AF590" s="600"/>
      <c r="AG590" s="600"/>
      <c r="AH590" s="600"/>
      <c r="AI590" s="600"/>
      <c r="AJ590" s="600"/>
      <c r="AK590" s="600"/>
      <c r="AL590" s="600"/>
      <c r="AM590" s="600"/>
      <c r="AN590" s="482"/>
      <c r="AO590" s="600"/>
      <c r="AP590" s="600"/>
      <c r="AQ590" s="600"/>
      <c r="AR590" s="600"/>
      <c r="AS590" s="600"/>
      <c r="AT590" s="600"/>
      <c r="AU590" s="600"/>
      <c r="AV590" s="600"/>
      <c r="AW590" s="482"/>
      <c r="AX590" s="482"/>
      <c r="AY590" s="482"/>
      <c r="AZ590" s="482"/>
      <c r="BA590" s="343"/>
      <c r="BB590" s="343"/>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row>
    <row r="591" spans="1:76" s="25" customFormat="1">
      <c r="A591" s="343"/>
      <c r="B591" s="343"/>
      <c r="C591" s="64"/>
      <c r="D591" s="64"/>
      <c r="E591" s="39"/>
      <c r="F591" s="39"/>
      <c r="G591" s="39"/>
      <c r="H591" s="39"/>
      <c r="I591" s="39"/>
      <c r="J591" s="39"/>
      <c r="K591" s="39"/>
      <c r="L591" s="39"/>
      <c r="M591" s="660"/>
      <c r="N591" s="343"/>
      <c r="O591" s="343"/>
      <c r="P591" s="343"/>
      <c r="Q591" s="343"/>
      <c r="R591" s="600"/>
      <c r="S591" s="600"/>
      <c r="T591" s="600"/>
      <c r="U591" s="600"/>
      <c r="V591" s="600"/>
      <c r="W591" s="600"/>
      <c r="X591" s="600"/>
      <c r="Y591" s="600"/>
      <c r="Z591" s="600"/>
      <c r="AA591" s="482"/>
      <c r="AB591" s="482"/>
      <c r="AC591" s="482"/>
      <c r="AD591" s="600">
        <v>580</v>
      </c>
      <c r="AE591" s="482"/>
      <c r="AF591" s="600"/>
      <c r="AG591" s="600"/>
      <c r="AH591" s="600"/>
      <c r="AI591" s="600"/>
      <c r="AJ591" s="600"/>
      <c r="AK591" s="600"/>
      <c r="AL591" s="600"/>
      <c r="AM591" s="600"/>
      <c r="AN591" s="482"/>
      <c r="AO591" s="600"/>
      <c r="AP591" s="600"/>
      <c r="AQ591" s="600"/>
      <c r="AR591" s="600"/>
      <c r="AS591" s="600"/>
      <c r="AT591" s="600"/>
      <c r="AU591" s="600"/>
      <c r="AV591" s="600"/>
      <c r="AW591" s="482"/>
      <c r="AX591" s="482"/>
      <c r="AY591" s="482"/>
      <c r="AZ591" s="482"/>
      <c r="BA591" s="343"/>
      <c r="BB591" s="343"/>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row>
    <row r="592" spans="1:76" s="25" customFormat="1">
      <c r="A592" s="343"/>
      <c r="B592" s="343"/>
      <c r="C592" s="64"/>
      <c r="D592" s="64"/>
      <c r="E592" s="39"/>
      <c r="F592" s="39"/>
      <c r="G592" s="39"/>
      <c r="H592" s="39"/>
      <c r="I592" s="39"/>
      <c r="J592" s="39"/>
      <c r="K592" s="39"/>
      <c r="L592" s="39"/>
      <c r="M592" s="660"/>
      <c r="N592" s="343"/>
      <c r="O592" s="343"/>
      <c r="P592" s="343"/>
      <c r="Q592" s="343"/>
      <c r="R592" s="600"/>
      <c r="S592" s="600"/>
      <c r="T592" s="600"/>
      <c r="U592" s="600"/>
      <c r="V592" s="600"/>
      <c r="W592" s="600"/>
      <c r="X592" s="600"/>
      <c r="Y592" s="600"/>
      <c r="Z592" s="600"/>
      <c r="AA592" s="482"/>
      <c r="AB592" s="482"/>
      <c r="AC592" s="482"/>
      <c r="AD592" s="600">
        <v>581</v>
      </c>
      <c r="AE592" s="482"/>
      <c r="AF592" s="600"/>
      <c r="AG592" s="600"/>
      <c r="AH592" s="600"/>
      <c r="AI592" s="600"/>
      <c r="AJ592" s="600"/>
      <c r="AK592" s="600"/>
      <c r="AL592" s="600"/>
      <c r="AM592" s="600"/>
      <c r="AN592" s="482"/>
      <c r="AO592" s="600"/>
      <c r="AP592" s="600"/>
      <c r="AQ592" s="600"/>
      <c r="AR592" s="600"/>
      <c r="AS592" s="600"/>
      <c r="AT592" s="600"/>
      <c r="AU592" s="600"/>
      <c r="AV592" s="600"/>
      <c r="AW592" s="482"/>
      <c r="AX592" s="482"/>
      <c r="AY592" s="482"/>
      <c r="AZ592" s="482"/>
      <c r="BA592" s="343"/>
      <c r="BB592" s="343"/>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row>
    <row r="593" spans="1:76" s="25" customFormat="1">
      <c r="A593" s="343"/>
      <c r="B593" s="343"/>
      <c r="C593" s="64"/>
      <c r="D593" s="64"/>
      <c r="E593" s="39"/>
      <c r="F593" s="39"/>
      <c r="G593" s="39"/>
      <c r="H593" s="39"/>
      <c r="I593" s="39"/>
      <c r="J593" s="39"/>
      <c r="K593" s="39"/>
      <c r="L593" s="39"/>
      <c r="M593" s="660"/>
      <c r="N593" s="343"/>
      <c r="O593" s="343"/>
      <c r="P593" s="343"/>
      <c r="Q593" s="343"/>
      <c r="R593" s="600"/>
      <c r="S593" s="600"/>
      <c r="T593" s="600"/>
      <c r="U593" s="600"/>
      <c r="V593" s="600"/>
      <c r="W593" s="600"/>
      <c r="X593" s="600"/>
      <c r="Y593" s="600"/>
      <c r="Z593" s="600"/>
      <c r="AA593" s="482"/>
      <c r="AB593" s="482"/>
      <c r="AC593" s="482"/>
      <c r="AD593" s="600">
        <v>582</v>
      </c>
      <c r="AE593" s="482"/>
      <c r="AF593" s="600"/>
      <c r="AG593" s="600"/>
      <c r="AH593" s="600"/>
      <c r="AI593" s="600"/>
      <c r="AJ593" s="600"/>
      <c r="AK593" s="600"/>
      <c r="AL593" s="600"/>
      <c r="AM593" s="600"/>
      <c r="AN593" s="482"/>
      <c r="AO593" s="600"/>
      <c r="AP593" s="600"/>
      <c r="AQ593" s="600"/>
      <c r="AR593" s="600"/>
      <c r="AS593" s="600"/>
      <c r="AT593" s="600"/>
      <c r="AU593" s="600"/>
      <c r="AV593" s="600"/>
      <c r="AW593" s="482"/>
      <c r="AX593" s="482"/>
      <c r="AY593" s="482"/>
      <c r="AZ593" s="482"/>
      <c r="BA593" s="343"/>
      <c r="BB593" s="343"/>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row>
    <row r="594" spans="1:76" s="25" customFormat="1">
      <c r="A594" s="343"/>
      <c r="B594" s="343"/>
      <c r="C594" s="64"/>
      <c r="D594" s="64"/>
      <c r="E594" s="39"/>
      <c r="F594" s="39"/>
      <c r="G594" s="39"/>
      <c r="H594" s="39"/>
      <c r="I594" s="39"/>
      <c r="J594" s="39"/>
      <c r="K594" s="39"/>
      <c r="L594" s="39"/>
      <c r="M594" s="660"/>
      <c r="N594" s="343"/>
      <c r="O594" s="343"/>
      <c r="P594" s="343"/>
      <c r="Q594" s="343"/>
      <c r="R594" s="600"/>
      <c r="S594" s="600"/>
      <c r="T594" s="600"/>
      <c r="U594" s="600"/>
      <c r="V594" s="600"/>
      <c r="W594" s="600"/>
      <c r="X594" s="600"/>
      <c r="Y594" s="600"/>
      <c r="Z594" s="600"/>
      <c r="AA594" s="482"/>
      <c r="AB594" s="482"/>
      <c r="AC594" s="482"/>
      <c r="AD594" s="600">
        <v>583</v>
      </c>
      <c r="AE594" s="482"/>
      <c r="AF594" s="600"/>
      <c r="AG594" s="600"/>
      <c r="AH594" s="600"/>
      <c r="AI594" s="600"/>
      <c r="AJ594" s="600"/>
      <c r="AK594" s="600"/>
      <c r="AL594" s="600"/>
      <c r="AM594" s="600"/>
      <c r="AN594" s="482"/>
      <c r="AO594" s="600"/>
      <c r="AP594" s="600"/>
      <c r="AQ594" s="600"/>
      <c r="AR594" s="600"/>
      <c r="AS594" s="600"/>
      <c r="AT594" s="600"/>
      <c r="AU594" s="600"/>
      <c r="AV594" s="600"/>
      <c r="AW594" s="482"/>
      <c r="AX594" s="482"/>
      <c r="AY594" s="482"/>
      <c r="AZ594" s="482"/>
      <c r="BA594" s="343"/>
      <c r="BB594" s="343"/>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row>
    <row r="595" spans="1:76" s="25" customFormat="1">
      <c r="A595" s="343"/>
      <c r="B595" s="343"/>
      <c r="C595" s="64"/>
      <c r="D595" s="64"/>
      <c r="E595" s="39"/>
      <c r="F595" s="39"/>
      <c r="G595" s="39"/>
      <c r="H595" s="39"/>
      <c r="I595" s="39"/>
      <c r="J595" s="39"/>
      <c r="K595" s="39"/>
      <c r="L595" s="39"/>
      <c r="M595" s="660"/>
      <c r="N595" s="343"/>
      <c r="O595" s="343"/>
      <c r="P595" s="343"/>
      <c r="Q595" s="343"/>
      <c r="R595" s="600"/>
      <c r="S595" s="600"/>
      <c r="T595" s="600"/>
      <c r="U595" s="600"/>
      <c r="V595" s="600"/>
      <c r="W595" s="600"/>
      <c r="X595" s="600"/>
      <c r="Y595" s="600"/>
      <c r="Z595" s="600"/>
      <c r="AA595" s="482"/>
      <c r="AB595" s="482"/>
      <c r="AC595" s="482"/>
      <c r="AD595" s="600">
        <v>584</v>
      </c>
      <c r="AE595" s="482"/>
      <c r="AF595" s="600"/>
      <c r="AG595" s="600"/>
      <c r="AH595" s="600"/>
      <c r="AI595" s="600"/>
      <c r="AJ595" s="600"/>
      <c r="AK595" s="600"/>
      <c r="AL595" s="600"/>
      <c r="AM595" s="600"/>
      <c r="AN595" s="482"/>
      <c r="AO595" s="600"/>
      <c r="AP595" s="600"/>
      <c r="AQ595" s="600"/>
      <c r="AR595" s="600"/>
      <c r="AS595" s="600"/>
      <c r="AT595" s="600"/>
      <c r="AU595" s="600"/>
      <c r="AV595" s="600"/>
      <c r="AW595" s="482"/>
      <c r="AX595" s="482"/>
      <c r="AY595" s="482"/>
      <c r="AZ595" s="482"/>
      <c r="BA595" s="343"/>
      <c r="BB595" s="343"/>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row>
    <row r="596" spans="1:76" s="25" customFormat="1">
      <c r="A596" s="343"/>
      <c r="B596" s="343"/>
      <c r="C596" s="64"/>
      <c r="D596" s="64"/>
      <c r="E596" s="39"/>
      <c r="F596" s="39"/>
      <c r="G596" s="39"/>
      <c r="H596" s="39"/>
      <c r="I596" s="39"/>
      <c r="J596" s="39"/>
      <c r="K596" s="39"/>
      <c r="L596" s="39"/>
      <c r="M596" s="660"/>
      <c r="N596" s="343"/>
      <c r="O596" s="343"/>
      <c r="P596" s="343"/>
      <c r="Q596" s="343"/>
      <c r="R596" s="600"/>
      <c r="S596" s="600"/>
      <c r="T596" s="600"/>
      <c r="U596" s="600"/>
      <c r="V596" s="600"/>
      <c r="W596" s="600"/>
      <c r="X596" s="600"/>
      <c r="Y596" s="600"/>
      <c r="Z596" s="600"/>
      <c r="AA596" s="482"/>
      <c r="AB596" s="482"/>
      <c r="AC596" s="482"/>
      <c r="AD596" s="600">
        <v>585</v>
      </c>
      <c r="AE596" s="482"/>
      <c r="AF596" s="600"/>
      <c r="AG596" s="600"/>
      <c r="AH596" s="600"/>
      <c r="AI596" s="600"/>
      <c r="AJ596" s="600"/>
      <c r="AK596" s="600"/>
      <c r="AL596" s="600"/>
      <c r="AM596" s="600"/>
      <c r="AN596" s="482"/>
      <c r="AO596" s="600"/>
      <c r="AP596" s="600"/>
      <c r="AQ596" s="600"/>
      <c r="AR596" s="600"/>
      <c r="AS596" s="600"/>
      <c r="AT596" s="600"/>
      <c r="AU596" s="600"/>
      <c r="AV596" s="600"/>
      <c r="AW596" s="482"/>
      <c r="AX596" s="482"/>
      <c r="AY596" s="482"/>
      <c r="AZ596" s="482"/>
      <c r="BA596" s="343"/>
      <c r="BB596" s="343"/>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row>
    <row r="597" spans="1:76" s="25" customFormat="1">
      <c r="A597" s="343"/>
      <c r="B597" s="343"/>
      <c r="C597" s="64"/>
      <c r="D597" s="64"/>
      <c r="E597" s="39"/>
      <c r="F597" s="39"/>
      <c r="G597" s="39"/>
      <c r="H597" s="39"/>
      <c r="I597" s="39"/>
      <c r="J597" s="39"/>
      <c r="K597" s="39"/>
      <c r="L597" s="39"/>
      <c r="M597" s="660"/>
      <c r="N597" s="343"/>
      <c r="O597" s="343"/>
      <c r="P597" s="343"/>
      <c r="Q597" s="343"/>
      <c r="R597" s="600"/>
      <c r="S597" s="600"/>
      <c r="T597" s="600"/>
      <c r="U597" s="600"/>
      <c r="V597" s="600"/>
      <c r="W597" s="600"/>
      <c r="X597" s="600"/>
      <c r="Y597" s="600"/>
      <c r="Z597" s="600"/>
      <c r="AA597" s="482"/>
      <c r="AB597" s="482"/>
      <c r="AC597" s="482"/>
      <c r="AD597" s="600">
        <v>586</v>
      </c>
      <c r="AE597" s="482"/>
      <c r="AF597" s="600"/>
      <c r="AG597" s="600"/>
      <c r="AH597" s="600"/>
      <c r="AI597" s="600"/>
      <c r="AJ597" s="600"/>
      <c r="AK597" s="600"/>
      <c r="AL597" s="600"/>
      <c r="AM597" s="600"/>
      <c r="AN597" s="482"/>
      <c r="AO597" s="600"/>
      <c r="AP597" s="600"/>
      <c r="AQ597" s="600"/>
      <c r="AR597" s="600"/>
      <c r="AS597" s="600"/>
      <c r="AT597" s="600"/>
      <c r="AU597" s="600"/>
      <c r="AV597" s="600"/>
      <c r="AW597" s="482"/>
      <c r="AX597" s="482"/>
      <c r="AY597" s="482"/>
      <c r="AZ597" s="482"/>
      <c r="BA597" s="343"/>
      <c r="BB597" s="343"/>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row>
    <row r="598" spans="1:76" s="25" customFormat="1">
      <c r="A598" s="343"/>
      <c r="B598" s="343"/>
      <c r="C598" s="64"/>
      <c r="D598" s="64"/>
      <c r="E598" s="39"/>
      <c r="F598" s="39"/>
      <c r="G598" s="39"/>
      <c r="H598" s="39"/>
      <c r="I598" s="39"/>
      <c r="J598" s="39"/>
      <c r="K598" s="39"/>
      <c r="L598" s="39"/>
      <c r="M598" s="660"/>
      <c r="N598" s="343"/>
      <c r="O598" s="343"/>
      <c r="P598" s="343"/>
      <c r="Q598" s="343"/>
      <c r="R598" s="600"/>
      <c r="S598" s="600"/>
      <c r="T598" s="600"/>
      <c r="U598" s="600"/>
      <c r="V598" s="600"/>
      <c r="W598" s="600"/>
      <c r="X598" s="600"/>
      <c r="Y598" s="600"/>
      <c r="Z598" s="600"/>
      <c r="AA598" s="482"/>
      <c r="AB598" s="482"/>
      <c r="AC598" s="482"/>
      <c r="AD598" s="600">
        <v>587</v>
      </c>
      <c r="AE598" s="482"/>
      <c r="AF598" s="600"/>
      <c r="AG598" s="600"/>
      <c r="AH598" s="600"/>
      <c r="AI598" s="600"/>
      <c r="AJ598" s="600"/>
      <c r="AK598" s="600"/>
      <c r="AL598" s="600"/>
      <c r="AM598" s="600"/>
      <c r="AN598" s="482"/>
      <c r="AO598" s="600"/>
      <c r="AP598" s="600"/>
      <c r="AQ598" s="600"/>
      <c r="AR598" s="600"/>
      <c r="AS598" s="600"/>
      <c r="AT598" s="600"/>
      <c r="AU598" s="600"/>
      <c r="AV598" s="600"/>
      <c r="AW598" s="482"/>
      <c r="AX598" s="482"/>
      <c r="AY598" s="482"/>
      <c r="AZ598" s="482"/>
      <c r="BA598" s="343"/>
      <c r="BB598" s="343"/>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row>
    <row r="599" spans="1:76" s="25" customFormat="1">
      <c r="A599" s="343"/>
      <c r="B599" s="343"/>
      <c r="C599" s="64"/>
      <c r="D599" s="64"/>
      <c r="E599" s="39"/>
      <c r="F599" s="39"/>
      <c r="G599" s="39"/>
      <c r="H599" s="39"/>
      <c r="I599" s="39"/>
      <c r="J599" s="39"/>
      <c r="K599" s="39"/>
      <c r="L599" s="39"/>
      <c r="M599" s="660"/>
      <c r="N599" s="343"/>
      <c r="O599" s="343"/>
      <c r="P599" s="343"/>
      <c r="Q599" s="343"/>
      <c r="R599" s="600"/>
      <c r="S599" s="600"/>
      <c r="T599" s="600"/>
      <c r="U599" s="600"/>
      <c r="V599" s="600"/>
      <c r="W599" s="600"/>
      <c r="X599" s="600"/>
      <c r="Y599" s="600"/>
      <c r="Z599" s="600"/>
      <c r="AA599" s="482"/>
      <c r="AB599" s="482"/>
      <c r="AC599" s="482"/>
      <c r="AD599" s="600">
        <v>588</v>
      </c>
      <c r="AE599" s="482"/>
      <c r="AF599" s="600"/>
      <c r="AG599" s="600"/>
      <c r="AH599" s="600"/>
      <c r="AI599" s="600"/>
      <c r="AJ599" s="600"/>
      <c r="AK599" s="600"/>
      <c r="AL599" s="600"/>
      <c r="AM599" s="600"/>
      <c r="AN599" s="482"/>
      <c r="AO599" s="600"/>
      <c r="AP599" s="600"/>
      <c r="AQ599" s="600"/>
      <c r="AR599" s="600"/>
      <c r="AS599" s="600"/>
      <c r="AT599" s="600"/>
      <c r="AU599" s="600"/>
      <c r="AV599" s="600"/>
      <c r="AW599" s="482"/>
      <c r="AX599" s="482"/>
      <c r="AY599" s="482"/>
      <c r="AZ599" s="482"/>
      <c r="BA599" s="343"/>
      <c r="BB599" s="343"/>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row>
    <row r="600" spans="1:76" s="25" customFormat="1">
      <c r="A600" s="343"/>
      <c r="B600" s="343"/>
      <c r="C600" s="64"/>
      <c r="D600" s="64"/>
      <c r="E600" s="39"/>
      <c r="F600" s="39"/>
      <c r="G600" s="39"/>
      <c r="H600" s="39"/>
      <c r="I600" s="39"/>
      <c r="J600" s="39"/>
      <c r="K600" s="39"/>
      <c r="L600" s="39"/>
      <c r="M600" s="660"/>
      <c r="N600" s="343"/>
      <c r="O600" s="343"/>
      <c r="P600" s="343"/>
      <c r="Q600" s="343"/>
      <c r="R600" s="600"/>
      <c r="S600" s="600"/>
      <c r="T600" s="600"/>
      <c r="U600" s="600"/>
      <c r="V600" s="600"/>
      <c r="W600" s="600"/>
      <c r="X600" s="600"/>
      <c r="Y600" s="600"/>
      <c r="Z600" s="600"/>
      <c r="AA600" s="482"/>
      <c r="AB600" s="482"/>
      <c r="AC600" s="482"/>
      <c r="AD600" s="600">
        <v>589</v>
      </c>
      <c r="AE600" s="482"/>
      <c r="AF600" s="600"/>
      <c r="AG600" s="600"/>
      <c r="AH600" s="600"/>
      <c r="AI600" s="600"/>
      <c r="AJ600" s="600"/>
      <c r="AK600" s="600"/>
      <c r="AL600" s="600"/>
      <c r="AM600" s="600"/>
      <c r="AN600" s="482"/>
      <c r="AO600" s="600"/>
      <c r="AP600" s="600"/>
      <c r="AQ600" s="600"/>
      <c r="AR600" s="600"/>
      <c r="AS600" s="600"/>
      <c r="AT600" s="600"/>
      <c r="AU600" s="600"/>
      <c r="AV600" s="600"/>
      <c r="AW600" s="482"/>
      <c r="AX600" s="482"/>
      <c r="AY600" s="482"/>
      <c r="AZ600" s="482"/>
      <c r="BA600" s="343"/>
      <c r="BB600" s="343"/>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row>
    <row r="601" spans="1:76" s="25" customFormat="1">
      <c r="A601" s="343"/>
      <c r="B601" s="343"/>
      <c r="C601" s="64"/>
      <c r="D601" s="64"/>
      <c r="E601" s="39"/>
      <c r="F601" s="39"/>
      <c r="G601" s="39"/>
      <c r="H601" s="39"/>
      <c r="I601" s="39"/>
      <c r="J601" s="39"/>
      <c r="K601" s="39"/>
      <c r="L601" s="39"/>
      <c r="M601" s="660"/>
      <c r="N601" s="343"/>
      <c r="O601" s="343"/>
      <c r="P601" s="343"/>
      <c r="Q601" s="343"/>
      <c r="R601" s="600"/>
      <c r="S601" s="600"/>
      <c r="T601" s="600"/>
      <c r="U601" s="600"/>
      <c r="V601" s="600"/>
      <c r="W601" s="600"/>
      <c r="X601" s="600"/>
      <c r="Y601" s="600"/>
      <c r="Z601" s="600"/>
      <c r="AA601" s="482"/>
      <c r="AB601" s="482"/>
      <c r="AC601" s="482"/>
      <c r="AD601" s="600">
        <v>590</v>
      </c>
      <c r="AE601" s="482"/>
      <c r="AF601" s="600"/>
      <c r="AG601" s="600"/>
      <c r="AH601" s="600"/>
      <c r="AI601" s="600"/>
      <c r="AJ601" s="600"/>
      <c r="AK601" s="600"/>
      <c r="AL601" s="600"/>
      <c r="AM601" s="600"/>
      <c r="AN601" s="482"/>
      <c r="AO601" s="600"/>
      <c r="AP601" s="600"/>
      <c r="AQ601" s="600"/>
      <c r="AR601" s="600"/>
      <c r="AS601" s="600"/>
      <c r="AT601" s="600"/>
      <c r="AU601" s="600"/>
      <c r="AV601" s="600"/>
      <c r="AW601" s="482"/>
      <c r="AX601" s="482"/>
      <c r="AY601" s="482"/>
      <c r="AZ601" s="482"/>
      <c r="BA601" s="343"/>
      <c r="BB601" s="343"/>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row>
    <row r="602" spans="1:76" s="25" customFormat="1">
      <c r="A602" s="343"/>
      <c r="B602" s="343"/>
      <c r="C602" s="64"/>
      <c r="D602" s="64"/>
      <c r="E602" s="39"/>
      <c r="F602" s="39"/>
      <c r="G602" s="39"/>
      <c r="H602" s="39"/>
      <c r="I602" s="39"/>
      <c r="J602" s="39"/>
      <c r="K602" s="39"/>
      <c r="L602" s="39"/>
      <c r="M602" s="660"/>
      <c r="N602" s="343"/>
      <c r="O602" s="343"/>
      <c r="P602" s="343"/>
      <c r="Q602" s="343"/>
      <c r="R602" s="600"/>
      <c r="S602" s="600"/>
      <c r="T602" s="600"/>
      <c r="U602" s="600"/>
      <c r="V602" s="600"/>
      <c r="W602" s="600"/>
      <c r="X602" s="600"/>
      <c r="Y602" s="600"/>
      <c r="Z602" s="600"/>
      <c r="AA602" s="482"/>
      <c r="AB602" s="482"/>
      <c r="AC602" s="482"/>
      <c r="AD602" s="600">
        <v>591</v>
      </c>
      <c r="AE602" s="482"/>
      <c r="AF602" s="600"/>
      <c r="AG602" s="600"/>
      <c r="AH602" s="600"/>
      <c r="AI602" s="600"/>
      <c r="AJ602" s="600"/>
      <c r="AK602" s="600"/>
      <c r="AL602" s="600"/>
      <c r="AM602" s="600"/>
      <c r="AN602" s="482"/>
      <c r="AO602" s="600"/>
      <c r="AP602" s="600"/>
      <c r="AQ602" s="600"/>
      <c r="AR602" s="600"/>
      <c r="AS602" s="600"/>
      <c r="AT602" s="600"/>
      <c r="AU602" s="600"/>
      <c r="AV602" s="600"/>
      <c r="AW602" s="482"/>
      <c r="AX602" s="482"/>
      <c r="AY602" s="482"/>
      <c r="AZ602" s="482"/>
      <c r="BA602" s="343"/>
      <c r="BB602" s="343"/>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row>
    <row r="603" spans="1:76" s="25" customFormat="1">
      <c r="A603" s="343"/>
      <c r="B603" s="343"/>
      <c r="C603" s="64"/>
      <c r="D603" s="64"/>
      <c r="E603" s="39"/>
      <c r="F603" s="39"/>
      <c r="G603" s="39"/>
      <c r="H603" s="39"/>
      <c r="I603" s="39"/>
      <c r="J603" s="39"/>
      <c r="K603" s="39"/>
      <c r="L603" s="39"/>
      <c r="M603" s="660"/>
      <c r="N603" s="343"/>
      <c r="O603" s="343"/>
      <c r="P603" s="343"/>
      <c r="Q603" s="343"/>
      <c r="R603" s="600"/>
      <c r="S603" s="600"/>
      <c r="T603" s="600"/>
      <c r="U603" s="600"/>
      <c r="V603" s="600"/>
      <c r="W603" s="600"/>
      <c r="X603" s="600"/>
      <c r="Y603" s="600"/>
      <c r="Z603" s="600"/>
      <c r="AA603" s="482"/>
      <c r="AB603" s="482"/>
      <c r="AC603" s="482"/>
      <c r="AD603" s="600">
        <v>592</v>
      </c>
      <c r="AE603" s="482"/>
      <c r="AF603" s="600"/>
      <c r="AG603" s="600"/>
      <c r="AH603" s="600"/>
      <c r="AI603" s="600"/>
      <c r="AJ603" s="600"/>
      <c r="AK603" s="600"/>
      <c r="AL603" s="600"/>
      <c r="AM603" s="600"/>
      <c r="AN603" s="482"/>
      <c r="AO603" s="600"/>
      <c r="AP603" s="600"/>
      <c r="AQ603" s="600"/>
      <c r="AR603" s="600"/>
      <c r="AS603" s="600"/>
      <c r="AT603" s="600"/>
      <c r="AU603" s="600"/>
      <c r="AV603" s="600"/>
      <c r="AW603" s="482"/>
      <c r="AX603" s="482"/>
      <c r="AY603" s="482"/>
      <c r="AZ603" s="482"/>
      <c r="BA603" s="343"/>
      <c r="BB603" s="343"/>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row>
    <row r="604" spans="1:76" s="25" customFormat="1">
      <c r="A604" s="343"/>
      <c r="B604" s="343"/>
      <c r="C604" s="64"/>
      <c r="D604" s="64"/>
      <c r="E604" s="39"/>
      <c r="F604" s="39"/>
      <c r="G604" s="39"/>
      <c r="H604" s="39"/>
      <c r="I604" s="39"/>
      <c r="J604" s="39"/>
      <c r="K604" s="39"/>
      <c r="L604" s="39"/>
      <c r="M604" s="660"/>
      <c r="N604" s="343"/>
      <c r="O604" s="343"/>
      <c r="P604" s="343"/>
      <c r="Q604" s="343"/>
      <c r="R604" s="600"/>
      <c r="S604" s="600"/>
      <c r="T604" s="600"/>
      <c r="U604" s="600"/>
      <c r="V604" s="600"/>
      <c r="W604" s="600"/>
      <c r="X604" s="600"/>
      <c r="Y604" s="600"/>
      <c r="Z604" s="600"/>
      <c r="AA604" s="482"/>
      <c r="AB604" s="482"/>
      <c r="AC604" s="482"/>
      <c r="AD604" s="600">
        <v>593</v>
      </c>
      <c r="AE604" s="482"/>
      <c r="AF604" s="600"/>
      <c r="AG604" s="600"/>
      <c r="AH604" s="600"/>
      <c r="AI604" s="600"/>
      <c r="AJ604" s="600"/>
      <c r="AK604" s="600"/>
      <c r="AL604" s="600"/>
      <c r="AM604" s="600"/>
      <c r="AN604" s="482"/>
      <c r="AO604" s="600"/>
      <c r="AP604" s="600"/>
      <c r="AQ604" s="600"/>
      <c r="AR604" s="600"/>
      <c r="AS604" s="600"/>
      <c r="AT604" s="600"/>
      <c r="AU604" s="600"/>
      <c r="AV604" s="600"/>
      <c r="AW604" s="482"/>
      <c r="AX604" s="482"/>
      <c r="AY604" s="482"/>
      <c r="AZ604" s="482"/>
      <c r="BA604" s="343"/>
      <c r="BB604" s="343"/>
      <c r="BC604" s="343"/>
      <c r="BD604" s="343"/>
      <c r="BE604" s="343"/>
      <c r="BF604" s="343"/>
      <c r="BG604" s="343"/>
      <c r="BH604" s="343"/>
      <c r="BI604" s="343"/>
      <c r="BJ604" s="343"/>
      <c r="BK604" s="343"/>
      <c r="BL604" s="343"/>
      <c r="BM604" s="343"/>
      <c r="BN604" s="343"/>
      <c r="BO604" s="343"/>
      <c r="BP604" s="343"/>
      <c r="BQ604" s="343"/>
      <c r="BR604" s="343"/>
      <c r="BS604" s="343"/>
      <c r="BT604" s="343"/>
      <c r="BU604" s="343"/>
      <c r="BV604" s="343"/>
      <c r="BW604" s="343"/>
      <c r="BX604" s="343"/>
    </row>
    <row r="605" spans="1:76" s="25" customFormat="1">
      <c r="A605" s="343"/>
      <c r="B605" s="343"/>
      <c r="C605" s="64"/>
      <c r="D605" s="64"/>
      <c r="E605" s="39"/>
      <c r="F605" s="39"/>
      <c r="G605" s="39"/>
      <c r="H605" s="39"/>
      <c r="I605" s="39"/>
      <c r="J605" s="39"/>
      <c r="K605" s="39"/>
      <c r="L605" s="39"/>
      <c r="M605" s="660"/>
      <c r="N605" s="343"/>
      <c r="O605" s="343"/>
      <c r="P605" s="343"/>
      <c r="Q605" s="343"/>
      <c r="R605" s="600"/>
      <c r="S605" s="600"/>
      <c r="T605" s="600"/>
      <c r="U605" s="600"/>
      <c r="V605" s="600"/>
      <c r="W605" s="600"/>
      <c r="X605" s="600"/>
      <c r="Y605" s="600"/>
      <c r="Z605" s="600"/>
      <c r="AA605" s="482"/>
      <c r="AB605" s="482"/>
      <c r="AC605" s="482"/>
      <c r="AD605" s="600">
        <v>594</v>
      </c>
      <c r="AE605" s="482"/>
      <c r="AF605" s="600"/>
      <c r="AG605" s="600"/>
      <c r="AH605" s="600"/>
      <c r="AI605" s="600"/>
      <c r="AJ605" s="600"/>
      <c r="AK605" s="600"/>
      <c r="AL605" s="600"/>
      <c r="AM605" s="600"/>
      <c r="AN605" s="482"/>
      <c r="AO605" s="600"/>
      <c r="AP605" s="600"/>
      <c r="AQ605" s="600"/>
      <c r="AR605" s="600"/>
      <c r="AS605" s="600"/>
      <c r="AT605" s="600"/>
      <c r="AU605" s="600"/>
      <c r="AV605" s="600"/>
      <c r="AW605" s="482"/>
      <c r="AX605" s="482"/>
      <c r="AY605" s="482"/>
      <c r="AZ605" s="482"/>
      <c r="BA605" s="343"/>
      <c r="BB605" s="343"/>
      <c r="BC605" s="343"/>
      <c r="BD605" s="343"/>
      <c r="BE605" s="343"/>
      <c r="BF605" s="343"/>
      <c r="BG605" s="343"/>
      <c r="BH605" s="343"/>
      <c r="BI605" s="343"/>
      <c r="BJ605" s="343"/>
      <c r="BK605" s="343"/>
      <c r="BL605" s="343"/>
      <c r="BM605" s="343"/>
      <c r="BN605" s="343"/>
      <c r="BO605" s="343"/>
      <c r="BP605" s="343"/>
      <c r="BQ605" s="343"/>
      <c r="BR605" s="343"/>
      <c r="BS605" s="343"/>
      <c r="BT605" s="343"/>
      <c r="BU605" s="343"/>
      <c r="BV605" s="343"/>
      <c r="BW605" s="343"/>
      <c r="BX605" s="343"/>
    </row>
    <row r="606" spans="1:76" s="25" customFormat="1">
      <c r="A606" s="343"/>
      <c r="B606" s="343"/>
      <c r="C606" s="64"/>
      <c r="D606" s="64"/>
      <c r="E606" s="39"/>
      <c r="F606" s="39"/>
      <c r="G606" s="39"/>
      <c r="H606" s="39"/>
      <c r="I606" s="39"/>
      <c r="J606" s="39"/>
      <c r="K606" s="39"/>
      <c r="L606" s="39"/>
      <c r="M606" s="660"/>
      <c r="N606" s="343"/>
      <c r="O606" s="343"/>
      <c r="P606" s="343"/>
      <c r="Q606" s="343"/>
      <c r="R606" s="600"/>
      <c r="S606" s="600"/>
      <c r="T606" s="600"/>
      <c r="U606" s="600"/>
      <c r="V606" s="600"/>
      <c r="W606" s="600"/>
      <c r="X606" s="600"/>
      <c r="Y606" s="600"/>
      <c r="Z606" s="600"/>
      <c r="AA606" s="482"/>
      <c r="AB606" s="482"/>
      <c r="AC606" s="482"/>
      <c r="AD606" s="600">
        <v>595</v>
      </c>
      <c r="AE606" s="482"/>
      <c r="AF606" s="600"/>
      <c r="AG606" s="600"/>
      <c r="AH606" s="600"/>
      <c r="AI606" s="600"/>
      <c r="AJ606" s="600"/>
      <c r="AK606" s="600"/>
      <c r="AL606" s="600"/>
      <c r="AM606" s="600"/>
      <c r="AN606" s="482"/>
      <c r="AO606" s="600"/>
      <c r="AP606" s="600"/>
      <c r="AQ606" s="600"/>
      <c r="AR606" s="600"/>
      <c r="AS606" s="600"/>
      <c r="AT606" s="600"/>
      <c r="AU606" s="600"/>
      <c r="AV606" s="600"/>
      <c r="AW606" s="482"/>
      <c r="AX606" s="482"/>
      <c r="AY606" s="482"/>
      <c r="AZ606" s="482"/>
      <c r="BA606" s="343"/>
      <c r="BB606" s="343"/>
      <c r="BC606" s="343"/>
      <c r="BD606" s="343"/>
      <c r="BE606" s="343"/>
      <c r="BF606" s="343"/>
      <c r="BG606" s="343"/>
      <c r="BH606" s="343"/>
      <c r="BI606" s="343"/>
      <c r="BJ606" s="343"/>
      <c r="BK606" s="343"/>
      <c r="BL606" s="343"/>
      <c r="BM606" s="343"/>
      <c r="BN606" s="343"/>
      <c r="BO606" s="343"/>
      <c r="BP606" s="343"/>
      <c r="BQ606" s="343"/>
      <c r="BR606" s="343"/>
      <c r="BS606" s="343"/>
      <c r="BT606" s="343"/>
      <c r="BU606" s="343"/>
      <c r="BV606" s="343"/>
      <c r="BW606" s="343"/>
      <c r="BX606" s="343"/>
    </row>
    <row r="607" spans="1:76" s="25" customFormat="1">
      <c r="A607" s="343"/>
      <c r="B607" s="343"/>
      <c r="C607" s="64"/>
      <c r="D607" s="64"/>
      <c r="E607" s="39"/>
      <c r="F607" s="39"/>
      <c r="G607" s="39"/>
      <c r="H607" s="39"/>
      <c r="I607" s="39"/>
      <c r="J607" s="39"/>
      <c r="K607" s="39"/>
      <c r="L607" s="39"/>
      <c r="M607" s="660"/>
      <c r="N607" s="343"/>
      <c r="O607" s="343"/>
      <c r="P607" s="343"/>
      <c r="Q607" s="343"/>
      <c r="R607" s="600"/>
      <c r="S607" s="600"/>
      <c r="T607" s="600"/>
      <c r="U607" s="600"/>
      <c r="V607" s="600"/>
      <c r="W607" s="600"/>
      <c r="X607" s="600"/>
      <c r="Y607" s="600"/>
      <c r="Z607" s="600"/>
      <c r="AA607" s="482"/>
      <c r="AB607" s="482"/>
      <c r="AC607" s="482"/>
      <c r="AD607" s="600">
        <v>596</v>
      </c>
      <c r="AE607" s="482"/>
      <c r="AF607" s="600"/>
      <c r="AG607" s="600"/>
      <c r="AH607" s="600"/>
      <c r="AI607" s="600"/>
      <c r="AJ607" s="600"/>
      <c r="AK607" s="600"/>
      <c r="AL607" s="600"/>
      <c r="AM607" s="600"/>
      <c r="AN607" s="482"/>
      <c r="AO607" s="600"/>
      <c r="AP607" s="600"/>
      <c r="AQ607" s="600"/>
      <c r="AR607" s="600"/>
      <c r="AS607" s="600"/>
      <c r="AT607" s="600"/>
      <c r="AU607" s="600"/>
      <c r="AV607" s="600"/>
      <c r="AW607" s="482"/>
      <c r="AX607" s="482"/>
      <c r="AY607" s="482"/>
      <c r="AZ607" s="482"/>
      <c r="BA607" s="343"/>
      <c r="BB607" s="343"/>
      <c r="BC607" s="343"/>
      <c r="BD607" s="343"/>
      <c r="BE607" s="343"/>
      <c r="BF607" s="343"/>
      <c r="BG607" s="343"/>
      <c r="BH607" s="343"/>
      <c r="BI607" s="343"/>
      <c r="BJ607" s="343"/>
      <c r="BK607" s="343"/>
      <c r="BL607" s="343"/>
      <c r="BM607" s="343"/>
      <c r="BN607" s="343"/>
      <c r="BO607" s="343"/>
      <c r="BP607" s="343"/>
      <c r="BQ607" s="343"/>
      <c r="BR607" s="343"/>
      <c r="BS607" s="343"/>
      <c r="BT607" s="343"/>
      <c r="BU607" s="343"/>
      <c r="BV607" s="343"/>
      <c r="BW607" s="343"/>
      <c r="BX607" s="343"/>
    </row>
    <row r="608" spans="1:76" s="25" customFormat="1">
      <c r="A608" s="343"/>
      <c r="B608" s="343"/>
      <c r="C608" s="64"/>
      <c r="D608" s="64"/>
      <c r="E608" s="39"/>
      <c r="F608" s="39"/>
      <c r="G608" s="39"/>
      <c r="H608" s="39"/>
      <c r="I608" s="39"/>
      <c r="J608" s="39"/>
      <c r="K608" s="39"/>
      <c r="L608" s="39"/>
      <c r="M608" s="660"/>
      <c r="N608" s="343"/>
      <c r="O608" s="343"/>
      <c r="P608" s="343"/>
      <c r="Q608" s="343"/>
      <c r="R608" s="600"/>
      <c r="S608" s="600"/>
      <c r="T608" s="600"/>
      <c r="U608" s="600"/>
      <c r="V608" s="600"/>
      <c r="W608" s="600"/>
      <c r="X608" s="600"/>
      <c r="Y608" s="600"/>
      <c r="Z608" s="600"/>
      <c r="AA608" s="482"/>
      <c r="AB608" s="482"/>
      <c r="AC608" s="482"/>
      <c r="AD608" s="600">
        <v>597</v>
      </c>
      <c r="AE608" s="482"/>
      <c r="AF608" s="600"/>
      <c r="AG608" s="600"/>
      <c r="AH608" s="600"/>
      <c r="AI608" s="600"/>
      <c r="AJ608" s="600"/>
      <c r="AK608" s="600"/>
      <c r="AL608" s="600"/>
      <c r="AM608" s="600"/>
      <c r="AN608" s="482"/>
      <c r="AO608" s="600"/>
      <c r="AP608" s="600"/>
      <c r="AQ608" s="600"/>
      <c r="AR608" s="600"/>
      <c r="AS608" s="600"/>
      <c r="AT608" s="600"/>
      <c r="AU608" s="600"/>
      <c r="AV608" s="600"/>
      <c r="AW608" s="482"/>
      <c r="AX608" s="482"/>
      <c r="AY608" s="482"/>
      <c r="AZ608" s="482"/>
      <c r="BA608" s="343"/>
      <c r="BB608" s="343"/>
      <c r="BC608" s="343"/>
      <c r="BD608" s="343"/>
      <c r="BE608" s="343"/>
      <c r="BF608" s="343"/>
      <c r="BG608" s="343"/>
      <c r="BH608" s="343"/>
      <c r="BI608" s="343"/>
      <c r="BJ608" s="343"/>
      <c r="BK608" s="343"/>
      <c r="BL608" s="343"/>
      <c r="BM608" s="343"/>
      <c r="BN608" s="343"/>
      <c r="BO608" s="343"/>
      <c r="BP608" s="343"/>
      <c r="BQ608" s="343"/>
      <c r="BR608" s="343"/>
      <c r="BS608" s="343"/>
      <c r="BT608" s="343"/>
      <c r="BU608" s="343"/>
      <c r="BV608" s="343"/>
      <c r="BW608" s="343"/>
      <c r="BX608" s="343"/>
    </row>
    <row r="609" spans="1:76" s="25" customFormat="1">
      <c r="A609" s="343"/>
      <c r="B609" s="343"/>
      <c r="C609" s="64"/>
      <c r="D609" s="64"/>
      <c r="E609" s="39"/>
      <c r="F609" s="39"/>
      <c r="G609" s="39"/>
      <c r="H609" s="39"/>
      <c r="I609" s="39"/>
      <c r="J609" s="39"/>
      <c r="K609" s="39"/>
      <c r="L609" s="39"/>
      <c r="M609" s="660"/>
      <c r="N609" s="343"/>
      <c r="O609" s="343"/>
      <c r="P609" s="343"/>
      <c r="Q609" s="343"/>
      <c r="R609" s="600"/>
      <c r="S609" s="600"/>
      <c r="T609" s="600"/>
      <c r="U609" s="600"/>
      <c r="V609" s="600"/>
      <c r="W609" s="600"/>
      <c r="X609" s="600"/>
      <c r="Y609" s="600"/>
      <c r="Z609" s="600"/>
      <c r="AA609" s="482"/>
      <c r="AB609" s="482"/>
      <c r="AC609" s="482"/>
      <c r="AD609" s="600">
        <v>598</v>
      </c>
      <c r="AE609" s="482"/>
      <c r="AF609" s="600"/>
      <c r="AG609" s="600"/>
      <c r="AH609" s="600"/>
      <c r="AI609" s="600"/>
      <c r="AJ609" s="600"/>
      <c r="AK609" s="600"/>
      <c r="AL609" s="600"/>
      <c r="AM609" s="600"/>
      <c r="AN609" s="482"/>
      <c r="AO609" s="600"/>
      <c r="AP609" s="600"/>
      <c r="AQ609" s="600"/>
      <c r="AR609" s="600"/>
      <c r="AS609" s="600"/>
      <c r="AT609" s="600"/>
      <c r="AU609" s="600"/>
      <c r="AV609" s="600"/>
      <c r="AW609" s="482"/>
      <c r="AX609" s="482"/>
      <c r="AY609" s="482"/>
      <c r="AZ609" s="482"/>
      <c r="BA609" s="343"/>
      <c r="BB609" s="343"/>
      <c r="BC609" s="343"/>
      <c r="BD609" s="343"/>
      <c r="BE609" s="343"/>
      <c r="BF609" s="343"/>
      <c r="BG609" s="343"/>
      <c r="BH609" s="343"/>
      <c r="BI609" s="343"/>
      <c r="BJ609" s="343"/>
      <c r="BK609" s="343"/>
      <c r="BL609" s="343"/>
      <c r="BM609" s="343"/>
      <c r="BN609" s="343"/>
      <c r="BO609" s="343"/>
      <c r="BP609" s="343"/>
      <c r="BQ609" s="343"/>
      <c r="BR609" s="343"/>
      <c r="BS609" s="343"/>
      <c r="BT609" s="343"/>
      <c r="BU609" s="343"/>
      <c r="BV609" s="343"/>
      <c r="BW609" s="343"/>
      <c r="BX609" s="343"/>
    </row>
    <row r="610" spans="1:76" s="25" customFormat="1">
      <c r="A610" s="343"/>
      <c r="B610" s="343"/>
      <c r="C610" s="64"/>
      <c r="D610" s="64"/>
      <c r="E610" s="39"/>
      <c r="F610" s="39"/>
      <c r="G610" s="39"/>
      <c r="H610" s="39"/>
      <c r="I610" s="39"/>
      <c r="J610" s="39"/>
      <c r="K610" s="39"/>
      <c r="L610" s="39"/>
      <c r="M610" s="660"/>
      <c r="N610" s="343"/>
      <c r="O610" s="343"/>
      <c r="P610" s="343"/>
      <c r="Q610" s="343"/>
      <c r="R610" s="600"/>
      <c r="S610" s="600"/>
      <c r="T610" s="600"/>
      <c r="U610" s="600"/>
      <c r="V610" s="600"/>
      <c r="W610" s="600"/>
      <c r="X610" s="600"/>
      <c r="Y610" s="600"/>
      <c r="Z610" s="600"/>
      <c r="AA610" s="482"/>
      <c r="AB610" s="482"/>
      <c r="AC610" s="482"/>
      <c r="AD610" s="600">
        <v>599</v>
      </c>
      <c r="AE610" s="482"/>
      <c r="AF610" s="600"/>
      <c r="AG610" s="600"/>
      <c r="AH610" s="600"/>
      <c r="AI610" s="600"/>
      <c r="AJ610" s="600"/>
      <c r="AK610" s="600"/>
      <c r="AL610" s="600"/>
      <c r="AM610" s="600"/>
      <c r="AN610" s="482"/>
      <c r="AO610" s="600"/>
      <c r="AP610" s="600"/>
      <c r="AQ610" s="600"/>
      <c r="AR610" s="600"/>
      <c r="AS610" s="600"/>
      <c r="AT610" s="600"/>
      <c r="AU610" s="600"/>
      <c r="AV610" s="600"/>
      <c r="AW610" s="482"/>
      <c r="AX610" s="482"/>
      <c r="AY610" s="482"/>
      <c r="AZ610" s="482"/>
      <c r="BA610" s="343"/>
      <c r="BB610" s="343"/>
      <c r="BC610" s="343"/>
      <c r="BD610" s="343"/>
      <c r="BE610" s="343"/>
      <c r="BF610" s="343"/>
      <c r="BG610" s="343"/>
      <c r="BH610" s="343"/>
      <c r="BI610" s="343"/>
      <c r="BJ610" s="343"/>
      <c r="BK610" s="343"/>
      <c r="BL610" s="343"/>
      <c r="BM610" s="343"/>
      <c r="BN610" s="343"/>
      <c r="BO610" s="343"/>
      <c r="BP610" s="343"/>
      <c r="BQ610" s="343"/>
      <c r="BR610" s="343"/>
      <c r="BS610" s="343"/>
      <c r="BT610" s="343"/>
      <c r="BU610" s="343"/>
      <c r="BV610" s="343"/>
      <c r="BW610" s="343"/>
      <c r="BX610" s="343"/>
    </row>
    <row r="611" spans="1:76" s="25" customFormat="1">
      <c r="A611" s="343"/>
      <c r="B611" s="343"/>
      <c r="C611" s="64"/>
      <c r="D611" s="64"/>
      <c r="E611" s="39"/>
      <c r="F611" s="39"/>
      <c r="G611" s="39"/>
      <c r="H611" s="39"/>
      <c r="I611" s="39"/>
      <c r="J611" s="39"/>
      <c r="K611" s="39"/>
      <c r="L611" s="39"/>
      <c r="M611" s="660"/>
      <c r="N611" s="343"/>
      <c r="O611" s="343"/>
      <c r="P611" s="343"/>
      <c r="Q611" s="343"/>
      <c r="R611" s="600"/>
      <c r="S611" s="600"/>
      <c r="T611" s="600"/>
      <c r="U611" s="600"/>
      <c r="V611" s="600"/>
      <c r="W611" s="600"/>
      <c r="X611" s="600"/>
      <c r="Y611" s="600"/>
      <c r="Z611" s="600"/>
      <c r="AA611" s="482"/>
      <c r="AB611" s="482"/>
      <c r="AC611" s="482"/>
      <c r="AD611" s="600">
        <v>600</v>
      </c>
      <c r="AE611" s="482"/>
      <c r="AF611" s="600"/>
      <c r="AG611" s="600"/>
      <c r="AH611" s="600"/>
      <c r="AI611" s="600"/>
      <c r="AJ611" s="600"/>
      <c r="AK611" s="600"/>
      <c r="AL611" s="600"/>
      <c r="AM611" s="600"/>
      <c r="AN611" s="482"/>
      <c r="AO611" s="600"/>
      <c r="AP611" s="600"/>
      <c r="AQ611" s="600"/>
      <c r="AR611" s="600"/>
      <c r="AS611" s="600"/>
      <c r="AT611" s="600"/>
      <c r="AU611" s="600"/>
      <c r="AV611" s="600"/>
      <c r="AW611" s="482"/>
      <c r="AX611" s="482"/>
      <c r="AY611" s="482"/>
      <c r="AZ611" s="482"/>
      <c r="BA611" s="343"/>
      <c r="BB611" s="343"/>
      <c r="BC611" s="343"/>
      <c r="BD611" s="343"/>
      <c r="BE611" s="343"/>
      <c r="BF611" s="343"/>
      <c r="BG611" s="343"/>
      <c r="BH611" s="343"/>
      <c r="BI611" s="343"/>
      <c r="BJ611" s="343"/>
      <c r="BK611" s="343"/>
      <c r="BL611" s="343"/>
      <c r="BM611" s="343"/>
      <c r="BN611" s="343"/>
      <c r="BO611" s="343"/>
      <c r="BP611" s="343"/>
      <c r="BQ611" s="343"/>
      <c r="BR611" s="343"/>
      <c r="BS611" s="343"/>
      <c r="BT611" s="343"/>
      <c r="BU611" s="343"/>
      <c r="BV611" s="343"/>
      <c r="BW611" s="343"/>
      <c r="BX611" s="343"/>
    </row>
    <row r="612" spans="1:76" s="25" customFormat="1">
      <c r="A612" s="343"/>
      <c r="B612" s="343"/>
      <c r="C612" s="64"/>
      <c r="D612" s="64"/>
      <c r="E612" s="39"/>
      <c r="F612" s="39"/>
      <c r="G612" s="39"/>
      <c r="H612" s="39"/>
      <c r="I612" s="39"/>
      <c r="J612" s="39"/>
      <c r="K612" s="39"/>
      <c r="L612" s="39"/>
      <c r="M612" s="660"/>
      <c r="N612" s="343"/>
      <c r="O612" s="343"/>
      <c r="P612" s="343"/>
      <c r="Q612" s="343"/>
      <c r="R612" s="600"/>
      <c r="S612" s="600"/>
      <c r="T612" s="600"/>
      <c r="U612" s="600"/>
      <c r="V612" s="600"/>
      <c r="W612" s="600"/>
      <c r="X612" s="600"/>
      <c r="Y612" s="600"/>
      <c r="Z612" s="600"/>
      <c r="AA612" s="482"/>
      <c r="AB612" s="482"/>
      <c r="AC612" s="482"/>
      <c r="AD612" s="600">
        <v>601</v>
      </c>
      <c r="AE612" s="482"/>
      <c r="AF612" s="600"/>
      <c r="AG612" s="600"/>
      <c r="AH612" s="600"/>
      <c r="AI612" s="600"/>
      <c r="AJ612" s="600"/>
      <c r="AK612" s="600"/>
      <c r="AL612" s="600"/>
      <c r="AM612" s="600"/>
      <c r="AN612" s="482"/>
      <c r="AO612" s="600"/>
      <c r="AP612" s="600"/>
      <c r="AQ612" s="600"/>
      <c r="AR612" s="600"/>
      <c r="AS612" s="600"/>
      <c r="AT612" s="600"/>
      <c r="AU612" s="600"/>
      <c r="AV612" s="600"/>
      <c r="AW612" s="482"/>
      <c r="AX612" s="482"/>
      <c r="AY612" s="482"/>
      <c r="AZ612" s="482"/>
      <c r="BA612" s="343"/>
      <c r="BB612" s="343"/>
      <c r="BC612" s="343"/>
      <c r="BD612" s="343"/>
      <c r="BE612" s="343"/>
      <c r="BF612" s="343"/>
      <c r="BG612" s="343"/>
      <c r="BH612" s="343"/>
      <c r="BI612" s="343"/>
      <c r="BJ612" s="343"/>
      <c r="BK612" s="343"/>
      <c r="BL612" s="343"/>
      <c r="BM612" s="343"/>
      <c r="BN612" s="343"/>
      <c r="BO612" s="343"/>
      <c r="BP612" s="343"/>
      <c r="BQ612" s="343"/>
      <c r="BR612" s="343"/>
      <c r="BS612" s="343"/>
      <c r="BT612" s="343"/>
      <c r="BU612" s="343"/>
      <c r="BV612" s="343"/>
      <c r="BW612" s="343"/>
      <c r="BX612" s="343"/>
    </row>
    <row r="613" spans="1:76" s="25" customFormat="1">
      <c r="A613" s="343"/>
      <c r="B613" s="343"/>
      <c r="C613" s="64"/>
      <c r="D613" s="64"/>
      <c r="E613" s="39"/>
      <c r="F613" s="39"/>
      <c r="G613" s="39"/>
      <c r="H613" s="39"/>
      <c r="I613" s="39"/>
      <c r="J613" s="39"/>
      <c r="K613" s="39"/>
      <c r="L613" s="39"/>
      <c r="M613" s="660"/>
      <c r="N613" s="343"/>
      <c r="O613" s="343"/>
      <c r="P613" s="343"/>
      <c r="Q613" s="343"/>
      <c r="R613" s="600"/>
      <c r="S613" s="600"/>
      <c r="T613" s="600"/>
      <c r="U613" s="600"/>
      <c r="V613" s="600"/>
      <c r="W613" s="600"/>
      <c r="X613" s="600"/>
      <c r="Y613" s="600"/>
      <c r="Z613" s="600"/>
      <c r="AA613" s="482"/>
      <c r="AB613" s="482"/>
      <c r="AC613" s="482"/>
      <c r="AD613" s="600">
        <v>602</v>
      </c>
      <c r="AE613" s="482"/>
      <c r="AF613" s="600"/>
      <c r="AG613" s="600"/>
      <c r="AH613" s="600"/>
      <c r="AI613" s="600"/>
      <c r="AJ613" s="600"/>
      <c r="AK613" s="600"/>
      <c r="AL613" s="600"/>
      <c r="AM613" s="600"/>
      <c r="AN613" s="482"/>
      <c r="AO613" s="600"/>
      <c r="AP613" s="600"/>
      <c r="AQ613" s="600"/>
      <c r="AR613" s="600"/>
      <c r="AS613" s="600"/>
      <c r="AT613" s="600"/>
      <c r="AU613" s="600"/>
      <c r="AV613" s="600"/>
      <c r="AW613" s="482"/>
      <c r="AX613" s="482"/>
      <c r="AY613" s="482"/>
      <c r="AZ613" s="482"/>
      <c r="BA613" s="343"/>
      <c r="BB613" s="343"/>
      <c r="BC613" s="343"/>
      <c r="BD613" s="343"/>
      <c r="BE613" s="343"/>
      <c r="BF613" s="343"/>
      <c r="BG613" s="343"/>
      <c r="BH613" s="343"/>
      <c r="BI613" s="343"/>
      <c r="BJ613" s="343"/>
      <c r="BK613" s="343"/>
      <c r="BL613" s="343"/>
      <c r="BM613" s="343"/>
      <c r="BN613" s="343"/>
      <c r="BO613" s="343"/>
      <c r="BP613" s="343"/>
      <c r="BQ613" s="343"/>
      <c r="BR613" s="343"/>
      <c r="BS613" s="343"/>
      <c r="BT613" s="343"/>
      <c r="BU613" s="343"/>
      <c r="BV613" s="343"/>
      <c r="BW613" s="343"/>
      <c r="BX613" s="343"/>
    </row>
    <row r="614" spans="1:76" s="25" customFormat="1">
      <c r="A614" s="343"/>
      <c r="B614" s="343"/>
      <c r="C614" s="64"/>
      <c r="D614" s="64"/>
      <c r="E614" s="39"/>
      <c r="F614" s="39"/>
      <c r="G614" s="39"/>
      <c r="H614" s="39"/>
      <c r="I614" s="39"/>
      <c r="J614" s="39"/>
      <c r="K614" s="39"/>
      <c r="L614" s="39"/>
      <c r="M614" s="660"/>
      <c r="N614" s="343"/>
      <c r="O614" s="343"/>
      <c r="P614" s="343"/>
      <c r="Q614" s="343"/>
      <c r="R614" s="600"/>
      <c r="S614" s="600"/>
      <c r="T614" s="600"/>
      <c r="U614" s="600"/>
      <c r="V614" s="600"/>
      <c r="W614" s="600"/>
      <c r="X614" s="600"/>
      <c r="Y614" s="600"/>
      <c r="Z614" s="600"/>
      <c r="AA614" s="482"/>
      <c r="AB614" s="482"/>
      <c r="AC614" s="482"/>
      <c r="AD614" s="600">
        <v>603</v>
      </c>
      <c r="AE614" s="482"/>
      <c r="AF614" s="600"/>
      <c r="AG614" s="600"/>
      <c r="AH614" s="600"/>
      <c r="AI614" s="600"/>
      <c r="AJ614" s="600"/>
      <c r="AK614" s="600"/>
      <c r="AL614" s="600"/>
      <c r="AM614" s="600"/>
      <c r="AN614" s="482"/>
      <c r="AO614" s="600"/>
      <c r="AP614" s="600"/>
      <c r="AQ614" s="600"/>
      <c r="AR614" s="600"/>
      <c r="AS614" s="600"/>
      <c r="AT614" s="600"/>
      <c r="AU614" s="600"/>
      <c r="AV614" s="600"/>
      <c r="AW614" s="482"/>
      <c r="AX614" s="482"/>
      <c r="AY614" s="482"/>
      <c r="AZ614" s="482"/>
      <c r="BA614" s="343"/>
      <c r="BB614" s="343"/>
      <c r="BC614" s="343"/>
      <c r="BD614" s="343"/>
      <c r="BE614" s="343"/>
      <c r="BF614" s="343"/>
      <c r="BG614" s="343"/>
      <c r="BH614" s="343"/>
      <c r="BI614" s="343"/>
      <c r="BJ614" s="343"/>
      <c r="BK614" s="343"/>
      <c r="BL614" s="343"/>
      <c r="BM614" s="343"/>
      <c r="BN614" s="343"/>
      <c r="BO614" s="343"/>
      <c r="BP614" s="343"/>
      <c r="BQ614" s="343"/>
      <c r="BR614" s="343"/>
      <c r="BS614" s="343"/>
      <c r="BT614" s="343"/>
      <c r="BU614" s="343"/>
      <c r="BV614" s="343"/>
      <c r="BW614" s="343"/>
      <c r="BX614" s="343"/>
    </row>
    <row r="615" spans="1:76" s="25" customFormat="1">
      <c r="A615" s="343"/>
      <c r="B615" s="343"/>
      <c r="C615" s="64"/>
      <c r="D615" s="64"/>
      <c r="E615" s="39"/>
      <c r="F615" s="39"/>
      <c r="G615" s="39"/>
      <c r="H615" s="39"/>
      <c r="I615" s="39"/>
      <c r="J615" s="39"/>
      <c r="K615" s="39"/>
      <c r="L615" s="39"/>
      <c r="M615" s="660"/>
      <c r="N615" s="343"/>
      <c r="O615" s="343"/>
      <c r="P615" s="343"/>
      <c r="Q615" s="343"/>
      <c r="R615" s="600"/>
      <c r="S615" s="600"/>
      <c r="T615" s="600"/>
      <c r="U615" s="600"/>
      <c r="V615" s="600"/>
      <c r="W615" s="600"/>
      <c r="X615" s="600"/>
      <c r="Y615" s="600"/>
      <c r="Z615" s="600"/>
      <c r="AA615" s="482"/>
      <c r="AB615" s="482"/>
      <c r="AC615" s="482"/>
      <c r="AD615" s="600">
        <v>604</v>
      </c>
      <c r="AE615" s="482"/>
      <c r="AF615" s="600"/>
      <c r="AG615" s="600"/>
      <c r="AH615" s="600"/>
      <c r="AI615" s="600"/>
      <c r="AJ615" s="600"/>
      <c r="AK615" s="600"/>
      <c r="AL615" s="600"/>
      <c r="AM615" s="600"/>
      <c r="AN615" s="482"/>
      <c r="AO615" s="600"/>
      <c r="AP615" s="600"/>
      <c r="AQ615" s="600"/>
      <c r="AR615" s="600"/>
      <c r="AS615" s="600"/>
      <c r="AT615" s="600"/>
      <c r="AU615" s="600"/>
      <c r="AV615" s="600"/>
      <c r="AW615" s="482"/>
      <c r="AX615" s="482"/>
      <c r="AY615" s="482"/>
      <c r="AZ615" s="482"/>
      <c r="BA615" s="343"/>
      <c r="BB615" s="343"/>
      <c r="BC615" s="343"/>
      <c r="BD615" s="343"/>
      <c r="BE615" s="343"/>
      <c r="BF615" s="343"/>
      <c r="BG615" s="343"/>
      <c r="BH615" s="343"/>
      <c r="BI615" s="343"/>
      <c r="BJ615" s="343"/>
      <c r="BK615" s="343"/>
      <c r="BL615" s="343"/>
      <c r="BM615" s="343"/>
      <c r="BN615" s="343"/>
      <c r="BO615" s="343"/>
      <c r="BP615" s="343"/>
      <c r="BQ615" s="343"/>
      <c r="BR615" s="343"/>
      <c r="BS615" s="343"/>
      <c r="BT615" s="343"/>
      <c r="BU615" s="343"/>
      <c r="BV615" s="343"/>
      <c r="BW615" s="343"/>
      <c r="BX615" s="343"/>
    </row>
    <row r="616" spans="1:76" s="25" customFormat="1">
      <c r="A616" s="343"/>
      <c r="B616" s="343"/>
      <c r="C616" s="64"/>
      <c r="D616" s="64"/>
      <c r="E616" s="39"/>
      <c r="F616" s="39"/>
      <c r="G616" s="39"/>
      <c r="H616" s="39"/>
      <c r="I616" s="39"/>
      <c r="J616" s="39"/>
      <c r="K616" s="39"/>
      <c r="L616" s="39"/>
      <c r="M616" s="660"/>
      <c r="N616" s="343"/>
      <c r="O616" s="343"/>
      <c r="P616" s="343"/>
      <c r="Q616" s="343"/>
      <c r="R616" s="600"/>
      <c r="S616" s="600"/>
      <c r="T616" s="600"/>
      <c r="U616" s="600"/>
      <c r="V616" s="600"/>
      <c r="W616" s="600"/>
      <c r="X616" s="600"/>
      <c r="Y616" s="600"/>
      <c r="Z616" s="600"/>
      <c r="AA616" s="482"/>
      <c r="AB616" s="482"/>
      <c r="AC616" s="482"/>
      <c r="AD616" s="600">
        <v>605</v>
      </c>
      <c r="AE616" s="482"/>
      <c r="AF616" s="600"/>
      <c r="AG616" s="600"/>
      <c r="AH616" s="600"/>
      <c r="AI616" s="600"/>
      <c r="AJ616" s="600"/>
      <c r="AK616" s="600"/>
      <c r="AL616" s="600"/>
      <c r="AM616" s="600"/>
      <c r="AN616" s="482"/>
      <c r="AO616" s="600"/>
      <c r="AP616" s="600"/>
      <c r="AQ616" s="600"/>
      <c r="AR616" s="600"/>
      <c r="AS616" s="600"/>
      <c r="AT616" s="600"/>
      <c r="AU616" s="600"/>
      <c r="AV616" s="600"/>
      <c r="AW616" s="482"/>
      <c r="AX616" s="482"/>
      <c r="AY616" s="482"/>
      <c r="AZ616" s="482"/>
      <c r="BA616" s="343"/>
      <c r="BB616" s="343"/>
      <c r="BC616" s="343"/>
      <c r="BD616" s="343"/>
      <c r="BE616" s="343"/>
      <c r="BF616" s="343"/>
      <c r="BG616" s="343"/>
      <c r="BH616" s="343"/>
      <c r="BI616" s="343"/>
      <c r="BJ616" s="343"/>
      <c r="BK616" s="343"/>
      <c r="BL616" s="343"/>
      <c r="BM616" s="343"/>
      <c r="BN616" s="343"/>
      <c r="BO616" s="343"/>
      <c r="BP616" s="343"/>
      <c r="BQ616" s="343"/>
      <c r="BR616" s="343"/>
      <c r="BS616" s="343"/>
      <c r="BT616" s="343"/>
      <c r="BU616" s="343"/>
      <c r="BV616" s="343"/>
      <c r="BW616" s="343"/>
      <c r="BX616" s="343"/>
    </row>
    <row r="617" spans="1:76" s="25" customFormat="1">
      <c r="A617" s="343"/>
      <c r="B617" s="343"/>
      <c r="C617" s="64"/>
      <c r="D617" s="64"/>
      <c r="E617" s="39"/>
      <c r="F617" s="39"/>
      <c r="G617" s="39"/>
      <c r="H617" s="39"/>
      <c r="I617" s="39"/>
      <c r="J617" s="39"/>
      <c r="K617" s="39"/>
      <c r="L617" s="39"/>
      <c r="M617" s="660"/>
      <c r="N617" s="343"/>
      <c r="O617" s="343"/>
      <c r="P617" s="343"/>
      <c r="Q617" s="343"/>
      <c r="R617" s="600"/>
      <c r="S617" s="600"/>
      <c r="T617" s="600"/>
      <c r="U617" s="600"/>
      <c r="V617" s="600"/>
      <c r="W617" s="600"/>
      <c r="X617" s="600"/>
      <c r="Y617" s="600"/>
      <c r="Z617" s="600"/>
      <c r="AA617" s="482"/>
      <c r="AB617" s="482"/>
      <c r="AC617" s="482"/>
      <c r="AD617" s="600">
        <v>606</v>
      </c>
      <c r="AE617" s="482"/>
      <c r="AF617" s="600"/>
      <c r="AG617" s="600"/>
      <c r="AH617" s="600"/>
      <c r="AI617" s="600"/>
      <c r="AJ617" s="600"/>
      <c r="AK617" s="600"/>
      <c r="AL617" s="600"/>
      <c r="AM617" s="600"/>
      <c r="AN617" s="482"/>
      <c r="AO617" s="600"/>
      <c r="AP617" s="600"/>
      <c r="AQ617" s="600"/>
      <c r="AR617" s="600"/>
      <c r="AS617" s="600"/>
      <c r="AT617" s="600"/>
      <c r="AU617" s="600"/>
      <c r="AV617" s="600"/>
      <c r="AW617" s="482"/>
      <c r="AX617" s="482"/>
      <c r="AY617" s="482"/>
      <c r="AZ617" s="482"/>
      <c r="BA617" s="343"/>
      <c r="BB617" s="343"/>
      <c r="BC617" s="343"/>
      <c r="BD617" s="343"/>
      <c r="BE617" s="343"/>
      <c r="BF617" s="343"/>
      <c r="BG617" s="343"/>
      <c r="BH617" s="343"/>
      <c r="BI617" s="343"/>
      <c r="BJ617" s="343"/>
      <c r="BK617" s="343"/>
      <c r="BL617" s="343"/>
      <c r="BM617" s="343"/>
      <c r="BN617" s="343"/>
      <c r="BO617" s="343"/>
      <c r="BP617" s="343"/>
      <c r="BQ617" s="343"/>
      <c r="BR617" s="343"/>
      <c r="BS617" s="343"/>
      <c r="BT617" s="343"/>
      <c r="BU617" s="343"/>
      <c r="BV617" s="343"/>
      <c r="BW617" s="343"/>
      <c r="BX617" s="343"/>
    </row>
    <row r="618" spans="1:76" s="25" customFormat="1">
      <c r="A618" s="343"/>
      <c r="B618" s="343"/>
      <c r="C618" s="64"/>
      <c r="D618" s="64"/>
      <c r="E618" s="39"/>
      <c r="F618" s="39"/>
      <c r="G618" s="39"/>
      <c r="H618" s="39"/>
      <c r="I618" s="39"/>
      <c r="J618" s="39"/>
      <c r="K618" s="39"/>
      <c r="L618" s="39"/>
      <c r="M618" s="660"/>
      <c r="N618" s="343"/>
      <c r="O618" s="343"/>
      <c r="P618" s="343"/>
      <c r="Q618" s="343"/>
      <c r="R618" s="600"/>
      <c r="S618" s="600"/>
      <c r="T618" s="600"/>
      <c r="U618" s="600"/>
      <c r="V618" s="600"/>
      <c r="W618" s="600"/>
      <c r="X618" s="600"/>
      <c r="Y618" s="600"/>
      <c r="Z618" s="600"/>
      <c r="AA618" s="482"/>
      <c r="AB618" s="482"/>
      <c r="AC618" s="482"/>
      <c r="AD618" s="600">
        <v>607</v>
      </c>
      <c r="AE618" s="482"/>
      <c r="AF618" s="600"/>
      <c r="AG618" s="600"/>
      <c r="AH618" s="600"/>
      <c r="AI618" s="600"/>
      <c r="AJ618" s="600"/>
      <c r="AK618" s="600"/>
      <c r="AL618" s="600"/>
      <c r="AM618" s="600"/>
      <c r="AN618" s="482"/>
      <c r="AO618" s="600"/>
      <c r="AP618" s="600"/>
      <c r="AQ618" s="600"/>
      <c r="AR618" s="600"/>
      <c r="AS618" s="600"/>
      <c r="AT618" s="600"/>
      <c r="AU618" s="600"/>
      <c r="AV618" s="600"/>
      <c r="AW618" s="482"/>
      <c r="AX618" s="482"/>
      <c r="AY618" s="482"/>
      <c r="AZ618" s="482"/>
      <c r="BA618" s="343"/>
      <c r="BB618" s="343"/>
      <c r="BC618" s="343"/>
      <c r="BD618" s="343"/>
      <c r="BE618" s="343"/>
      <c r="BF618" s="343"/>
      <c r="BG618" s="343"/>
      <c r="BH618" s="343"/>
      <c r="BI618" s="343"/>
      <c r="BJ618" s="343"/>
      <c r="BK618" s="343"/>
      <c r="BL618" s="343"/>
      <c r="BM618" s="343"/>
      <c r="BN618" s="343"/>
      <c r="BO618" s="343"/>
      <c r="BP618" s="343"/>
      <c r="BQ618" s="343"/>
      <c r="BR618" s="343"/>
      <c r="BS618" s="343"/>
      <c r="BT618" s="343"/>
      <c r="BU618" s="343"/>
      <c r="BV618" s="343"/>
      <c r="BW618" s="343"/>
      <c r="BX618" s="343"/>
    </row>
    <row r="619" spans="1:76" s="25" customFormat="1">
      <c r="A619" s="343"/>
      <c r="B619" s="343"/>
      <c r="C619" s="64"/>
      <c r="D619" s="64"/>
      <c r="E619" s="39"/>
      <c r="F619" s="39"/>
      <c r="G619" s="39"/>
      <c r="H619" s="39"/>
      <c r="I619" s="39"/>
      <c r="J619" s="39"/>
      <c r="K619" s="39"/>
      <c r="L619" s="39"/>
      <c r="M619" s="660"/>
      <c r="N619" s="343"/>
      <c r="O619" s="343"/>
      <c r="P619" s="343"/>
      <c r="Q619" s="343"/>
      <c r="R619" s="600"/>
      <c r="S619" s="600"/>
      <c r="T619" s="600"/>
      <c r="U619" s="600"/>
      <c r="V619" s="600"/>
      <c r="W619" s="600"/>
      <c r="X619" s="600"/>
      <c r="Y619" s="600"/>
      <c r="Z619" s="600"/>
      <c r="AA619" s="482"/>
      <c r="AB619" s="482"/>
      <c r="AC619" s="482"/>
      <c r="AD619" s="600">
        <v>608</v>
      </c>
      <c r="AE619" s="482"/>
      <c r="AF619" s="600"/>
      <c r="AG619" s="600"/>
      <c r="AH619" s="600"/>
      <c r="AI619" s="600"/>
      <c r="AJ619" s="600"/>
      <c r="AK619" s="600"/>
      <c r="AL619" s="600"/>
      <c r="AM619" s="600"/>
      <c r="AN619" s="482"/>
      <c r="AO619" s="600"/>
      <c r="AP619" s="600"/>
      <c r="AQ619" s="600"/>
      <c r="AR619" s="600"/>
      <c r="AS619" s="600"/>
      <c r="AT619" s="600"/>
      <c r="AU619" s="600"/>
      <c r="AV619" s="600"/>
      <c r="AW619" s="482"/>
      <c r="AX619" s="482"/>
      <c r="AY619" s="482"/>
      <c r="AZ619" s="482"/>
      <c r="BA619" s="343"/>
      <c r="BB619" s="343"/>
      <c r="BC619" s="343"/>
      <c r="BD619" s="343"/>
      <c r="BE619" s="343"/>
      <c r="BF619" s="343"/>
      <c r="BG619" s="343"/>
      <c r="BH619" s="343"/>
      <c r="BI619" s="343"/>
      <c r="BJ619" s="343"/>
      <c r="BK619" s="343"/>
      <c r="BL619" s="343"/>
      <c r="BM619" s="343"/>
      <c r="BN619" s="343"/>
      <c r="BO619" s="343"/>
      <c r="BP619" s="343"/>
      <c r="BQ619" s="343"/>
      <c r="BR619" s="343"/>
      <c r="BS619" s="343"/>
      <c r="BT619" s="343"/>
      <c r="BU619" s="343"/>
      <c r="BV619" s="343"/>
      <c r="BW619" s="343"/>
      <c r="BX619" s="343"/>
    </row>
    <row r="620" spans="1:76" s="25" customFormat="1">
      <c r="A620" s="343"/>
      <c r="B620" s="343"/>
      <c r="C620" s="64"/>
      <c r="D620" s="64"/>
      <c r="E620" s="39"/>
      <c r="F620" s="39"/>
      <c r="G620" s="39"/>
      <c r="H620" s="39"/>
      <c r="I620" s="39"/>
      <c r="J620" s="39"/>
      <c r="K620" s="39"/>
      <c r="L620" s="39"/>
      <c r="M620" s="660"/>
      <c r="N620" s="343"/>
      <c r="O620" s="343"/>
      <c r="P620" s="343"/>
      <c r="Q620" s="343"/>
      <c r="R620" s="600"/>
      <c r="S620" s="600"/>
      <c r="T620" s="600"/>
      <c r="U620" s="600"/>
      <c r="V620" s="600"/>
      <c r="W620" s="600"/>
      <c r="X620" s="600"/>
      <c r="Y620" s="600"/>
      <c r="Z620" s="600"/>
      <c r="AA620" s="482"/>
      <c r="AB620" s="482"/>
      <c r="AC620" s="482"/>
      <c r="AD620" s="600">
        <v>609</v>
      </c>
      <c r="AE620" s="482"/>
      <c r="AF620" s="600"/>
      <c r="AG620" s="600"/>
      <c r="AH620" s="600"/>
      <c r="AI620" s="600"/>
      <c r="AJ620" s="600"/>
      <c r="AK620" s="600"/>
      <c r="AL620" s="600"/>
      <c r="AM620" s="600"/>
      <c r="AN620" s="482"/>
      <c r="AO620" s="600"/>
      <c r="AP620" s="600"/>
      <c r="AQ620" s="600"/>
      <c r="AR620" s="600"/>
      <c r="AS620" s="600"/>
      <c r="AT620" s="600"/>
      <c r="AU620" s="600"/>
      <c r="AV620" s="600"/>
      <c r="AW620" s="482"/>
      <c r="AX620" s="482"/>
      <c r="AY620" s="482"/>
      <c r="AZ620" s="482"/>
      <c r="BA620" s="343"/>
      <c r="BB620" s="343"/>
      <c r="BC620" s="343"/>
      <c r="BD620" s="343"/>
      <c r="BE620" s="343"/>
      <c r="BF620" s="343"/>
      <c r="BG620" s="343"/>
      <c r="BH620" s="343"/>
      <c r="BI620" s="343"/>
      <c r="BJ620" s="343"/>
      <c r="BK620" s="343"/>
      <c r="BL620" s="343"/>
      <c r="BM620" s="343"/>
      <c r="BN620" s="343"/>
      <c r="BO620" s="343"/>
      <c r="BP620" s="343"/>
      <c r="BQ620" s="343"/>
      <c r="BR620" s="343"/>
      <c r="BS620" s="343"/>
      <c r="BT620" s="343"/>
      <c r="BU620" s="343"/>
      <c r="BV620" s="343"/>
      <c r="BW620" s="343"/>
      <c r="BX620" s="343"/>
    </row>
    <row r="621" spans="1:76" s="25" customFormat="1">
      <c r="A621" s="343"/>
      <c r="B621" s="343"/>
      <c r="C621" s="64"/>
      <c r="D621" s="64"/>
      <c r="E621" s="39"/>
      <c r="F621" s="39"/>
      <c r="G621" s="39"/>
      <c r="H621" s="39"/>
      <c r="I621" s="39"/>
      <c r="J621" s="39"/>
      <c r="K621" s="39"/>
      <c r="L621" s="39"/>
      <c r="M621" s="660"/>
      <c r="N621" s="343"/>
      <c r="O621" s="343"/>
      <c r="P621" s="343"/>
      <c r="Q621" s="343"/>
      <c r="R621" s="600"/>
      <c r="S621" s="600"/>
      <c r="T621" s="600"/>
      <c r="U621" s="600"/>
      <c r="V621" s="600"/>
      <c r="W621" s="600"/>
      <c r="X621" s="600"/>
      <c r="Y621" s="600"/>
      <c r="Z621" s="600"/>
      <c r="AA621" s="482"/>
      <c r="AB621" s="482"/>
      <c r="AC621" s="482"/>
      <c r="AD621" s="600">
        <v>610</v>
      </c>
      <c r="AE621" s="482"/>
      <c r="AF621" s="600"/>
      <c r="AG621" s="600"/>
      <c r="AH621" s="600"/>
      <c r="AI621" s="600"/>
      <c r="AJ621" s="600"/>
      <c r="AK621" s="600"/>
      <c r="AL621" s="600"/>
      <c r="AM621" s="600"/>
      <c r="AN621" s="482"/>
      <c r="AO621" s="600"/>
      <c r="AP621" s="600"/>
      <c r="AQ621" s="600"/>
      <c r="AR621" s="600"/>
      <c r="AS621" s="600"/>
      <c r="AT621" s="600"/>
      <c r="AU621" s="600"/>
      <c r="AV621" s="600"/>
      <c r="AW621" s="482"/>
      <c r="AX621" s="482"/>
      <c r="AY621" s="482"/>
      <c r="AZ621" s="482"/>
      <c r="BA621" s="343"/>
      <c r="BB621" s="343"/>
      <c r="BC621" s="343"/>
      <c r="BD621" s="343"/>
      <c r="BE621" s="343"/>
      <c r="BF621" s="343"/>
      <c r="BG621" s="343"/>
      <c r="BH621" s="343"/>
      <c r="BI621" s="343"/>
      <c r="BJ621" s="343"/>
      <c r="BK621" s="343"/>
      <c r="BL621" s="343"/>
      <c r="BM621" s="343"/>
      <c r="BN621" s="343"/>
      <c r="BO621" s="343"/>
      <c r="BP621" s="343"/>
      <c r="BQ621" s="343"/>
      <c r="BR621" s="343"/>
      <c r="BS621" s="343"/>
      <c r="BT621" s="343"/>
      <c r="BU621" s="343"/>
      <c r="BV621" s="343"/>
      <c r="BW621" s="343"/>
      <c r="BX621" s="343"/>
    </row>
    <row r="622" spans="1:76" s="25" customFormat="1">
      <c r="A622" s="343"/>
      <c r="B622" s="343"/>
      <c r="C622" s="64"/>
      <c r="D622" s="64"/>
      <c r="E622" s="39"/>
      <c r="F622" s="39"/>
      <c r="G622" s="39"/>
      <c r="H622" s="39"/>
      <c r="I622" s="39"/>
      <c r="J622" s="39"/>
      <c r="K622" s="39"/>
      <c r="L622" s="39"/>
      <c r="M622" s="660"/>
      <c r="N622" s="343"/>
      <c r="O622" s="343"/>
      <c r="P622" s="343"/>
      <c r="Q622" s="343"/>
      <c r="R622" s="600"/>
      <c r="S622" s="600"/>
      <c r="T622" s="600"/>
      <c r="U622" s="600"/>
      <c r="V622" s="600"/>
      <c r="W622" s="600"/>
      <c r="X622" s="600"/>
      <c r="Y622" s="600"/>
      <c r="Z622" s="600"/>
      <c r="AA622" s="482"/>
      <c r="AB622" s="482"/>
      <c r="AC622" s="482"/>
      <c r="AD622" s="600">
        <v>611</v>
      </c>
      <c r="AE622" s="482"/>
      <c r="AF622" s="600"/>
      <c r="AG622" s="600"/>
      <c r="AH622" s="600"/>
      <c r="AI622" s="600"/>
      <c r="AJ622" s="600"/>
      <c r="AK622" s="600"/>
      <c r="AL622" s="600"/>
      <c r="AM622" s="600"/>
      <c r="AN622" s="482"/>
      <c r="AO622" s="600"/>
      <c r="AP622" s="600"/>
      <c r="AQ622" s="600"/>
      <c r="AR622" s="600"/>
      <c r="AS622" s="600"/>
      <c r="AT622" s="600"/>
      <c r="AU622" s="600"/>
      <c r="AV622" s="600"/>
      <c r="AW622" s="482"/>
      <c r="AX622" s="482"/>
      <c r="AY622" s="482"/>
      <c r="AZ622" s="482"/>
      <c r="BA622" s="343"/>
      <c r="BB622" s="343"/>
      <c r="BC622" s="343"/>
      <c r="BD622" s="343"/>
      <c r="BE622" s="343"/>
      <c r="BF622" s="343"/>
      <c r="BG622" s="343"/>
      <c r="BH622" s="343"/>
      <c r="BI622" s="343"/>
      <c r="BJ622" s="343"/>
      <c r="BK622" s="343"/>
      <c r="BL622" s="343"/>
      <c r="BM622" s="343"/>
      <c r="BN622" s="343"/>
      <c r="BO622" s="343"/>
      <c r="BP622" s="343"/>
      <c r="BQ622" s="343"/>
      <c r="BR622" s="343"/>
      <c r="BS622" s="343"/>
      <c r="BT622" s="343"/>
      <c r="BU622" s="343"/>
      <c r="BV622" s="343"/>
      <c r="BW622" s="343"/>
      <c r="BX622" s="343"/>
    </row>
    <row r="623" spans="1:76" s="25" customFormat="1">
      <c r="A623" s="343"/>
      <c r="B623" s="343"/>
      <c r="C623" s="64"/>
      <c r="D623" s="64"/>
      <c r="E623" s="39"/>
      <c r="F623" s="39"/>
      <c r="G623" s="39"/>
      <c r="H623" s="39"/>
      <c r="I623" s="39"/>
      <c r="J623" s="39"/>
      <c r="K623" s="39"/>
      <c r="L623" s="39"/>
      <c r="M623" s="660"/>
      <c r="N623" s="343"/>
      <c r="O623" s="343"/>
      <c r="P623" s="343"/>
      <c r="Q623" s="343"/>
      <c r="R623" s="600"/>
      <c r="S623" s="600"/>
      <c r="T623" s="600"/>
      <c r="U623" s="600"/>
      <c r="V623" s="600"/>
      <c r="W623" s="600"/>
      <c r="X623" s="600"/>
      <c r="Y623" s="600"/>
      <c r="Z623" s="600"/>
      <c r="AA623" s="482"/>
      <c r="AB623" s="482"/>
      <c r="AC623" s="482"/>
      <c r="AD623" s="600">
        <v>612</v>
      </c>
      <c r="AE623" s="482"/>
      <c r="AF623" s="600"/>
      <c r="AG623" s="600"/>
      <c r="AH623" s="600"/>
      <c r="AI623" s="600"/>
      <c r="AJ623" s="600"/>
      <c r="AK623" s="600"/>
      <c r="AL623" s="600"/>
      <c r="AM623" s="600"/>
      <c r="AN623" s="482"/>
      <c r="AO623" s="600"/>
      <c r="AP623" s="600"/>
      <c r="AQ623" s="600"/>
      <c r="AR623" s="600"/>
      <c r="AS623" s="600"/>
      <c r="AT623" s="600"/>
      <c r="AU623" s="600"/>
      <c r="AV623" s="600"/>
      <c r="AW623" s="482"/>
      <c r="AX623" s="482"/>
      <c r="AY623" s="482"/>
      <c r="AZ623" s="482"/>
      <c r="BA623" s="343"/>
      <c r="BB623" s="343"/>
      <c r="BC623" s="343"/>
      <c r="BD623" s="343"/>
      <c r="BE623" s="343"/>
      <c r="BF623" s="343"/>
      <c r="BG623" s="343"/>
      <c r="BH623" s="343"/>
      <c r="BI623" s="343"/>
      <c r="BJ623" s="343"/>
      <c r="BK623" s="343"/>
      <c r="BL623" s="343"/>
      <c r="BM623" s="343"/>
      <c r="BN623" s="343"/>
      <c r="BO623" s="343"/>
      <c r="BP623" s="343"/>
      <c r="BQ623" s="343"/>
      <c r="BR623" s="343"/>
      <c r="BS623" s="343"/>
      <c r="BT623" s="343"/>
      <c r="BU623" s="343"/>
      <c r="BV623" s="343"/>
      <c r="BW623" s="343"/>
      <c r="BX623" s="343"/>
    </row>
    <row r="624" spans="1:76" s="25" customFormat="1">
      <c r="A624" s="343"/>
      <c r="B624" s="343"/>
      <c r="C624" s="64"/>
      <c r="D624" s="64"/>
      <c r="E624" s="39"/>
      <c r="F624" s="39"/>
      <c r="G624" s="39"/>
      <c r="H624" s="39"/>
      <c r="I624" s="39"/>
      <c r="J624" s="39"/>
      <c r="K624" s="39"/>
      <c r="L624" s="39"/>
      <c r="M624" s="660"/>
      <c r="N624" s="343"/>
      <c r="O624" s="343"/>
      <c r="P624" s="343"/>
      <c r="Q624" s="343"/>
      <c r="R624" s="600"/>
      <c r="S624" s="600"/>
      <c r="T624" s="600"/>
      <c r="U624" s="600"/>
      <c r="V624" s="600"/>
      <c r="W624" s="600"/>
      <c r="X624" s="600"/>
      <c r="Y624" s="600"/>
      <c r="Z624" s="600"/>
      <c r="AA624" s="482"/>
      <c r="AB624" s="482"/>
      <c r="AC624" s="482"/>
      <c r="AD624" s="600">
        <v>613</v>
      </c>
      <c r="AE624" s="482"/>
      <c r="AF624" s="600"/>
      <c r="AG624" s="600"/>
      <c r="AH624" s="600"/>
      <c r="AI624" s="600"/>
      <c r="AJ624" s="600"/>
      <c r="AK624" s="600"/>
      <c r="AL624" s="600"/>
      <c r="AM624" s="600"/>
      <c r="AN624" s="482"/>
      <c r="AO624" s="600"/>
      <c r="AP624" s="600"/>
      <c r="AQ624" s="600"/>
      <c r="AR624" s="600"/>
      <c r="AS624" s="600"/>
      <c r="AT624" s="600"/>
      <c r="AU624" s="600"/>
      <c r="AV624" s="600"/>
      <c r="AW624" s="482"/>
      <c r="AX624" s="482"/>
      <c r="AY624" s="482"/>
      <c r="AZ624" s="482"/>
      <c r="BA624" s="343"/>
      <c r="BB624" s="343"/>
      <c r="BC624" s="343"/>
      <c r="BD624" s="343"/>
      <c r="BE624" s="343"/>
      <c r="BF624" s="343"/>
      <c r="BG624" s="343"/>
      <c r="BH624" s="343"/>
      <c r="BI624" s="343"/>
      <c r="BJ624" s="343"/>
      <c r="BK624" s="343"/>
      <c r="BL624" s="343"/>
      <c r="BM624" s="343"/>
      <c r="BN624" s="343"/>
      <c r="BO624" s="343"/>
      <c r="BP624" s="343"/>
      <c r="BQ624" s="343"/>
      <c r="BR624" s="343"/>
      <c r="BS624" s="343"/>
      <c r="BT624" s="343"/>
      <c r="BU624" s="343"/>
      <c r="BV624" s="343"/>
      <c r="BW624" s="343"/>
      <c r="BX624" s="343"/>
    </row>
    <row r="625" spans="1:76" s="25" customFormat="1">
      <c r="A625" s="343"/>
      <c r="B625" s="343"/>
      <c r="C625" s="64"/>
      <c r="D625" s="64"/>
      <c r="E625" s="39"/>
      <c r="F625" s="39"/>
      <c r="G625" s="39"/>
      <c r="H625" s="39"/>
      <c r="I625" s="39"/>
      <c r="J625" s="39"/>
      <c r="K625" s="39"/>
      <c r="L625" s="39"/>
      <c r="M625" s="660"/>
      <c r="N625" s="343"/>
      <c r="O625" s="343"/>
      <c r="P625" s="343"/>
      <c r="Q625" s="343"/>
      <c r="R625" s="600"/>
      <c r="S625" s="600"/>
      <c r="T625" s="600"/>
      <c r="U625" s="600"/>
      <c r="V625" s="600"/>
      <c r="W625" s="600"/>
      <c r="X625" s="600"/>
      <c r="Y625" s="600"/>
      <c r="Z625" s="600"/>
      <c r="AA625" s="482"/>
      <c r="AB625" s="482"/>
      <c r="AC625" s="482"/>
      <c r="AD625" s="600">
        <v>614</v>
      </c>
      <c r="AE625" s="482"/>
      <c r="AF625" s="600"/>
      <c r="AG625" s="600"/>
      <c r="AH625" s="600"/>
      <c r="AI625" s="600"/>
      <c r="AJ625" s="600"/>
      <c r="AK625" s="600"/>
      <c r="AL625" s="600"/>
      <c r="AM625" s="600"/>
      <c r="AN625" s="482"/>
      <c r="AO625" s="600"/>
      <c r="AP625" s="600"/>
      <c r="AQ625" s="600"/>
      <c r="AR625" s="600"/>
      <c r="AS625" s="600"/>
      <c r="AT625" s="600"/>
      <c r="AU625" s="600"/>
      <c r="AV625" s="600"/>
      <c r="AW625" s="482"/>
      <c r="AX625" s="482"/>
      <c r="AY625" s="482"/>
      <c r="AZ625" s="482"/>
      <c r="BA625" s="343"/>
      <c r="BB625" s="343"/>
      <c r="BC625" s="343"/>
      <c r="BD625" s="343"/>
      <c r="BE625" s="343"/>
      <c r="BF625" s="343"/>
      <c r="BG625" s="343"/>
      <c r="BH625" s="343"/>
      <c r="BI625" s="343"/>
      <c r="BJ625" s="343"/>
      <c r="BK625" s="343"/>
      <c r="BL625" s="343"/>
      <c r="BM625" s="343"/>
      <c r="BN625" s="343"/>
      <c r="BO625" s="343"/>
      <c r="BP625" s="343"/>
      <c r="BQ625" s="343"/>
      <c r="BR625" s="343"/>
      <c r="BS625" s="343"/>
      <c r="BT625" s="343"/>
      <c r="BU625" s="343"/>
      <c r="BV625" s="343"/>
      <c r="BW625" s="343"/>
      <c r="BX625" s="343"/>
    </row>
    <row r="626" spans="1:76" s="25" customFormat="1">
      <c r="A626" s="343"/>
      <c r="B626" s="343"/>
      <c r="C626" s="64"/>
      <c r="D626" s="64"/>
      <c r="E626" s="39"/>
      <c r="F626" s="39"/>
      <c r="G626" s="39"/>
      <c r="H626" s="39"/>
      <c r="I626" s="39"/>
      <c r="J626" s="39"/>
      <c r="K626" s="39"/>
      <c r="L626" s="39"/>
      <c r="M626" s="660"/>
      <c r="N626" s="343"/>
      <c r="O626" s="343"/>
      <c r="P626" s="343"/>
      <c r="Q626" s="343"/>
      <c r="R626" s="600"/>
      <c r="S626" s="600"/>
      <c r="T626" s="600"/>
      <c r="U626" s="600"/>
      <c r="V626" s="600"/>
      <c r="W626" s="600"/>
      <c r="X626" s="600"/>
      <c r="Y626" s="600"/>
      <c r="Z626" s="600"/>
      <c r="AA626" s="482"/>
      <c r="AB626" s="482"/>
      <c r="AC626" s="482"/>
      <c r="AD626" s="600">
        <v>615</v>
      </c>
      <c r="AE626" s="482"/>
      <c r="AF626" s="600"/>
      <c r="AG626" s="600"/>
      <c r="AH626" s="600"/>
      <c r="AI626" s="600"/>
      <c r="AJ626" s="600"/>
      <c r="AK626" s="600"/>
      <c r="AL626" s="600"/>
      <c r="AM626" s="600"/>
      <c r="AN626" s="482"/>
      <c r="AO626" s="600"/>
      <c r="AP626" s="600"/>
      <c r="AQ626" s="600"/>
      <c r="AR626" s="600"/>
      <c r="AS626" s="600"/>
      <c r="AT626" s="600"/>
      <c r="AU626" s="600"/>
      <c r="AV626" s="600"/>
      <c r="AW626" s="482"/>
      <c r="AX626" s="482"/>
      <c r="AY626" s="482"/>
      <c r="AZ626" s="482"/>
      <c r="BA626" s="343"/>
      <c r="BB626" s="343"/>
      <c r="BC626" s="343"/>
      <c r="BD626" s="343"/>
      <c r="BE626" s="343"/>
      <c r="BF626" s="343"/>
      <c r="BG626" s="343"/>
      <c r="BH626" s="343"/>
      <c r="BI626" s="343"/>
      <c r="BJ626" s="343"/>
      <c r="BK626" s="343"/>
      <c r="BL626" s="343"/>
      <c r="BM626" s="343"/>
      <c r="BN626" s="343"/>
      <c r="BO626" s="343"/>
      <c r="BP626" s="343"/>
      <c r="BQ626" s="343"/>
      <c r="BR626" s="343"/>
      <c r="BS626" s="343"/>
      <c r="BT626" s="343"/>
      <c r="BU626" s="343"/>
      <c r="BV626" s="343"/>
      <c r="BW626" s="343"/>
      <c r="BX626" s="343"/>
    </row>
    <row r="627" spans="1:76" s="25" customFormat="1">
      <c r="A627" s="343"/>
      <c r="B627" s="343"/>
      <c r="C627" s="64"/>
      <c r="D627" s="64"/>
      <c r="E627" s="39"/>
      <c r="F627" s="39"/>
      <c r="G627" s="39"/>
      <c r="H627" s="39"/>
      <c r="I627" s="39"/>
      <c r="J627" s="39"/>
      <c r="K627" s="39"/>
      <c r="L627" s="39"/>
      <c r="M627" s="660"/>
      <c r="N627" s="343"/>
      <c r="O627" s="343"/>
      <c r="P627" s="343"/>
      <c r="Q627" s="343"/>
      <c r="R627" s="600"/>
      <c r="S627" s="600"/>
      <c r="T627" s="600"/>
      <c r="U627" s="600"/>
      <c r="V627" s="600"/>
      <c r="W627" s="600"/>
      <c r="X627" s="600"/>
      <c r="Y627" s="600"/>
      <c r="Z627" s="600"/>
      <c r="AA627" s="482"/>
      <c r="AB627" s="482"/>
      <c r="AC627" s="482"/>
      <c r="AD627" s="600">
        <v>616</v>
      </c>
      <c r="AE627" s="482"/>
      <c r="AF627" s="600"/>
      <c r="AG627" s="600"/>
      <c r="AH627" s="600"/>
      <c r="AI627" s="600"/>
      <c r="AJ627" s="600"/>
      <c r="AK627" s="600"/>
      <c r="AL627" s="600"/>
      <c r="AM627" s="600"/>
      <c r="AN627" s="482"/>
      <c r="AO627" s="600"/>
      <c r="AP627" s="600"/>
      <c r="AQ627" s="600"/>
      <c r="AR627" s="600"/>
      <c r="AS627" s="600"/>
      <c r="AT627" s="600"/>
      <c r="AU627" s="600"/>
      <c r="AV627" s="600"/>
      <c r="AW627" s="482"/>
      <c r="AX627" s="482"/>
      <c r="AY627" s="482"/>
      <c r="AZ627" s="482"/>
      <c r="BA627" s="343"/>
      <c r="BB627" s="343"/>
      <c r="BC627" s="343"/>
      <c r="BD627" s="343"/>
      <c r="BE627" s="343"/>
      <c r="BF627" s="343"/>
      <c r="BG627" s="343"/>
      <c r="BH627" s="343"/>
      <c r="BI627" s="343"/>
      <c r="BJ627" s="343"/>
      <c r="BK627" s="343"/>
      <c r="BL627" s="343"/>
      <c r="BM627" s="343"/>
      <c r="BN627" s="343"/>
      <c r="BO627" s="343"/>
      <c r="BP627" s="343"/>
      <c r="BQ627" s="343"/>
      <c r="BR627" s="343"/>
      <c r="BS627" s="343"/>
      <c r="BT627" s="343"/>
      <c r="BU627" s="343"/>
      <c r="BV627" s="343"/>
      <c r="BW627" s="343"/>
      <c r="BX627" s="343"/>
    </row>
    <row r="628" spans="1:76" s="25" customFormat="1">
      <c r="A628" s="343"/>
      <c r="B628" s="343"/>
      <c r="C628" s="64"/>
      <c r="D628" s="64"/>
      <c r="E628" s="39"/>
      <c r="F628" s="39"/>
      <c r="G628" s="39"/>
      <c r="H628" s="39"/>
      <c r="I628" s="39"/>
      <c r="J628" s="39"/>
      <c r="K628" s="39"/>
      <c r="L628" s="39"/>
      <c r="M628" s="660"/>
      <c r="N628" s="343"/>
      <c r="O628" s="343"/>
      <c r="P628" s="343"/>
      <c r="Q628" s="343"/>
      <c r="R628" s="600"/>
      <c r="S628" s="600"/>
      <c r="T628" s="600"/>
      <c r="U628" s="600"/>
      <c r="V628" s="600"/>
      <c r="W628" s="600"/>
      <c r="X628" s="600"/>
      <c r="Y628" s="600"/>
      <c r="Z628" s="600"/>
      <c r="AA628" s="482"/>
      <c r="AB628" s="482"/>
      <c r="AC628" s="482"/>
      <c r="AD628" s="600">
        <v>617</v>
      </c>
      <c r="AE628" s="482"/>
      <c r="AF628" s="600"/>
      <c r="AG628" s="600"/>
      <c r="AH628" s="600"/>
      <c r="AI628" s="600"/>
      <c r="AJ628" s="600"/>
      <c r="AK628" s="600"/>
      <c r="AL628" s="600"/>
      <c r="AM628" s="600"/>
      <c r="AN628" s="482"/>
      <c r="AO628" s="600"/>
      <c r="AP628" s="600"/>
      <c r="AQ628" s="600"/>
      <c r="AR628" s="600"/>
      <c r="AS628" s="600"/>
      <c r="AT628" s="600"/>
      <c r="AU628" s="600"/>
      <c r="AV628" s="600"/>
      <c r="AW628" s="482"/>
      <c r="AX628" s="482"/>
      <c r="AY628" s="482"/>
      <c r="AZ628" s="482"/>
      <c r="BA628" s="343"/>
      <c r="BB628" s="343"/>
      <c r="BC628" s="343"/>
      <c r="BD628" s="343"/>
      <c r="BE628" s="343"/>
      <c r="BF628" s="343"/>
      <c r="BG628" s="343"/>
      <c r="BH628" s="343"/>
      <c r="BI628" s="343"/>
      <c r="BJ628" s="343"/>
      <c r="BK628" s="343"/>
      <c r="BL628" s="343"/>
      <c r="BM628" s="343"/>
      <c r="BN628" s="343"/>
      <c r="BO628" s="343"/>
      <c r="BP628" s="343"/>
      <c r="BQ628" s="343"/>
      <c r="BR628" s="343"/>
      <c r="BS628" s="343"/>
      <c r="BT628" s="343"/>
      <c r="BU628" s="343"/>
      <c r="BV628" s="343"/>
      <c r="BW628" s="343"/>
      <c r="BX628" s="343"/>
    </row>
    <row r="629" spans="1:76" s="25" customFormat="1">
      <c r="A629" s="343"/>
      <c r="B629" s="343"/>
      <c r="C629" s="64"/>
      <c r="D629" s="64"/>
      <c r="E629" s="39"/>
      <c r="F629" s="39"/>
      <c r="G629" s="39"/>
      <c r="H629" s="39"/>
      <c r="I629" s="39"/>
      <c r="J629" s="39"/>
      <c r="K629" s="39"/>
      <c r="L629" s="39"/>
      <c r="M629" s="660"/>
      <c r="N629" s="343"/>
      <c r="O629" s="343"/>
      <c r="P629" s="343"/>
      <c r="Q629" s="343"/>
      <c r="R629" s="600"/>
      <c r="S629" s="600"/>
      <c r="T629" s="600"/>
      <c r="U629" s="600"/>
      <c r="V629" s="600"/>
      <c r="W629" s="600"/>
      <c r="X629" s="600"/>
      <c r="Y629" s="600"/>
      <c r="Z629" s="600"/>
      <c r="AA629" s="482"/>
      <c r="AB629" s="482"/>
      <c r="AC629" s="482"/>
      <c r="AD629" s="600">
        <v>618</v>
      </c>
      <c r="AE629" s="482"/>
      <c r="AF629" s="600"/>
      <c r="AG629" s="600"/>
      <c r="AH629" s="600"/>
      <c r="AI629" s="600"/>
      <c r="AJ629" s="600"/>
      <c r="AK629" s="600"/>
      <c r="AL629" s="600"/>
      <c r="AM629" s="600"/>
      <c r="AN629" s="482"/>
      <c r="AO629" s="600"/>
      <c r="AP629" s="600"/>
      <c r="AQ629" s="600"/>
      <c r="AR629" s="600"/>
      <c r="AS629" s="600"/>
      <c r="AT629" s="600"/>
      <c r="AU629" s="600"/>
      <c r="AV629" s="600"/>
      <c r="AW629" s="482"/>
      <c r="AX629" s="482"/>
      <c r="AY629" s="482"/>
      <c r="AZ629" s="482"/>
      <c r="BA629" s="343"/>
      <c r="BB629" s="343"/>
      <c r="BC629" s="343"/>
      <c r="BD629" s="343"/>
      <c r="BE629" s="343"/>
      <c r="BF629" s="343"/>
      <c r="BG629" s="343"/>
      <c r="BH629" s="343"/>
      <c r="BI629" s="343"/>
      <c r="BJ629" s="343"/>
      <c r="BK629" s="343"/>
      <c r="BL629" s="343"/>
      <c r="BM629" s="343"/>
      <c r="BN629" s="343"/>
      <c r="BO629" s="343"/>
      <c r="BP629" s="343"/>
      <c r="BQ629" s="343"/>
      <c r="BR629" s="343"/>
      <c r="BS629" s="343"/>
      <c r="BT629" s="343"/>
      <c r="BU629" s="343"/>
      <c r="BV629" s="343"/>
      <c r="BW629" s="343"/>
      <c r="BX629" s="343"/>
    </row>
    <row r="630" spans="1:76" s="25" customFormat="1">
      <c r="A630" s="343"/>
      <c r="B630" s="343"/>
      <c r="C630" s="64"/>
      <c r="D630" s="64"/>
      <c r="E630" s="39"/>
      <c r="F630" s="39"/>
      <c r="G630" s="39"/>
      <c r="H630" s="39"/>
      <c r="I630" s="39"/>
      <c r="J630" s="39"/>
      <c r="K630" s="39"/>
      <c r="L630" s="39"/>
      <c r="M630" s="660"/>
      <c r="N630" s="343"/>
      <c r="O630" s="343"/>
      <c r="P630" s="343"/>
      <c r="Q630" s="343"/>
      <c r="R630" s="600"/>
      <c r="S630" s="600"/>
      <c r="T630" s="600"/>
      <c r="U630" s="600"/>
      <c r="V630" s="600"/>
      <c r="W630" s="600"/>
      <c r="X630" s="600"/>
      <c r="Y630" s="600"/>
      <c r="Z630" s="600"/>
      <c r="AA630" s="482"/>
      <c r="AB630" s="482"/>
      <c r="AC630" s="482"/>
      <c r="AD630" s="600">
        <v>619</v>
      </c>
      <c r="AE630" s="482"/>
      <c r="AF630" s="600"/>
      <c r="AG630" s="600"/>
      <c r="AH630" s="600"/>
      <c r="AI630" s="600"/>
      <c r="AJ630" s="600"/>
      <c r="AK630" s="600"/>
      <c r="AL630" s="600"/>
      <c r="AM630" s="600"/>
      <c r="AN630" s="482"/>
      <c r="AO630" s="600"/>
      <c r="AP630" s="600"/>
      <c r="AQ630" s="600"/>
      <c r="AR630" s="600"/>
      <c r="AS630" s="600"/>
      <c r="AT630" s="600"/>
      <c r="AU630" s="600"/>
      <c r="AV630" s="600"/>
      <c r="AW630" s="482"/>
      <c r="AX630" s="482"/>
      <c r="AY630" s="482"/>
      <c r="AZ630" s="482"/>
      <c r="BA630" s="343"/>
      <c r="BB630" s="343"/>
      <c r="BC630" s="343"/>
      <c r="BD630" s="343"/>
      <c r="BE630" s="343"/>
      <c r="BF630" s="343"/>
      <c r="BG630" s="343"/>
      <c r="BH630" s="343"/>
      <c r="BI630" s="343"/>
      <c r="BJ630" s="343"/>
      <c r="BK630" s="343"/>
      <c r="BL630" s="343"/>
      <c r="BM630" s="343"/>
      <c r="BN630" s="343"/>
      <c r="BO630" s="343"/>
      <c r="BP630" s="343"/>
      <c r="BQ630" s="343"/>
      <c r="BR630" s="343"/>
      <c r="BS630" s="343"/>
      <c r="BT630" s="343"/>
      <c r="BU630" s="343"/>
      <c r="BV630" s="343"/>
      <c r="BW630" s="343"/>
      <c r="BX630" s="343"/>
    </row>
    <row r="631" spans="1:76" s="25" customFormat="1">
      <c r="A631" s="343"/>
      <c r="B631" s="343"/>
      <c r="C631" s="64"/>
      <c r="D631" s="64"/>
      <c r="E631" s="39"/>
      <c r="F631" s="39"/>
      <c r="G631" s="39"/>
      <c r="H631" s="39"/>
      <c r="I631" s="39"/>
      <c r="J631" s="39"/>
      <c r="K631" s="39"/>
      <c r="L631" s="39"/>
      <c r="M631" s="660"/>
      <c r="N631" s="343"/>
      <c r="O631" s="343"/>
      <c r="P631" s="343"/>
      <c r="Q631" s="343"/>
      <c r="R631" s="600"/>
      <c r="S631" s="600"/>
      <c r="T631" s="600"/>
      <c r="U631" s="600"/>
      <c r="V631" s="600"/>
      <c r="W631" s="600"/>
      <c r="X631" s="600"/>
      <c r="Y631" s="600"/>
      <c r="Z631" s="600"/>
      <c r="AA631" s="482"/>
      <c r="AB631" s="482"/>
      <c r="AC631" s="482"/>
      <c r="AD631" s="600">
        <v>620</v>
      </c>
      <c r="AE631" s="482"/>
      <c r="AF631" s="600"/>
      <c r="AG631" s="600"/>
      <c r="AH631" s="600"/>
      <c r="AI631" s="600"/>
      <c r="AJ631" s="600"/>
      <c r="AK631" s="600"/>
      <c r="AL631" s="600"/>
      <c r="AM631" s="600"/>
      <c r="AN631" s="482"/>
      <c r="AO631" s="600"/>
      <c r="AP631" s="600"/>
      <c r="AQ631" s="600"/>
      <c r="AR631" s="600"/>
      <c r="AS631" s="600"/>
      <c r="AT631" s="600"/>
      <c r="AU631" s="600"/>
      <c r="AV631" s="600"/>
      <c r="AW631" s="482"/>
      <c r="AX631" s="482"/>
      <c r="AY631" s="482"/>
      <c r="AZ631" s="482"/>
      <c r="BA631" s="343"/>
      <c r="BB631" s="343"/>
      <c r="BC631" s="343"/>
      <c r="BD631" s="343"/>
      <c r="BE631" s="343"/>
      <c r="BF631" s="343"/>
      <c r="BG631" s="343"/>
      <c r="BH631" s="343"/>
      <c r="BI631" s="343"/>
      <c r="BJ631" s="343"/>
      <c r="BK631" s="343"/>
      <c r="BL631" s="343"/>
      <c r="BM631" s="343"/>
      <c r="BN631" s="343"/>
      <c r="BO631" s="343"/>
      <c r="BP631" s="343"/>
      <c r="BQ631" s="343"/>
      <c r="BR631" s="343"/>
      <c r="BS631" s="343"/>
      <c r="BT631" s="343"/>
      <c r="BU631" s="343"/>
      <c r="BV631" s="343"/>
      <c r="BW631" s="343"/>
      <c r="BX631" s="343"/>
    </row>
    <row r="632" spans="1:76" s="25" customFormat="1">
      <c r="A632" s="343"/>
      <c r="B632" s="343"/>
      <c r="C632" s="64"/>
      <c r="D632" s="64"/>
      <c r="E632" s="39"/>
      <c r="F632" s="39"/>
      <c r="G632" s="39"/>
      <c r="H632" s="39"/>
      <c r="I632" s="39"/>
      <c r="J632" s="39"/>
      <c r="K632" s="39"/>
      <c r="L632" s="39"/>
      <c r="M632" s="660"/>
      <c r="N632" s="343"/>
      <c r="O632" s="343"/>
      <c r="P632" s="343"/>
      <c r="Q632" s="343"/>
      <c r="R632" s="600"/>
      <c r="S632" s="600"/>
      <c r="T632" s="600"/>
      <c r="U632" s="600"/>
      <c r="V632" s="600"/>
      <c r="W632" s="600"/>
      <c r="X632" s="600"/>
      <c r="Y632" s="600"/>
      <c r="Z632" s="600"/>
      <c r="AA632" s="482"/>
      <c r="AB632" s="482"/>
      <c r="AC632" s="482"/>
      <c r="AD632" s="600">
        <v>621</v>
      </c>
      <c r="AE632" s="482"/>
      <c r="AF632" s="600"/>
      <c r="AG632" s="600"/>
      <c r="AH632" s="600"/>
      <c r="AI632" s="600"/>
      <c r="AJ632" s="600"/>
      <c r="AK632" s="600"/>
      <c r="AL632" s="600"/>
      <c r="AM632" s="600"/>
      <c r="AN632" s="482"/>
      <c r="AO632" s="600"/>
      <c r="AP632" s="600"/>
      <c r="AQ632" s="600"/>
      <c r="AR632" s="600"/>
      <c r="AS632" s="600"/>
      <c r="AT632" s="600"/>
      <c r="AU632" s="600"/>
      <c r="AV632" s="600"/>
      <c r="AW632" s="482"/>
      <c r="AX632" s="482"/>
      <c r="AY632" s="482"/>
      <c r="AZ632" s="482"/>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row>
    <row r="633" spans="1:76" s="25" customFormat="1">
      <c r="A633" s="343"/>
      <c r="B633" s="343"/>
      <c r="C633" s="64"/>
      <c r="D633" s="64"/>
      <c r="E633" s="39"/>
      <c r="F633" s="39"/>
      <c r="G633" s="39"/>
      <c r="H633" s="39"/>
      <c r="I633" s="39"/>
      <c r="J633" s="39"/>
      <c r="K633" s="39"/>
      <c r="L633" s="39"/>
      <c r="M633" s="660"/>
      <c r="N633" s="343"/>
      <c r="O633" s="343"/>
      <c r="P633" s="343"/>
      <c r="Q633" s="343"/>
      <c r="R633" s="600"/>
      <c r="S633" s="600"/>
      <c r="T633" s="600"/>
      <c r="U633" s="600"/>
      <c r="V633" s="600"/>
      <c r="W633" s="600"/>
      <c r="X633" s="600"/>
      <c r="Y633" s="600"/>
      <c r="Z633" s="600"/>
      <c r="AA633" s="482"/>
      <c r="AB633" s="482"/>
      <c r="AC633" s="482"/>
      <c r="AD633" s="600">
        <v>622</v>
      </c>
      <c r="AE633" s="482"/>
      <c r="AF633" s="600"/>
      <c r="AG633" s="600"/>
      <c r="AH633" s="600"/>
      <c r="AI633" s="600"/>
      <c r="AJ633" s="600"/>
      <c r="AK633" s="600"/>
      <c r="AL633" s="600"/>
      <c r="AM633" s="600"/>
      <c r="AN633" s="482"/>
      <c r="AO633" s="600"/>
      <c r="AP633" s="600"/>
      <c r="AQ633" s="600"/>
      <c r="AR633" s="600"/>
      <c r="AS633" s="600"/>
      <c r="AT633" s="600"/>
      <c r="AU633" s="600"/>
      <c r="AV633" s="600"/>
      <c r="AW633" s="482"/>
      <c r="AX633" s="482"/>
      <c r="AY633" s="482"/>
      <c r="AZ633" s="482"/>
      <c r="BA633" s="343"/>
      <c r="BB633" s="343"/>
      <c r="BC633" s="343"/>
      <c r="BD633" s="343"/>
      <c r="BE633" s="343"/>
      <c r="BF633" s="343"/>
      <c r="BG633" s="343"/>
      <c r="BH633" s="343"/>
      <c r="BI633" s="343"/>
      <c r="BJ633" s="343"/>
      <c r="BK633" s="343"/>
      <c r="BL633" s="343"/>
      <c r="BM633" s="343"/>
      <c r="BN633" s="343"/>
      <c r="BO633" s="343"/>
      <c r="BP633" s="343"/>
      <c r="BQ633" s="343"/>
      <c r="BR633" s="343"/>
      <c r="BS633" s="343"/>
      <c r="BT633" s="343"/>
      <c r="BU633" s="343"/>
      <c r="BV633" s="343"/>
      <c r="BW633" s="343"/>
      <c r="BX633" s="343"/>
    </row>
    <row r="634" spans="1:76" s="25" customFormat="1">
      <c r="A634" s="343"/>
      <c r="B634" s="343"/>
      <c r="C634" s="64"/>
      <c r="D634" s="64"/>
      <c r="E634" s="39"/>
      <c r="F634" s="39"/>
      <c r="G634" s="39"/>
      <c r="H634" s="39"/>
      <c r="I634" s="39"/>
      <c r="J634" s="39"/>
      <c r="K634" s="39"/>
      <c r="L634" s="39"/>
      <c r="M634" s="660"/>
      <c r="N634" s="343"/>
      <c r="O634" s="343"/>
      <c r="P634" s="343"/>
      <c r="Q634" s="343"/>
      <c r="R634" s="600"/>
      <c r="S634" s="600"/>
      <c r="T634" s="600"/>
      <c r="U634" s="600"/>
      <c r="V634" s="600"/>
      <c r="W634" s="600"/>
      <c r="X634" s="600"/>
      <c r="Y634" s="600"/>
      <c r="Z634" s="600"/>
      <c r="AA634" s="482"/>
      <c r="AB634" s="482"/>
      <c r="AC634" s="482"/>
      <c r="AD634" s="600">
        <v>623</v>
      </c>
      <c r="AE634" s="482"/>
      <c r="AF634" s="600"/>
      <c r="AG634" s="600"/>
      <c r="AH634" s="600"/>
      <c r="AI634" s="600"/>
      <c r="AJ634" s="600"/>
      <c r="AK634" s="600"/>
      <c r="AL634" s="600"/>
      <c r="AM634" s="600"/>
      <c r="AN634" s="482"/>
      <c r="AO634" s="600"/>
      <c r="AP634" s="600"/>
      <c r="AQ634" s="600"/>
      <c r="AR634" s="600"/>
      <c r="AS634" s="600"/>
      <c r="AT634" s="600"/>
      <c r="AU634" s="600"/>
      <c r="AV634" s="600"/>
      <c r="AW634" s="482"/>
      <c r="AX634" s="482"/>
      <c r="AY634" s="482"/>
      <c r="AZ634" s="482"/>
      <c r="BA634" s="343"/>
      <c r="BB634" s="343"/>
      <c r="BC634" s="343"/>
      <c r="BD634" s="343"/>
      <c r="BE634" s="343"/>
      <c r="BF634" s="343"/>
      <c r="BG634" s="343"/>
      <c r="BH634" s="343"/>
      <c r="BI634" s="343"/>
      <c r="BJ634" s="343"/>
      <c r="BK634" s="343"/>
      <c r="BL634" s="343"/>
      <c r="BM634" s="343"/>
      <c r="BN634" s="343"/>
      <c r="BO634" s="343"/>
      <c r="BP634" s="343"/>
      <c r="BQ634" s="343"/>
      <c r="BR634" s="343"/>
      <c r="BS634" s="343"/>
      <c r="BT634" s="343"/>
      <c r="BU634" s="343"/>
      <c r="BV634" s="343"/>
      <c r="BW634" s="343"/>
      <c r="BX634" s="343"/>
    </row>
    <row r="635" spans="1:76" s="25" customFormat="1">
      <c r="A635" s="343"/>
      <c r="B635" s="343"/>
      <c r="C635" s="64"/>
      <c r="D635" s="64"/>
      <c r="E635" s="39"/>
      <c r="F635" s="39"/>
      <c r="G635" s="39"/>
      <c r="H635" s="39"/>
      <c r="I635" s="39"/>
      <c r="J635" s="39"/>
      <c r="K635" s="39"/>
      <c r="L635" s="39"/>
      <c r="M635" s="660"/>
      <c r="N635" s="343"/>
      <c r="O635" s="343"/>
      <c r="P635" s="343"/>
      <c r="Q635" s="343"/>
      <c r="R635" s="600"/>
      <c r="S635" s="600"/>
      <c r="T635" s="600"/>
      <c r="U635" s="600"/>
      <c r="V635" s="600"/>
      <c r="W635" s="600"/>
      <c r="X635" s="600"/>
      <c r="Y635" s="600"/>
      <c r="Z635" s="600"/>
      <c r="AA635" s="482"/>
      <c r="AB635" s="482"/>
      <c r="AC635" s="482"/>
      <c r="AD635" s="600">
        <v>624</v>
      </c>
      <c r="AE635" s="482"/>
      <c r="AF635" s="600"/>
      <c r="AG635" s="600"/>
      <c r="AH635" s="600"/>
      <c r="AI635" s="600"/>
      <c r="AJ635" s="600"/>
      <c r="AK635" s="600"/>
      <c r="AL635" s="600"/>
      <c r="AM635" s="600"/>
      <c r="AN635" s="482"/>
      <c r="AO635" s="600"/>
      <c r="AP635" s="600"/>
      <c r="AQ635" s="600"/>
      <c r="AR635" s="600"/>
      <c r="AS635" s="600"/>
      <c r="AT635" s="600"/>
      <c r="AU635" s="600"/>
      <c r="AV635" s="600"/>
      <c r="AW635" s="482"/>
      <c r="AX635" s="482"/>
      <c r="AY635" s="482"/>
      <c r="AZ635" s="482"/>
      <c r="BA635" s="343"/>
      <c r="BB635" s="343"/>
      <c r="BC635" s="343"/>
      <c r="BD635" s="343"/>
      <c r="BE635" s="343"/>
      <c r="BF635" s="343"/>
      <c r="BG635" s="343"/>
      <c r="BH635" s="343"/>
      <c r="BI635" s="343"/>
      <c r="BJ635" s="343"/>
      <c r="BK635" s="343"/>
      <c r="BL635" s="343"/>
      <c r="BM635" s="343"/>
      <c r="BN635" s="343"/>
      <c r="BO635" s="343"/>
      <c r="BP635" s="343"/>
      <c r="BQ635" s="343"/>
      <c r="BR635" s="343"/>
      <c r="BS635" s="343"/>
      <c r="BT635" s="343"/>
      <c r="BU635" s="343"/>
      <c r="BV635" s="343"/>
      <c r="BW635" s="343"/>
      <c r="BX635" s="343"/>
    </row>
    <row r="636" spans="1:76" s="25" customFormat="1">
      <c r="A636" s="343"/>
      <c r="B636" s="343"/>
      <c r="C636" s="64"/>
      <c r="D636" s="64"/>
      <c r="E636" s="39"/>
      <c r="F636" s="39"/>
      <c r="G636" s="39"/>
      <c r="H636" s="39"/>
      <c r="I636" s="39"/>
      <c r="J636" s="39"/>
      <c r="K636" s="39"/>
      <c r="L636" s="39"/>
      <c r="M636" s="660"/>
      <c r="N636" s="343"/>
      <c r="O636" s="343"/>
      <c r="P636" s="343"/>
      <c r="Q636" s="343"/>
      <c r="R636" s="600"/>
      <c r="S636" s="600"/>
      <c r="T636" s="600"/>
      <c r="U636" s="600"/>
      <c r="V636" s="600"/>
      <c r="W636" s="600"/>
      <c r="X636" s="600"/>
      <c r="Y636" s="600"/>
      <c r="Z636" s="600"/>
      <c r="AA636" s="482"/>
      <c r="AB636" s="482"/>
      <c r="AC636" s="482"/>
      <c r="AD636" s="600">
        <v>625</v>
      </c>
      <c r="AE636" s="482"/>
      <c r="AF636" s="600"/>
      <c r="AG636" s="600"/>
      <c r="AH636" s="600"/>
      <c r="AI636" s="600"/>
      <c r="AJ636" s="600"/>
      <c r="AK636" s="600"/>
      <c r="AL636" s="600"/>
      <c r="AM636" s="600"/>
      <c r="AN636" s="482"/>
      <c r="AO636" s="600"/>
      <c r="AP636" s="600"/>
      <c r="AQ636" s="600"/>
      <c r="AR636" s="600"/>
      <c r="AS636" s="600"/>
      <c r="AT636" s="600"/>
      <c r="AU636" s="600"/>
      <c r="AV636" s="600"/>
      <c r="AW636" s="482"/>
      <c r="AX636" s="482"/>
      <c r="AY636" s="482"/>
      <c r="AZ636" s="482"/>
      <c r="BA636" s="343"/>
      <c r="BB636" s="343"/>
      <c r="BC636" s="343"/>
      <c r="BD636" s="343"/>
      <c r="BE636" s="343"/>
      <c r="BF636" s="343"/>
      <c r="BG636" s="343"/>
      <c r="BH636" s="343"/>
      <c r="BI636" s="343"/>
      <c r="BJ636" s="343"/>
      <c r="BK636" s="343"/>
      <c r="BL636" s="343"/>
      <c r="BM636" s="343"/>
      <c r="BN636" s="343"/>
      <c r="BO636" s="343"/>
      <c r="BP636" s="343"/>
      <c r="BQ636" s="343"/>
      <c r="BR636" s="343"/>
      <c r="BS636" s="343"/>
      <c r="BT636" s="343"/>
      <c r="BU636" s="343"/>
      <c r="BV636" s="343"/>
      <c r="BW636" s="343"/>
      <c r="BX636" s="343"/>
    </row>
    <row r="637" spans="1:76" s="25" customFormat="1">
      <c r="A637" s="343"/>
      <c r="B637" s="343"/>
      <c r="C637" s="64"/>
      <c r="D637" s="64"/>
      <c r="E637" s="39"/>
      <c r="F637" s="39"/>
      <c r="G637" s="39"/>
      <c r="H637" s="39"/>
      <c r="I637" s="39"/>
      <c r="J637" s="39"/>
      <c r="K637" s="39"/>
      <c r="L637" s="39"/>
      <c r="M637" s="660"/>
      <c r="N637" s="343"/>
      <c r="O637" s="343"/>
      <c r="P637" s="343"/>
      <c r="Q637" s="343"/>
      <c r="R637" s="600"/>
      <c r="S637" s="600"/>
      <c r="T637" s="600"/>
      <c r="U637" s="600"/>
      <c r="V637" s="600"/>
      <c r="W637" s="600"/>
      <c r="X637" s="600"/>
      <c r="Y637" s="600"/>
      <c r="Z637" s="600"/>
      <c r="AA637" s="482"/>
      <c r="AB637" s="482"/>
      <c r="AC637" s="482"/>
      <c r="AD637" s="600">
        <v>626</v>
      </c>
      <c r="AE637" s="482"/>
      <c r="AF637" s="600"/>
      <c r="AG637" s="600"/>
      <c r="AH637" s="600"/>
      <c r="AI637" s="600"/>
      <c r="AJ637" s="600"/>
      <c r="AK637" s="600"/>
      <c r="AL637" s="600"/>
      <c r="AM637" s="600"/>
      <c r="AN637" s="482"/>
      <c r="AO637" s="600"/>
      <c r="AP637" s="600"/>
      <c r="AQ637" s="600"/>
      <c r="AR637" s="600"/>
      <c r="AS637" s="600"/>
      <c r="AT637" s="600"/>
      <c r="AU637" s="600"/>
      <c r="AV637" s="600"/>
      <c r="AW637" s="482"/>
      <c r="AX637" s="482"/>
      <c r="AY637" s="482"/>
      <c r="AZ637" s="482"/>
      <c r="BA637" s="343"/>
      <c r="BB637" s="343"/>
      <c r="BC637" s="343"/>
      <c r="BD637" s="343"/>
      <c r="BE637" s="343"/>
      <c r="BF637" s="343"/>
      <c r="BG637" s="343"/>
      <c r="BH637" s="343"/>
      <c r="BI637" s="343"/>
      <c r="BJ637" s="343"/>
      <c r="BK637" s="343"/>
      <c r="BL637" s="343"/>
      <c r="BM637" s="343"/>
      <c r="BN637" s="343"/>
      <c r="BO637" s="343"/>
      <c r="BP637" s="343"/>
      <c r="BQ637" s="343"/>
      <c r="BR637" s="343"/>
      <c r="BS637" s="343"/>
      <c r="BT637" s="343"/>
      <c r="BU637" s="343"/>
      <c r="BV637" s="343"/>
      <c r="BW637" s="343"/>
      <c r="BX637" s="343"/>
    </row>
    <row r="638" spans="1:76" s="25" customFormat="1">
      <c r="A638" s="343"/>
      <c r="B638" s="343"/>
      <c r="C638" s="64"/>
      <c r="D638" s="64"/>
      <c r="E638" s="39"/>
      <c r="F638" s="39"/>
      <c r="G638" s="39"/>
      <c r="H638" s="39"/>
      <c r="I638" s="39"/>
      <c r="J638" s="39"/>
      <c r="K638" s="39"/>
      <c r="L638" s="39"/>
      <c r="M638" s="660"/>
      <c r="N638" s="343"/>
      <c r="O638" s="343"/>
      <c r="P638" s="343"/>
      <c r="Q638" s="343"/>
      <c r="R638" s="600"/>
      <c r="S638" s="600"/>
      <c r="T638" s="600"/>
      <c r="U638" s="600"/>
      <c r="V638" s="600"/>
      <c r="W638" s="600"/>
      <c r="X638" s="600"/>
      <c r="Y638" s="600"/>
      <c r="Z638" s="600"/>
      <c r="AA638" s="482"/>
      <c r="AB638" s="482"/>
      <c r="AC638" s="482"/>
      <c r="AD638" s="600">
        <v>627</v>
      </c>
      <c r="AE638" s="482"/>
      <c r="AF638" s="600"/>
      <c r="AG638" s="600"/>
      <c r="AH638" s="600"/>
      <c r="AI638" s="600"/>
      <c r="AJ638" s="600"/>
      <c r="AK638" s="600"/>
      <c r="AL638" s="600"/>
      <c r="AM638" s="600"/>
      <c r="AN638" s="482"/>
      <c r="AO638" s="600"/>
      <c r="AP638" s="600"/>
      <c r="AQ638" s="600"/>
      <c r="AR638" s="600"/>
      <c r="AS638" s="600"/>
      <c r="AT638" s="600"/>
      <c r="AU638" s="600"/>
      <c r="AV638" s="600"/>
      <c r="AW638" s="482"/>
      <c r="AX638" s="482"/>
      <c r="AY638" s="482"/>
      <c r="AZ638" s="482"/>
      <c r="BA638" s="343"/>
      <c r="BB638" s="343"/>
      <c r="BC638" s="343"/>
      <c r="BD638" s="343"/>
      <c r="BE638" s="343"/>
      <c r="BF638" s="343"/>
      <c r="BG638" s="343"/>
      <c r="BH638" s="343"/>
      <c r="BI638" s="343"/>
      <c r="BJ638" s="343"/>
      <c r="BK638" s="343"/>
      <c r="BL638" s="343"/>
      <c r="BM638" s="343"/>
      <c r="BN638" s="343"/>
      <c r="BO638" s="343"/>
      <c r="BP638" s="343"/>
      <c r="BQ638" s="343"/>
      <c r="BR638" s="343"/>
      <c r="BS638" s="343"/>
      <c r="BT638" s="343"/>
      <c r="BU638" s="343"/>
      <c r="BV638" s="343"/>
      <c r="BW638" s="343"/>
      <c r="BX638" s="343"/>
    </row>
    <row r="639" spans="1:76" s="25" customFormat="1">
      <c r="A639" s="343"/>
      <c r="B639" s="343"/>
      <c r="C639" s="64"/>
      <c r="D639" s="64"/>
      <c r="E639" s="39"/>
      <c r="F639" s="39"/>
      <c r="G639" s="39"/>
      <c r="H639" s="39"/>
      <c r="I639" s="39"/>
      <c r="J639" s="39"/>
      <c r="K639" s="39"/>
      <c r="L639" s="39"/>
      <c r="M639" s="660"/>
      <c r="N639" s="343"/>
      <c r="O639" s="343"/>
      <c r="P639" s="343"/>
      <c r="Q639" s="343"/>
      <c r="R639" s="600"/>
      <c r="S639" s="600"/>
      <c r="T639" s="600"/>
      <c r="U639" s="600"/>
      <c r="V639" s="600"/>
      <c r="W639" s="600"/>
      <c r="X639" s="600"/>
      <c r="Y639" s="600"/>
      <c r="Z639" s="600"/>
      <c r="AA639" s="482"/>
      <c r="AB639" s="482"/>
      <c r="AC639" s="482"/>
      <c r="AD639" s="600">
        <v>628</v>
      </c>
      <c r="AE639" s="482"/>
      <c r="AF639" s="600"/>
      <c r="AG639" s="600"/>
      <c r="AH639" s="600"/>
      <c r="AI639" s="600"/>
      <c r="AJ639" s="600"/>
      <c r="AK639" s="600"/>
      <c r="AL639" s="600"/>
      <c r="AM639" s="600"/>
      <c r="AN639" s="482"/>
      <c r="AO639" s="600"/>
      <c r="AP639" s="600"/>
      <c r="AQ639" s="600"/>
      <c r="AR639" s="600"/>
      <c r="AS639" s="600"/>
      <c r="AT639" s="600"/>
      <c r="AU639" s="600"/>
      <c r="AV639" s="600"/>
      <c r="AW639" s="482"/>
      <c r="AX639" s="482"/>
      <c r="AY639" s="482"/>
      <c r="AZ639" s="482"/>
      <c r="BA639" s="343"/>
      <c r="BB639" s="343"/>
      <c r="BC639" s="343"/>
      <c r="BD639" s="343"/>
      <c r="BE639" s="343"/>
      <c r="BF639" s="343"/>
      <c r="BG639" s="343"/>
      <c r="BH639" s="343"/>
      <c r="BI639" s="343"/>
      <c r="BJ639" s="343"/>
      <c r="BK639" s="343"/>
      <c r="BL639" s="343"/>
      <c r="BM639" s="343"/>
      <c r="BN639" s="343"/>
      <c r="BO639" s="343"/>
      <c r="BP639" s="343"/>
      <c r="BQ639" s="343"/>
      <c r="BR639" s="343"/>
      <c r="BS639" s="343"/>
      <c r="BT639" s="343"/>
      <c r="BU639" s="343"/>
      <c r="BV639" s="343"/>
      <c r="BW639" s="343"/>
      <c r="BX639" s="343"/>
    </row>
    <row r="640" spans="1:76" s="25" customFormat="1">
      <c r="A640" s="343"/>
      <c r="B640" s="343"/>
      <c r="C640" s="64"/>
      <c r="D640" s="64"/>
      <c r="E640" s="39"/>
      <c r="F640" s="39"/>
      <c r="G640" s="39"/>
      <c r="H640" s="39"/>
      <c r="I640" s="39"/>
      <c r="J640" s="39"/>
      <c r="K640" s="39"/>
      <c r="L640" s="39"/>
      <c r="M640" s="660"/>
      <c r="N640" s="343"/>
      <c r="O640" s="343"/>
      <c r="P640" s="343"/>
      <c r="Q640" s="343"/>
      <c r="R640" s="600"/>
      <c r="S640" s="600"/>
      <c r="T640" s="600"/>
      <c r="U640" s="600"/>
      <c r="V640" s="600"/>
      <c r="W640" s="600"/>
      <c r="X640" s="600"/>
      <c r="Y640" s="600"/>
      <c r="Z640" s="600"/>
      <c r="AA640" s="482"/>
      <c r="AB640" s="482"/>
      <c r="AC640" s="482"/>
      <c r="AD640" s="600">
        <v>629</v>
      </c>
      <c r="AE640" s="482"/>
      <c r="AF640" s="600"/>
      <c r="AG640" s="600"/>
      <c r="AH640" s="600"/>
      <c r="AI640" s="600"/>
      <c r="AJ640" s="600"/>
      <c r="AK640" s="600"/>
      <c r="AL640" s="600"/>
      <c r="AM640" s="600"/>
      <c r="AN640" s="482"/>
      <c r="AO640" s="600"/>
      <c r="AP640" s="600"/>
      <c r="AQ640" s="600"/>
      <c r="AR640" s="600"/>
      <c r="AS640" s="600"/>
      <c r="AT640" s="600"/>
      <c r="AU640" s="600"/>
      <c r="AV640" s="600"/>
      <c r="AW640" s="482"/>
      <c r="AX640" s="482"/>
      <c r="AY640" s="482"/>
      <c r="AZ640" s="482"/>
      <c r="BA640" s="343"/>
      <c r="BB640" s="343"/>
      <c r="BC640" s="343"/>
      <c r="BD640" s="343"/>
      <c r="BE640" s="343"/>
      <c r="BF640" s="343"/>
      <c r="BG640" s="343"/>
      <c r="BH640" s="343"/>
      <c r="BI640" s="343"/>
      <c r="BJ640" s="343"/>
      <c r="BK640" s="343"/>
      <c r="BL640" s="343"/>
      <c r="BM640" s="343"/>
      <c r="BN640" s="343"/>
      <c r="BO640" s="343"/>
      <c r="BP640" s="343"/>
      <c r="BQ640" s="343"/>
      <c r="BR640" s="343"/>
      <c r="BS640" s="343"/>
      <c r="BT640" s="343"/>
      <c r="BU640" s="343"/>
      <c r="BV640" s="343"/>
      <c r="BW640" s="343"/>
      <c r="BX640" s="343"/>
    </row>
    <row r="641" spans="1:76" s="25" customFormat="1">
      <c r="A641" s="343"/>
      <c r="B641" s="343"/>
      <c r="C641" s="64"/>
      <c r="D641" s="64"/>
      <c r="E641" s="39"/>
      <c r="F641" s="39"/>
      <c r="G641" s="39"/>
      <c r="H641" s="39"/>
      <c r="I641" s="39"/>
      <c r="J641" s="39"/>
      <c r="K641" s="39"/>
      <c r="L641" s="39"/>
      <c r="M641" s="660"/>
      <c r="N641" s="343"/>
      <c r="O641" s="343"/>
      <c r="P641" s="343"/>
      <c r="Q641" s="343"/>
      <c r="R641" s="600"/>
      <c r="S641" s="600"/>
      <c r="T641" s="600"/>
      <c r="U641" s="600"/>
      <c r="V641" s="600"/>
      <c r="W641" s="600"/>
      <c r="X641" s="600"/>
      <c r="Y641" s="600"/>
      <c r="Z641" s="600"/>
      <c r="AA641" s="482"/>
      <c r="AB641" s="482"/>
      <c r="AC641" s="482"/>
      <c r="AD641" s="600">
        <v>630</v>
      </c>
      <c r="AE641" s="482"/>
      <c r="AF641" s="600"/>
      <c r="AG641" s="600"/>
      <c r="AH641" s="600"/>
      <c r="AI641" s="600"/>
      <c r="AJ641" s="600"/>
      <c r="AK641" s="600"/>
      <c r="AL641" s="600"/>
      <c r="AM641" s="600"/>
      <c r="AN641" s="482"/>
      <c r="AO641" s="600"/>
      <c r="AP641" s="600"/>
      <c r="AQ641" s="600"/>
      <c r="AR641" s="600"/>
      <c r="AS641" s="600"/>
      <c r="AT641" s="600"/>
      <c r="AU641" s="600"/>
      <c r="AV641" s="600"/>
      <c r="AW641" s="482"/>
      <c r="AX641" s="482"/>
      <c r="AY641" s="482"/>
      <c r="AZ641" s="482"/>
      <c r="BA641" s="343"/>
      <c r="BB641" s="343"/>
      <c r="BC641" s="343"/>
      <c r="BD641" s="343"/>
      <c r="BE641" s="343"/>
      <c r="BF641" s="343"/>
      <c r="BG641" s="343"/>
      <c r="BH641" s="343"/>
      <c r="BI641" s="343"/>
      <c r="BJ641" s="343"/>
      <c r="BK641" s="343"/>
      <c r="BL641" s="343"/>
      <c r="BM641" s="343"/>
      <c r="BN641" s="343"/>
      <c r="BO641" s="343"/>
      <c r="BP641" s="343"/>
      <c r="BQ641" s="343"/>
      <c r="BR641" s="343"/>
      <c r="BS641" s="343"/>
      <c r="BT641" s="343"/>
      <c r="BU641" s="343"/>
      <c r="BV641" s="343"/>
      <c r="BW641" s="343"/>
      <c r="BX641" s="343"/>
    </row>
    <row r="642" spans="1:76" s="25" customFormat="1">
      <c r="A642" s="343"/>
      <c r="B642" s="343"/>
      <c r="C642" s="64"/>
      <c r="D642" s="64"/>
      <c r="E642" s="39"/>
      <c r="F642" s="39"/>
      <c r="G642" s="39"/>
      <c r="H642" s="39"/>
      <c r="I642" s="39"/>
      <c r="J642" s="39"/>
      <c r="K642" s="39"/>
      <c r="L642" s="39"/>
      <c r="M642" s="660"/>
      <c r="N642" s="343"/>
      <c r="O642" s="343"/>
      <c r="P642" s="343"/>
      <c r="Q642" s="343"/>
      <c r="R642" s="600"/>
      <c r="S642" s="600"/>
      <c r="T642" s="600"/>
      <c r="U642" s="600"/>
      <c r="V642" s="600"/>
      <c r="W642" s="600"/>
      <c r="X642" s="600"/>
      <c r="Y642" s="600"/>
      <c r="Z642" s="600"/>
      <c r="AA642" s="482"/>
      <c r="AB642" s="482"/>
      <c r="AC642" s="482"/>
      <c r="AD642" s="600">
        <v>631</v>
      </c>
      <c r="AE642" s="482"/>
      <c r="AF642" s="600"/>
      <c r="AG642" s="600"/>
      <c r="AH642" s="600"/>
      <c r="AI642" s="600"/>
      <c r="AJ642" s="600"/>
      <c r="AK642" s="600"/>
      <c r="AL642" s="600"/>
      <c r="AM642" s="600"/>
      <c r="AN642" s="482"/>
      <c r="AO642" s="600"/>
      <c r="AP642" s="600"/>
      <c r="AQ642" s="600"/>
      <c r="AR642" s="600"/>
      <c r="AS642" s="600"/>
      <c r="AT642" s="600"/>
      <c r="AU642" s="600"/>
      <c r="AV642" s="600"/>
      <c r="AW642" s="482"/>
      <c r="AX642" s="482"/>
      <c r="AY642" s="482"/>
      <c r="AZ642" s="482"/>
      <c r="BA642" s="343"/>
      <c r="BB642" s="343"/>
      <c r="BC642" s="343"/>
      <c r="BD642" s="343"/>
      <c r="BE642" s="343"/>
      <c r="BF642" s="343"/>
      <c r="BG642" s="343"/>
      <c r="BH642" s="343"/>
      <c r="BI642" s="343"/>
      <c r="BJ642" s="343"/>
      <c r="BK642" s="343"/>
      <c r="BL642" s="343"/>
      <c r="BM642" s="343"/>
      <c r="BN642" s="343"/>
      <c r="BO642" s="343"/>
      <c r="BP642" s="343"/>
      <c r="BQ642" s="343"/>
      <c r="BR642" s="343"/>
      <c r="BS642" s="343"/>
      <c r="BT642" s="343"/>
      <c r="BU642" s="343"/>
      <c r="BV642" s="343"/>
      <c r="BW642" s="343"/>
      <c r="BX642" s="343"/>
    </row>
    <row r="643" spans="1:76" s="25" customFormat="1">
      <c r="A643" s="343"/>
      <c r="B643" s="343"/>
      <c r="C643" s="64"/>
      <c r="D643" s="64"/>
      <c r="E643" s="39"/>
      <c r="F643" s="39"/>
      <c r="G643" s="39"/>
      <c r="H643" s="39"/>
      <c r="I643" s="39"/>
      <c r="J643" s="39"/>
      <c r="K643" s="39"/>
      <c r="L643" s="39"/>
      <c r="M643" s="660"/>
      <c r="N643" s="343"/>
      <c r="O643" s="343"/>
      <c r="P643" s="343"/>
      <c r="Q643" s="343"/>
      <c r="R643" s="600"/>
      <c r="S643" s="600"/>
      <c r="T643" s="600"/>
      <c r="U643" s="600"/>
      <c r="V643" s="600"/>
      <c r="W643" s="600"/>
      <c r="X643" s="600"/>
      <c r="Y643" s="600"/>
      <c r="Z643" s="600"/>
      <c r="AA643" s="482"/>
      <c r="AB643" s="482"/>
      <c r="AC643" s="482"/>
      <c r="AD643" s="600">
        <v>632</v>
      </c>
      <c r="AE643" s="482"/>
      <c r="AF643" s="600"/>
      <c r="AG643" s="600"/>
      <c r="AH643" s="600"/>
      <c r="AI643" s="600"/>
      <c r="AJ643" s="600"/>
      <c r="AK643" s="600"/>
      <c r="AL643" s="600"/>
      <c r="AM643" s="600"/>
      <c r="AN643" s="482"/>
      <c r="AO643" s="600"/>
      <c r="AP643" s="600"/>
      <c r="AQ643" s="600"/>
      <c r="AR643" s="600"/>
      <c r="AS643" s="600"/>
      <c r="AT643" s="600"/>
      <c r="AU643" s="600"/>
      <c r="AV643" s="600"/>
      <c r="AW643" s="482"/>
      <c r="AX643" s="482"/>
      <c r="AY643" s="482"/>
      <c r="AZ643" s="482"/>
      <c r="BA643" s="343"/>
      <c r="BB643" s="343"/>
      <c r="BC643" s="343"/>
      <c r="BD643" s="343"/>
      <c r="BE643" s="343"/>
      <c r="BF643" s="343"/>
      <c r="BG643" s="343"/>
      <c r="BH643" s="343"/>
      <c r="BI643" s="343"/>
      <c r="BJ643" s="343"/>
      <c r="BK643" s="343"/>
      <c r="BL643" s="343"/>
      <c r="BM643" s="343"/>
      <c r="BN643" s="343"/>
      <c r="BO643" s="343"/>
      <c r="BP643" s="343"/>
      <c r="BQ643" s="343"/>
      <c r="BR643" s="343"/>
      <c r="BS643" s="343"/>
      <c r="BT643" s="343"/>
      <c r="BU643" s="343"/>
      <c r="BV643" s="343"/>
      <c r="BW643" s="343"/>
      <c r="BX643" s="343"/>
    </row>
    <row r="644" spans="1:76" s="25" customFormat="1">
      <c r="A644" s="343"/>
      <c r="B644" s="343"/>
      <c r="C644" s="64"/>
      <c r="D644" s="64"/>
      <c r="E644" s="39"/>
      <c r="F644" s="39"/>
      <c r="G644" s="39"/>
      <c r="H644" s="39"/>
      <c r="I644" s="39"/>
      <c r="J644" s="39"/>
      <c r="K644" s="39"/>
      <c r="L644" s="39"/>
      <c r="M644" s="660"/>
      <c r="N644" s="343"/>
      <c r="O644" s="343"/>
      <c r="P644" s="343"/>
      <c r="Q644" s="343"/>
      <c r="R644" s="600"/>
      <c r="S644" s="600"/>
      <c r="T644" s="600"/>
      <c r="U644" s="600"/>
      <c r="V644" s="600"/>
      <c r="W644" s="600"/>
      <c r="X644" s="600"/>
      <c r="Y644" s="600"/>
      <c r="Z644" s="600"/>
      <c r="AA644" s="482"/>
      <c r="AB644" s="482"/>
      <c r="AC644" s="482"/>
      <c r="AD644" s="600">
        <v>633</v>
      </c>
      <c r="AE644" s="482"/>
      <c r="AF644" s="600"/>
      <c r="AG644" s="600"/>
      <c r="AH644" s="600"/>
      <c r="AI644" s="600"/>
      <c r="AJ644" s="600"/>
      <c r="AK644" s="600"/>
      <c r="AL644" s="600"/>
      <c r="AM644" s="600"/>
      <c r="AN644" s="482"/>
      <c r="AO644" s="600"/>
      <c r="AP644" s="600"/>
      <c r="AQ644" s="600"/>
      <c r="AR644" s="600"/>
      <c r="AS644" s="600"/>
      <c r="AT644" s="600"/>
      <c r="AU644" s="600"/>
      <c r="AV644" s="600"/>
      <c r="AW644" s="482"/>
      <c r="AX644" s="482"/>
      <c r="AY644" s="482"/>
      <c r="AZ644" s="482"/>
      <c r="BA644" s="343"/>
      <c r="BB644" s="343"/>
      <c r="BC644" s="343"/>
      <c r="BD644" s="343"/>
      <c r="BE644" s="343"/>
      <c r="BF644" s="343"/>
      <c r="BG644" s="343"/>
      <c r="BH644" s="343"/>
      <c r="BI644" s="343"/>
      <c r="BJ644" s="343"/>
      <c r="BK644" s="343"/>
      <c r="BL644" s="343"/>
      <c r="BM644" s="343"/>
      <c r="BN644" s="343"/>
      <c r="BO644" s="343"/>
      <c r="BP644" s="343"/>
      <c r="BQ644" s="343"/>
      <c r="BR644" s="343"/>
      <c r="BS644" s="343"/>
      <c r="BT644" s="343"/>
      <c r="BU644" s="343"/>
      <c r="BV644" s="343"/>
      <c r="BW644" s="343"/>
      <c r="BX644" s="343"/>
    </row>
    <row r="645" spans="1:76" s="25" customFormat="1">
      <c r="A645" s="343"/>
      <c r="B645" s="343"/>
      <c r="C645" s="64"/>
      <c r="D645" s="64"/>
      <c r="E645" s="39"/>
      <c r="F645" s="39"/>
      <c r="G645" s="39"/>
      <c r="H645" s="39"/>
      <c r="I645" s="39"/>
      <c r="J645" s="39"/>
      <c r="K645" s="39"/>
      <c r="L645" s="39"/>
      <c r="M645" s="660"/>
      <c r="N645" s="343"/>
      <c r="O645" s="343"/>
      <c r="P645" s="343"/>
      <c r="Q645" s="343"/>
      <c r="R645" s="600"/>
      <c r="S645" s="600"/>
      <c r="T645" s="600"/>
      <c r="U645" s="600"/>
      <c r="V645" s="600"/>
      <c r="W645" s="600"/>
      <c r="X645" s="600"/>
      <c r="Y645" s="600"/>
      <c r="Z645" s="600"/>
      <c r="AA645" s="482"/>
      <c r="AB645" s="482"/>
      <c r="AC645" s="482"/>
      <c r="AD645" s="600">
        <v>634</v>
      </c>
      <c r="AE645" s="482"/>
      <c r="AF645" s="600"/>
      <c r="AG645" s="600"/>
      <c r="AH645" s="600"/>
      <c r="AI645" s="600"/>
      <c r="AJ645" s="600"/>
      <c r="AK645" s="600"/>
      <c r="AL645" s="600"/>
      <c r="AM645" s="600"/>
      <c r="AN645" s="482"/>
      <c r="AO645" s="600"/>
      <c r="AP645" s="600"/>
      <c r="AQ645" s="600"/>
      <c r="AR645" s="600"/>
      <c r="AS645" s="600"/>
      <c r="AT645" s="600"/>
      <c r="AU645" s="600"/>
      <c r="AV645" s="600"/>
      <c r="AW645" s="482"/>
      <c r="AX645" s="482"/>
      <c r="AY645" s="482"/>
      <c r="AZ645" s="482"/>
      <c r="BA645" s="343"/>
      <c r="BB645" s="343"/>
      <c r="BC645" s="343"/>
      <c r="BD645" s="343"/>
      <c r="BE645" s="343"/>
      <c r="BF645" s="343"/>
      <c r="BG645" s="343"/>
      <c r="BH645" s="343"/>
      <c r="BI645" s="343"/>
      <c r="BJ645" s="343"/>
      <c r="BK645" s="343"/>
      <c r="BL645" s="343"/>
      <c r="BM645" s="343"/>
      <c r="BN645" s="343"/>
      <c r="BO645" s="343"/>
      <c r="BP645" s="343"/>
      <c r="BQ645" s="343"/>
      <c r="BR645" s="343"/>
      <c r="BS645" s="343"/>
      <c r="BT645" s="343"/>
      <c r="BU645" s="343"/>
      <c r="BV645" s="343"/>
      <c r="BW645" s="343"/>
      <c r="BX645" s="343"/>
    </row>
    <row r="646" spans="1:76" s="25" customFormat="1">
      <c r="A646" s="343"/>
      <c r="B646" s="343"/>
      <c r="C646" s="64"/>
      <c r="D646" s="64"/>
      <c r="E646" s="39"/>
      <c r="F646" s="39"/>
      <c r="G646" s="39"/>
      <c r="H646" s="39"/>
      <c r="I646" s="39"/>
      <c r="J646" s="39"/>
      <c r="K646" s="39"/>
      <c r="L646" s="39"/>
      <c r="M646" s="660"/>
      <c r="N646" s="343"/>
      <c r="O646" s="343"/>
      <c r="P646" s="343"/>
      <c r="Q646" s="343"/>
      <c r="R646" s="600"/>
      <c r="S646" s="600"/>
      <c r="T646" s="600"/>
      <c r="U646" s="600"/>
      <c r="V646" s="600"/>
      <c r="W646" s="600"/>
      <c r="X646" s="600"/>
      <c r="Y646" s="600"/>
      <c r="Z646" s="600"/>
      <c r="AA646" s="482"/>
      <c r="AB646" s="482"/>
      <c r="AC646" s="482"/>
      <c r="AD646" s="600">
        <v>635</v>
      </c>
      <c r="AE646" s="482"/>
      <c r="AF646" s="600"/>
      <c r="AG646" s="600"/>
      <c r="AH646" s="600"/>
      <c r="AI646" s="600"/>
      <c r="AJ646" s="600"/>
      <c r="AK646" s="600"/>
      <c r="AL646" s="600"/>
      <c r="AM646" s="600"/>
      <c r="AN646" s="482"/>
      <c r="AO646" s="600"/>
      <c r="AP646" s="600"/>
      <c r="AQ646" s="600"/>
      <c r="AR646" s="600"/>
      <c r="AS646" s="600"/>
      <c r="AT646" s="600"/>
      <c r="AU646" s="600"/>
      <c r="AV646" s="600"/>
      <c r="AW646" s="482"/>
      <c r="AX646" s="482"/>
      <c r="AY646" s="482"/>
      <c r="AZ646" s="482"/>
      <c r="BA646" s="343"/>
      <c r="BB646" s="343"/>
      <c r="BC646" s="343"/>
      <c r="BD646" s="343"/>
      <c r="BE646" s="343"/>
      <c r="BF646" s="343"/>
      <c r="BG646" s="343"/>
      <c r="BH646" s="343"/>
      <c r="BI646" s="343"/>
      <c r="BJ646" s="343"/>
      <c r="BK646" s="343"/>
      <c r="BL646" s="343"/>
      <c r="BM646" s="343"/>
      <c r="BN646" s="343"/>
      <c r="BO646" s="343"/>
      <c r="BP646" s="343"/>
      <c r="BQ646" s="343"/>
      <c r="BR646" s="343"/>
      <c r="BS646" s="343"/>
      <c r="BT646" s="343"/>
      <c r="BU646" s="343"/>
      <c r="BV646" s="343"/>
      <c r="BW646" s="343"/>
      <c r="BX646" s="343"/>
    </row>
    <row r="647" spans="1:76" s="25" customFormat="1">
      <c r="A647" s="343"/>
      <c r="B647" s="343"/>
      <c r="C647" s="64"/>
      <c r="D647" s="64"/>
      <c r="E647" s="39"/>
      <c r="F647" s="39"/>
      <c r="G647" s="39"/>
      <c r="H647" s="39"/>
      <c r="I647" s="39"/>
      <c r="J647" s="39"/>
      <c r="K647" s="39"/>
      <c r="L647" s="39"/>
      <c r="M647" s="660"/>
      <c r="N647" s="343"/>
      <c r="O647" s="343"/>
      <c r="P647" s="343"/>
      <c r="Q647" s="343"/>
      <c r="R647" s="600"/>
      <c r="S647" s="600"/>
      <c r="T647" s="600"/>
      <c r="U647" s="600"/>
      <c r="V647" s="600"/>
      <c r="W647" s="600"/>
      <c r="X647" s="600"/>
      <c r="Y647" s="600"/>
      <c r="Z647" s="600"/>
      <c r="AA647" s="482"/>
      <c r="AB647" s="482"/>
      <c r="AC647" s="482"/>
      <c r="AD647" s="600">
        <v>636</v>
      </c>
      <c r="AE647" s="482"/>
      <c r="AF647" s="600"/>
      <c r="AG647" s="600"/>
      <c r="AH647" s="600"/>
      <c r="AI647" s="600"/>
      <c r="AJ647" s="600"/>
      <c r="AK647" s="600"/>
      <c r="AL647" s="600"/>
      <c r="AM647" s="600"/>
      <c r="AN647" s="482"/>
      <c r="AO647" s="600"/>
      <c r="AP647" s="600"/>
      <c r="AQ647" s="600"/>
      <c r="AR647" s="600"/>
      <c r="AS647" s="600"/>
      <c r="AT647" s="600"/>
      <c r="AU647" s="600"/>
      <c r="AV647" s="600"/>
      <c r="AW647" s="482"/>
      <c r="AX647" s="482"/>
      <c r="AY647" s="482"/>
      <c r="AZ647" s="482"/>
      <c r="BA647" s="343"/>
      <c r="BB647" s="343"/>
      <c r="BC647" s="343"/>
      <c r="BD647" s="343"/>
      <c r="BE647" s="343"/>
      <c r="BF647" s="343"/>
      <c r="BG647" s="343"/>
      <c r="BH647" s="343"/>
      <c r="BI647" s="343"/>
      <c r="BJ647" s="343"/>
      <c r="BK647" s="343"/>
      <c r="BL647" s="343"/>
      <c r="BM647" s="343"/>
      <c r="BN647" s="343"/>
      <c r="BO647" s="343"/>
      <c r="BP647" s="343"/>
      <c r="BQ647" s="343"/>
      <c r="BR647" s="343"/>
      <c r="BS647" s="343"/>
      <c r="BT647" s="343"/>
      <c r="BU647" s="343"/>
      <c r="BV647" s="343"/>
      <c r="BW647" s="343"/>
      <c r="BX647" s="343"/>
    </row>
    <row r="648" spans="1:76" s="25" customFormat="1">
      <c r="A648" s="343"/>
      <c r="B648" s="343"/>
      <c r="C648" s="64"/>
      <c r="D648" s="64"/>
      <c r="E648" s="39"/>
      <c r="F648" s="39"/>
      <c r="G648" s="39"/>
      <c r="H648" s="39"/>
      <c r="I648" s="39"/>
      <c r="J648" s="39"/>
      <c r="K648" s="39"/>
      <c r="L648" s="39"/>
      <c r="M648" s="660"/>
      <c r="N648" s="343"/>
      <c r="O648" s="343"/>
      <c r="P648" s="343"/>
      <c r="Q648" s="343"/>
      <c r="R648" s="600"/>
      <c r="S648" s="600"/>
      <c r="T648" s="600"/>
      <c r="U648" s="600"/>
      <c r="V648" s="600"/>
      <c r="W648" s="600"/>
      <c r="X648" s="600"/>
      <c r="Y648" s="600"/>
      <c r="Z648" s="600"/>
      <c r="AA648" s="482"/>
      <c r="AB648" s="482"/>
      <c r="AC648" s="482"/>
      <c r="AD648" s="600">
        <v>637</v>
      </c>
      <c r="AE648" s="482"/>
      <c r="AF648" s="600"/>
      <c r="AG648" s="600"/>
      <c r="AH648" s="600"/>
      <c r="AI648" s="600"/>
      <c r="AJ648" s="600"/>
      <c r="AK648" s="600"/>
      <c r="AL648" s="600"/>
      <c r="AM648" s="600"/>
      <c r="AN648" s="482"/>
      <c r="AO648" s="600"/>
      <c r="AP648" s="600"/>
      <c r="AQ648" s="600"/>
      <c r="AR648" s="600"/>
      <c r="AS648" s="600"/>
      <c r="AT648" s="600"/>
      <c r="AU648" s="600"/>
      <c r="AV648" s="600"/>
      <c r="AW648" s="482"/>
      <c r="AX648" s="482"/>
      <c r="AY648" s="482"/>
      <c r="AZ648" s="482"/>
      <c r="BA648" s="343"/>
      <c r="BB648" s="343"/>
      <c r="BC648" s="343"/>
      <c r="BD648" s="343"/>
      <c r="BE648" s="343"/>
      <c r="BF648" s="343"/>
      <c r="BG648" s="343"/>
      <c r="BH648" s="343"/>
      <c r="BI648" s="343"/>
      <c r="BJ648" s="343"/>
      <c r="BK648" s="343"/>
      <c r="BL648" s="343"/>
      <c r="BM648" s="343"/>
      <c r="BN648" s="343"/>
      <c r="BO648" s="343"/>
      <c r="BP648" s="343"/>
      <c r="BQ648" s="343"/>
      <c r="BR648" s="343"/>
      <c r="BS648" s="343"/>
      <c r="BT648" s="343"/>
      <c r="BU648" s="343"/>
      <c r="BV648" s="343"/>
      <c r="BW648" s="343"/>
      <c r="BX648" s="343"/>
    </row>
    <row r="649" spans="1:76" s="25" customFormat="1">
      <c r="A649" s="343"/>
      <c r="B649" s="343"/>
      <c r="C649" s="64"/>
      <c r="D649" s="64"/>
      <c r="E649" s="39"/>
      <c r="F649" s="39"/>
      <c r="G649" s="39"/>
      <c r="H649" s="39"/>
      <c r="I649" s="39"/>
      <c r="J649" s="39"/>
      <c r="K649" s="39"/>
      <c r="L649" s="39"/>
      <c r="M649" s="660"/>
      <c r="N649" s="343"/>
      <c r="O649" s="343"/>
      <c r="P649" s="343"/>
      <c r="Q649" s="343"/>
      <c r="R649" s="600"/>
      <c r="S649" s="600"/>
      <c r="T649" s="600"/>
      <c r="U649" s="600"/>
      <c r="V649" s="600"/>
      <c r="W649" s="600"/>
      <c r="X649" s="600"/>
      <c r="Y649" s="600"/>
      <c r="Z649" s="600"/>
      <c r="AA649" s="482"/>
      <c r="AB649" s="482"/>
      <c r="AC649" s="482"/>
      <c r="AD649" s="600">
        <v>638</v>
      </c>
      <c r="AE649" s="482"/>
      <c r="AF649" s="600"/>
      <c r="AG649" s="600"/>
      <c r="AH649" s="600"/>
      <c r="AI649" s="600"/>
      <c r="AJ649" s="600"/>
      <c r="AK649" s="600"/>
      <c r="AL649" s="600"/>
      <c r="AM649" s="600"/>
      <c r="AN649" s="482"/>
      <c r="AO649" s="600"/>
      <c r="AP649" s="600"/>
      <c r="AQ649" s="600"/>
      <c r="AR649" s="600"/>
      <c r="AS649" s="600"/>
      <c r="AT649" s="600"/>
      <c r="AU649" s="600"/>
      <c r="AV649" s="600"/>
      <c r="AW649" s="482"/>
      <c r="AX649" s="482"/>
      <c r="AY649" s="482"/>
      <c r="AZ649" s="482"/>
      <c r="BA649" s="343"/>
      <c r="BB649" s="343"/>
      <c r="BC649" s="343"/>
      <c r="BD649" s="343"/>
      <c r="BE649" s="343"/>
      <c r="BF649" s="343"/>
      <c r="BG649" s="343"/>
      <c r="BH649" s="343"/>
      <c r="BI649" s="343"/>
      <c r="BJ649" s="343"/>
      <c r="BK649" s="343"/>
      <c r="BL649" s="343"/>
      <c r="BM649" s="343"/>
      <c r="BN649" s="343"/>
      <c r="BO649" s="343"/>
      <c r="BP649" s="343"/>
      <c r="BQ649" s="343"/>
      <c r="BR649" s="343"/>
      <c r="BS649" s="343"/>
      <c r="BT649" s="343"/>
      <c r="BU649" s="343"/>
      <c r="BV649" s="343"/>
      <c r="BW649" s="343"/>
      <c r="BX649" s="343"/>
    </row>
    <row r="650" spans="1:76" s="25" customFormat="1">
      <c r="A650" s="343"/>
      <c r="B650" s="343"/>
      <c r="C650" s="64"/>
      <c r="D650" s="64"/>
      <c r="E650" s="39"/>
      <c r="F650" s="39"/>
      <c r="G650" s="39"/>
      <c r="H650" s="39"/>
      <c r="I650" s="39"/>
      <c r="J650" s="39"/>
      <c r="K650" s="39"/>
      <c r="L650" s="39"/>
      <c r="M650" s="660"/>
      <c r="N650" s="343"/>
      <c r="O650" s="343"/>
      <c r="P650" s="343"/>
      <c r="Q650" s="343"/>
      <c r="R650" s="600"/>
      <c r="S650" s="600"/>
      <c r="T650" s="600"/>
      <c r="U650" s="600"/>
      <c r="V650" s="600"/>
      <c r="W650" s="600"/>
      <c r="X650" s="600"/>
      <c r="Y650" s="600"/>
      <c r="Z650" s="600"/>
      <c r="AA650" s="482"/>
      <c r="AB650" s="482"/>
      <c r="AC650" s="482"/>
      <c r="AD650" s="600">
        <v>639</v>
      </c>
      <c r="AE650" s="482"/>
      <c r="AF650" s="600"/>
      <c r="AG650" s="600"/>
      <c r="AH650" s="600"/>
      <c r="AI650" s="600"/>
      <c r="AJ650" s="600"/>
      <c r="AK650" s="600"/>
      <c r="AL650" s="600"/>
      <c r="AM650" s="600"/>
      <c r="AN650" s="482"/>
      <c r="AO650" s="600"/>
      <c r="AP650" s="600"/>
      <c r="AQ650" s="600"/>
      <c r="AR650" s="600"/>
      <c r="AS650" s="600"/>
      <c r="AT650" s="600"/>
      <c r="AU650" s="600"/>
      <c r="AV650" s="600"/>
      <c r="AW650" s="482"/>
      <c r="AX650" s="482"/>
      <c r="AY650" s="482"/>
      <c r="AZ650" s="482"/>
      <c r="BA650" s="343"/>
      <c r="BB650" s="343"/>
      <c r="BC650" s="343"/>
      <c r="BD650" s="343"/>
      <c r="BE650" s="343"/>
      <c r="BF650" s="343"/>
      <c r="BG650" s="343"/>
      <c r="BH650" s="343"/>
      <c r="BI650" s="343"/>
      <c r="BJ650" s="343"/>
      <c r="BK650" s="343"/>
      <c r="BL650" s="343"/>
      <c r="BM650" s="343"/>
      <c r="BN650" s="343"/>
      <c r="BO650" s="343"/>
      <c r="BP650" s="343"/>
      <c r="BQ650" s="343"/>
      <c r="BR650" s="343"/>
      <c r="BS650" s="343"/>
      <c r="BT650" s="343"/>
      <c r="BU650" s="343"/>
      <c r="BV650" s="343"/>
      <c r="BW650" s="343"/>
      <c r="BX650" s="343"/>
    </row>
    <row r="651" spans="1:76" s="25" customFormat="1">
      <c r="A651" s="343"/>
      <c r="B651" s="343"/>
      <c r="C651" s="64"/>
      <c r="D651" s="64"/>
      <c r="E651" s="39"/>
      <c r="F651" s="39"/>
      <c r="G651" s="39"/>
      <c r="H651" s="39"/>
      <c r="I651" s="39"/>
      <c r="J651" s="39"/>
      <c r="K651" s="39"/>
      <c r="L651" s="39"/>
      <c r="M651" s="660"/>
      <c r="N651" s="343"/>
      <c r="O651" s="343"/>
      <c r="P651" s="343"/>
      <c r="Q651" s="343"/>
      <c r="R651" s="600"/>
      <c r="S651" s="600"/>
      <c r="T651" s="600"/>
      <c r="U651" s="600"/>
      <c r="V651" s="600"/>
      <c r="W651" s="600"/>
      <c r="X651" s="600"/>
      <c r="Y651" s="600"/>
      <c r="Z651" s="600"/>
      <c r="AA651" s="482"/>
      <c r="AB651" s="482"/>
      <c r="AC651" s="482"/>
      <c r="AD651" s="600">
        <v>640</v>
      </c>
      <c r="AE651" s="482"/>
      <c r="AF651" s="600"/>
      <c r="AG651" s="600"/>
      <c r="AH651" s="600"/>
      <c r="AI651" s="600"/>
      <c r="AJ651" s="600"/>
      <c r="AK651" s="600"/>
      <c r="AL651" s="600"/>
      <c r="AM651" s="600"/>
      <c r="AN651" s="482"/>
      <c r="AO651" s="600"/>
      <c r="AP651" s="600"/>
      <c r="AQ651" s="600"/>
      <c r="AR651" s="600"/>
      <c r="AS651" s="600"/>
      <c r="AT651" s="600"/>
      <c r="AU651" s="600"/>
      <c r="AV651" s="600"/>
      <c r="AW651" s="482"/>
      <c r="AX651" s="482"/>
      <c r="AY651" s="482"/>
      <c r="AZ651" s="482"/>
      <c r="BA651" s="343"/>
      <c r="BB651" s="343"/>
      <c r="BC651" s="343"/>
      <c r="BD651" s="343"/>
      <c r="BE651" s="343"/>
      <c r="BF651" s="343"/>
      <c r="BG651" s="343"/>
      <c r="BH651" s="343"/>
      <c r="BI651" s="343"/>
      <c r="BJ651" s="343"/>
      <c r="BK651" s="343"/>
      <c r="BL651" s="343"/>
      <c r="BM651" s="343"/>
      <c r="BN651" s="343"/>
      <c r="BO651" s="343"/>
      <c r="BP651" s="343"/>
      <c r="BQ651" s="343"/>
      <c r="BR651" s="343"/>
      <c r="BS651" s="343"/>
      <c r="BT651" s="343"/>
      <c r="BU651" s="343"/>
      <c r="BV651" s="343"/>
      <c r="BW651" s="343"/>
      <c r="BX651" s="343"/>
    </row>
    <row r="652" spans="1:76" s="25" customFormat="1">
      <c r="A652" s="343"/>
      <c r="B652" s="343"/>
      <c r="C652" s="64"/>
      <c r="D652" s="64"/>
      <c r="E652" s="39"/>
      <c r="F652" s="39"/>
      <c r="G652" s="39"/>
      <c r="H652" s="39"/>
      <c r="I652" s="39"/>
      <c r="J652" s="39"/>
      <c r="K652" s="39"/>
      <c r="L652" s="39"/>
      <c r="M652" s="660"/>
      <c r="N652" s="343"/>
      <c r="O652" s="343"/>
      <c r="P652" s="343"/>
      <c r="Q652" s="343"/>
      <c r="R652" s="600"/>
      <c r="S652" s="600"/>
      <c r="T652" s="600"/>
      <c r="U652" s="600"/>
      <c r="V652" s="600"/>
      <c r="W652" s="600"/>
      <c r="X652" s="600"/>
      <c r="Y652" s="600"/>
      <c r="Z652" s="600"/>
      <c r="AA652" s="482"/>
      <c r="AB652" s="482"/>
      <c r="AC652" s="482"/>
      <c r="AD652" s="600">
        <v>641</v>
      </c>
      <c r="AE652" s="482"/>
      <c r="AF652" s="600"/>
      <c r="AG652" s="600"/>
      <c r="AH652" s="600"/>
      <c r="AI652" s="600"/>
      <c r="AJ652" s="600"/>
      <c r="AK652" s="600"/>
      <c r="AL652" s="600"/>
      <c r="AM652" s="600"/>
      <c r="AN652" s="482"/>
      <c r="AO652" s="600"/>
      <c r="AP652" s="600"/>
      <c r="AQ652" s="600"/>
      <c r="AR652" s="600"/>
      <c r="AS652" s="600"/>
      <c r="AT652" s="600"/>
      <c r="AU652" s="600"/>
      <c r="AV652" s="600"/>
      <c r="AW652" s="482"/>
      <c r="AX652" s="482"/>
      <c r="AY652" s="482"/>
      <c r="AZ652" s="482"/>
      <c r="BA652" s="343"/>
      <c r="BB652" s="343"/>
      <c r="BC652" s="343"/>
      <c r="BD652" s="343"/>
      <c r="BE652" s="343"/>
      <c r="BF652" s="343"/>
      <c r="BG652" s="343"/>
      <c r="BH652" s="343"/>
      <c r="BI652" s="343"/>
      <c r="BJ652" s="343"/>
      <c r="BK652" s="343"/>
      <c r="BL652" s="343"/>
      <c r="BM652" s="343"/>
      <c r="BN652" s="343"/>
      <c r="BO652" s="343"/>
      <c r="BP652" s="343"/>
      <c r="BQ652" s="343"/>
      <c r="BR652" s="343"/>
      <c r="BS652" s="343"/>
      <c r="BT652" s="343"/>
      <c r="BU652" s="343"/>
      <c r="BV652" s="343"/>
      <c r="BW652" s="343"/>
      <c r="BX652" s="343"/>
    </row>
    <row r="653" spans="1:76" s="25" customFormat="1">
      <c r="A653" s="343"/>
      <c r="B653" s="343"/>
      <c r="C653" s="64"/>
      <c r="D653" s="64"/>
      <c r="E653" s="39"/>
      <c r="F653" s="39"/>
      <c r="G653" s="39"/>
      <c r="H653" s="39"/>
      <c r="I653" s="39"/>
      <c r="J653" s="39"/>
      <c r="K653" s="39"/>
      <c r="L653" s="39"/>
      <c r="M653" s="660"/>
      <c r="N653" s="343"/>
      <c r="O653" s="343"/>
      <c r="P653" s="343"/>
      <c r="Q653" s="343"/>
      <c r="R653" s="600"/>
      <c r="S653" s="600"/>
      <c r="T653" s="600"/>
      <c r="U653" s="600"/>
      <c r="V653" s="600"/>
      <c r="W653" s="600"/>
      <c r="X653" s="600"/>
      <c r="Y653" s="600"/>
      <c r="Z653" s="600"/>
      <c r="AA653" s="482"/>
      <c r="AB653" s="482"/>
      <c r="AC653" s="482"/>
      <c r="AD653" s="600">
        <v>642</v>
      </c>
      <c r="AE653" s="482"/>
      <c r="AF653" s="600"/>
      <c r="AG653" s="600"/>
      <c r="AH653" s="600"/>
      <c r="AI653" s="600"/>
      <c r="AJ653" s="600"/>
      <c r="AK653" s="600"/>
      <c r="AL653" s="600"/>
      <c r="AM653" s="600"/>
      <c r="AN653" s="482"/>
      <c r="AO653" s="600"/>
      <c r="AP653" s="600"/>
      <c r="AQ653" s="600"/>
      <c r="AR653" s="600"/>
      <c r="AS653" s="600"/>
      <c r="AT653" s="600"/>
      <c r="AU653" s="600"/>
      <c r="AV653" s="600"/>
      <c r="AW653" s="482"/>
      <c r="AX653" s="482"/>
      <c r="AY653" s="482"/>
      <c r="AZ653" s="482"/>
      <c r="BA653" s="343"/>
      <c r="BB653" s="343"/>
      <c r="BC653" s="343"/>
      <c r="BD653" s="343"/>
      <c r="BE653" s="343"/>
      <c r="BF653" s="343"/>
      <c r="BG653" s="343"/>
      <c r="BH653" s="343"/>
      <c r="BI653" s="343"/>
      <c r="BJ653" s="343"/>
      <c r="BK653" s="343"/>
      <c r="BL653" s="343"/>
      <c r="BM653" s="343"/>
      <c r="BN653" s="343"/>
      <c r="BO653" s="343"/>
      <c r="BP653" s="343"/>
      <c r="BQ653" s="343"/>
      <c r="BR653" s="343"/>
      <c r="BS653" s="343"/>
      <c r="BT653" s="343"/>
      <c r="BU653" s="343"/>
      <c r="BV653" s="343"/>
      <c r="BW653" s="343"/>
      <c r="BX653" s="343"/>
    </row>
    <row r="654" spans="1:76" s="25" customFormat="1">
      <c r="A654" s="343"/>
      <c r="B654" s="343"/>
      <c r="C654" s="64"/>
      <c r="D654" s="64"/>
      <c r="E654" s="39"/>
      <c r="F654" s="39"/>
      <c r="G654" s="39"/>
      <c r="H654" s="39"/>
      <c r="I654" s="39"/>
      <c r="J654" s="39"/>
      <c r="K654" s="39"/>
      <c r="L654" s="39"/>
      <c r="M654" s="660"/>
      <c r="N654" s="343"/>
      <c r="O654" s="343"/>
      <c r="P654" s="343"/>
      <c r="Q654" s="343"/>
      <c r="R654" s="600"/>
      <c r="S654" s="600"/>
      <c r="T654" s="600"/>
      <c r="U654" s="600"/>
      <c r="V654" s="600"/>
      <c r="W654" s="600"/>
      <c r="X654" s="600"/>
      <c r="Y654" s="600"/>
      <c r="Z654" s="600"/>
      <c r="AA654" s="482"/>
      <c r="AB654" s="482"/>
      <c r="AC654" s="482"/>
      <c r="AD654" s="600">
        <v>643</v>
      </c>
      <c r="AE654" s="482"/>
      <c r="AF654" s="600"/>
      <c r="AG654" s="600"/>
      <c r="AH654" s="600"/>
      <c r="AI654" s="600"/>
      <c r="AJ654" s="600"/>
      <c r="AK654" s="600"/>
      <c r="AL654" s="600"/>
      <c r="AM654" s="600"/>
      <c r="AN654" s="482"/>
      <c r="AO654" s="600"/>
      <c r="AP654" s="600"/>
      <c r="AQ654" s="600"/>
      <c r="AR654" s="600"/>
      <c r="AS654" s="600"/>
      <c r="AT654" s="600"/>
      <c r="AU654" s="600"/>
      <c r="AV654" s="600"/>
      <c r="AW654" s="482"/>
      <c r="AX654" s="482"/>
      <c r="AY654" s="482"/>
      <c r="AZ654" s="482"/>
      <c r="BA654" s="343"/>
      <c r="BB654" s="343"/>
      <c r="BC654" s="343"/>
      <c r="BD654" s="343"/>
      <c r="BE654" s="343"/>
      <c r="BF654" s="343"/>
      <c r="BG654" s="343"/>
      <c r="BH654" s="343"/>
      <c r="BI654" s="343"/>
      <c r="BJ654" s="343"/>
      <c r="BK654" s="343"/>
      <c r="BL654" s="343"/>
      <c r="BM654" s="343"/>
      <c r="BN654" s="343"/>
      <c r="BO654" s="343"/>
      <c r="BP654" s="343"/>
      <c r="BQ654" s="343"/>
      <c r="BR654" s="343"/>
      <c r="BS654" s="343"/>
      <c r="BT654" s="343"/>
      <c r="BU654" s="343"/>
      <c r="BV654" s="343"/>
      <c r="BW654" s="343"/>
      <c r="BX654" s="343"/>
    </row>
    <row r="655" spans="1:76" s="25" customFormat="1">
      <c r="A655" s="343"/>
      <c r="B655" s="343"/>
      <c r="C655" s="64"/>
      <c r="D655" s="64"/>
      <c r="E655" s="39"/>
      <c r="F655" s="39"/>
      <c r="G655" s="39"/>
      <c r="H655" s="39"/>
      <c r="I655" s="39"/>
      <c r="J655" s="39"/>
      <c r="K655" s="39"/>
      <c r="L655" s="39"/>
      <c r="M655" s="660"/>
      <c r="N655" s="343"/>
      <c r="O655" s="343"/>
      <c r="P655" s="343"/>
      <c r="Q655" s="343"/>
      <c r="R655" s="600"/>
      <c r="S655" s="600"/>
      <c r="T655" s="600"/>
      <c r="U655" s="600"/>
      <c r="V655" s="600"/>
      <c r="W655" s="600"/>
      <c r="X655" s="600"/>
      <c r="Y655" s="600"/>
      <c r="Z655" s="600"/>
      <c r="AA655" s="482"/>
      <c r="AB655" s="482"/>
      <c r="AC655" s="482"/>
      <c r="AD655" s="600">
        <v>644</v>
      </c>
      <c r="AE655" s="482"/>
      <c r="AF655" s="600"/>
      <c r="AG655" s="600"/>
      <c r="AH655" s="600"/>
      <c r="AI655" s="600"/>
      <c r="AJ655" s="600"/>
      <c r="AK655" s="600"/>
      <c r="AL655" s="600"/>
      <c r="AM655" s="600"/>
      <c r="AN655" s="482"/>
      <c r="AO655" s="600"/>
      <c r="AP655" s="600"/>
      <c r="AQ655" s="600"/>
      <c r="AR655" s="600"/>
      <c r="AS655" s="600"/>
      <c r="AT655" s="600"/>
      <c r="AU655" s="600"/>
      <c r="AV655" s="600"/>
      <c r="AW655" s="482"/>
      <c r="AX655" s="482"/>
      <c r="AY655" s="482"/>
      <c r="AZ655" s="482"/>
      <c r="BA655" s="343"/>
      <c r="BB655" s="343"/>
      <c r="BC655" s="343"/>
      <c r="BD655" s="343"/>
      <c r="BE655" s="343"/>
      <c r="BF655" s="343"/>
      <c r="BG655" s="343"/>
      <c r="BH655" s="343"/>
      <c r="BI655" s="343"/>
      <c r="BJ655" s="343"/>
      <c r="BK655" s="343"/>
      <c r="BL655" s="343"/>
      <c r="BM655" s="343"/>
      <c r="BN655" s="343"/>
      <c r="BO655" s="343"/>
      <c r="BP655" s="343"/>
      <c r="BQ655" s="343"/>
      <c r="BR655" s="343"/>
      <c r="BS655" s="343"/>
      <c r="BT655" s="343"/>
      <c r="BU655" s="343"/>
      <c r="BV655" s="343"/>
      <c r="BW655" s="343"/>
      <c r="BX655" s="343"/>
    </row>
    <row r="656" spans="1:76" s="25" customFormat="1">
      <c r="A656" s="343"/>
      <c r="B656" s="343"/>
      <c r="C656" s="64"/>
      <c r="D656" s="64"/>
      <c r="E656" s="39"/>
      <c r="F656" s="39"/>
      <c r="G656" s="39"/>
      <c r="H656" s="39"/>
      <c r="I656" s="39"/>
      <c r="J656" s="39"/>
      <c r="K656" s="39"/>
      <c r="L656" s="39"/>
      <c r="M656" s="660"/>
      <c r="N656" s="343"/>
      <c r="O656" s="343"/>
      <c r="P656" s="343"/>
      <c r="Q656" s="343"/>
      <c r="R656" s="600"/>
      <c r="S656" s="600"/>
      <c r="T656" s="600"/>
      <c r="U656" s="600"/>
      <c r="V656" s="600"/>
      <c r="W656" s="600"/>
      <c r="X656" s="600"/>
      <c r="Y656" s="600"/>
      <c r="Z656" s="600"/>
      <c r="AA656" s="482"/>
      <c r="AB656" s="482"/>
      <c r="AC656" s="482"/>
      <c r="AD656" s="600">
        <v>645</v>
      </c>
      <c r="AE656" s="482"/>
      <c r="AF656" s="600"/>
      <c r="AG656" s="600"/>
      <c r="AH656" s="600"/>
      <c r="AI656" s="600"/>
      <c r="AJ656" s="600"/>
      <c r="AK656" s="600"/>
      <c r="AL656" s="600"/>
      <c r="AM656" s="600"/>
      <c r="AN656" s="482"/>
      <c r="AO656" s="600"/>
      <c r="AP656" s="600"/>
      <c r="AQ656" s="600"/>
      <c r="AR656" s="600"/>
      <c r="AS656" s="600"/>
      <c r="AT656" s="600"/>
      <c r="AU656" s="600"/>
      <c r="AV656" s="600"/>
      <c r="AW656" s="482"/>
      <c r="AX656" s="482"/>
      <c r="AY656" s="482"/>
      <c r="AZ656" s="482"/>
      <c r="BA656" s="343"/>
      <c r="BB656" s="343"/>
      <c r="BC656" s="343"/>
      <c r="BD656" s="343"/>
      <c r="BE656" s="343"/>
      <c r="BF656" s="343"/>
      <c r="BG656" s="343"/>
      <c r="BH656" s="343"/>
      <c r="BI656" s="343"/>
      <c r="BJ656" s="343"/>
      <c r="BK656" s="343"/>
      <c r="BL656" s="343"/>
      <c r="BM656" s="343"/>
      <c r="BN656" s="343"/>
      <c r="BO656" s="343"/>
      <c r="BP656" s="343"/>
      <c r="BQ656" s="343"/>
      <c r="BR656" s="343"/>
      <c r="BS656" s="343"/>
      <c r="BT656" s="343"/>
      <c r="BU656" s="343"/>
      <c r="BV656" s="343"/>
      <c r="BW656" s="343"/>
      <c r="BX656" s="343"/>
    </row>
    <row r="657" spans="1:76" s="25" customFormat="1">
      <c r="A657" s="343"/>
      <c r="B657" s="343"/>
      <c r="C657" s="64"/>
      <c r="D657" s="64"/>
      <c r="E657" s="39"/>
      <c r="F657" s="39"/>
      <c r="G657" s="39"/>
      <c r="H657" s="39"/>
      <c r="I657" s="39"/>
      <c r="J657" s="39"/>
      <c r="K657" s="39"/>
      <c r="L657" s="39"/>
      <c r="M657" s="660"/>
      <c r="N657" s="343"/>
      <c r="O657" s="343"/>
      <c r="P657" s="343"/>
      <c r="Q657" s="343"/>
      <c r="R657" s="600"/>
      <c r="S657" s="600"/>
      <c r="T657" s="600"/>
      <c r="U657" s="600"/>
      <c r="V657" s="600"/>
      <c r="W657" s="600"/>
      <c r="X657" s="600"/>
      <c r="Y657" s="600"/>
      <c r="Z657" s="600"/>
      <c r="AA657" s="482"/>
      <c r="AB657" s="482"/>
      <c r="AC657" s="482"/>
      <c r="AD657" s="600">
        <v>646</v>
      </c>
      <c r="AE657" s="482"/>
      <c r="AF657" s="600"/>
      <c r="AG657" s="600"/>
      <c r="AH657" s="600"/>
      <c r="AI657" s="600"/>
      <c r="AJ657" s="600"/>
      <c r="AK657" s="600"/>
      <c r="AL657" s="600"/>
      <c r="AM657" s="600"/>
      <c r="AN657" s="482"/>
      <c r="AO657" s="600"/>
      <c r="AP657" s="600"/>
      <c r="AQ657" s="600"/>
      <c r="AR657" s="600"/>
      <c r="AS657" s="600"/>
      <c r="AT657" s="600"/>
      <c r="AU657" s="600"/>
      <c r="AV657" s="600"/>
      <c r="AW657" s="482"/>
      <c r="AX657" s="482"/>
      <c r="AY657" s="482"/>
      <c r="AZ657" s="482"/>
      <c r="BA657" s="343"/>
      <c r="BB657" s="343"/>
      <c r="BC657" s="343"/>
      <c r="BD657" s="343"/>
      <c r="BE657" s="343"/>
      <c r="BF657" s="343"/>
      <c r="BG657" s="343"/>
      <c r="BH657" s="343"/>
      <c r="BI657" s="343"/>
      <c r="BJ657" s="343"/>
      <c r="BK657" s="343"/>
      <c r="BL657" s="343"/>
      <c r="BM657" s="343"/>
      <c r="BN657" s="343"/>
      <c r="BO657" s="343"/>
      <c r="BP657" s="343"/>
      <c r="BQ657" s="343"/>
      <c r="BR657" s="343"/>
      <c r="BS657" s="343"/>
      <c r="BT657" s="343"/>
      <c r="BU657" s="343"/>
      <c r="BV657" s="343"/>
      <c r="BW657" s="343"/>
      <c r="BX657" s="343"/>
    </row>
    <row r="658" spans="1:76" s="25" customFormat="1">
      <c r="A658" s="343"/>
      <c r="B658" s="343"/>
      <c r="C658" s="64"/>
      <c r="D658" s="64"/>
      <c r="E658" s="39"/>
      <c r="F658" s="39"/>
      <c r="G658" s="39"/>
      <c r="H658" s="39"/>
      <c r="I658" s="39"/>
      <c r="J658" s="39"/>
      <c r="K658" s="39"/>
      <c r="L658" s="39"/>
      <c r="M658" s="660"/>
      <c r="N658" s="343"/>
      <c r="O658" s="343"/>
      <c r="P658" s="343"/>
      <c r="Q658" s="343"/>
      <c r="R658" s="600"/>
      <c r="S658" s="600"/>
      <c r="T658" s="600"/>
      <c r="U658" s="600"/>
      <c r="V658" s="600"/>
      <c r="W658" s="600"/>
      <c r="X658" s="600"/>
      <c r="Y658" s="600"/>
      <c r="Z658" s="600"/>
      <c r="AA658" s="482"/>
      <c r="AB658" s="482"/>
      <c r="AC658" s="482"/>
      <c r="AD658" s="600">
        <v>647</v>
      </c>
      <c r="AE658" s="482"/>
      <c r="AF658" s="600"/>
      <c r="AG658" s="600"/>
      <c r="AH658" s="600"/>
      <c r="AI658" s="600"/>
      <c r="AJ658" s="600"/>
      <c r="AK658" s="600"/>
      <c r="AL658" s="600"/>
      <c r="AM658" s="600"/>
      <c r="AN658" s="482"/>
      <c r="AO658" s="600"/>
      <c r="AP658" s="600"/>
      <c r="AQ658" s="600"/>
      <c r="AR658" s="600"/>
      <c r="AS658" s="600"/>
      <c r="AT658" s="600"/>
      <c r="AU658" s="600"/>
      <c r="AV658" s="600"/>
      <c r="AW658" s="482"/>
      <c r="AX658" s="482"/>
      <c r="AY658" s="482"/>
      <c r="AZ658" s="482"/>
      <c r="BA658" s="343"/>
      <c r="BB658" s="343"/>
      <c r="BC658" s="343"/>
      <c r="BD658" s="343"/>
      <c r="BE658" s="343"/>
      <c r="BF658" s="343"/>
      <c r="BG658" s="343"/>
      <c r="BH658" s="343"/>
      <c r="BI658" s="343"/>
      <c r="BJ658" s="343"/>
      <c r="BK658" s="343"/>
      <c r="BL658" s="343"/>
      <c r="BM658" s="343"/>
      <c r="BN658" s="343"/>
      <c r="BO658" s="343"/>
      <c r="BP658" s="343"/>
      <c r="BQ658" s="343"/>
      <c r="BR658" s="343"/>
      <c r="BS658" s="343"/>
      <c r="BT658" s="343"/>
      <c r="BU658" s="343"/>
      <c r="BV658" s="343"/>
      <c r="BW658" s="343"/>
      <c r="BX658" s="343"/>
    </row>
    <row r="659" spans="1:76" s="25" customFormat="1">
      <c r="A659" s="343"/>
      <c r="B659" s="343"/>
      <c r="C659" s="64"/>
      <c r="D659" s="64"/>
      <c r="E659" s="39"/>
      <c r="F659" s="39"/>
      <c r="G659" s="39"/>
      <c r="H659" s="39"/>
      <c r="I659" s="39"/>
      <c r="J659" s="39"/>
      <c r="K659" s="39"/>
      <c r="L659" s="39"/>
      <c r="M659" s="660"/>
      <c r="N659" s="343"/>
      <c r="O659" s="343"/>
      <c r="P659" s="343"/>
      <c r="Q659" s="343"/>
      <c r="R659" s="600"/>
      <c r="S659" s="600"/>
      <c r="T659" s="600"/>
      <c r="U659" s="600"/>
      <c r="V659" s="600"/>
      <c r="W659" s="600"/>
      <c r="X659" s="600"/>
      <c r="Y659" s="600"/>
      <c r="Z659" s="600"/>
      <c r="AA659" s="482"/>
      <c r="AB659" s="482"/>
      <c r="AC659" s="482"/>
      <c r="AD659" s="600">
        <v>648</v>
      </c>
      <c r="AE659" s="482"/>
      <c r="AF659" s="600"/>
      <c r="AG659" s="600"/>
      <c r="AH659" s="600"/>
      <c r="AI659" s="600"/>
      <c r="AJ659" s="600"/>
      <c r="AK659" s="600"/>
      <c r="AL659" s="600"/>
      <c r="AM659" s="600"/>
      <c r="AN659" s="482"/>
      <c r="AO659" s="600"/>
      <c r="AP659" s="600"/>
      <c r="AQ659" s="600"/>
      <c r="AR659" s="600"/>
      <c r="AS659" s="600"/>
      <c r="AT659" s="600"/>
      <c r="AU659" s="600"/>
      <c r="AV659" s="600"/>
      <c r="AW659" s="482"/>
      <c r="AX659" s="482"/>
      <c r="AY659" s="482"/>
      <c r="AZ659" s="482"/>
      <c r="BA659" s="343"/>
      <c r="BB659" s="343"/>
      <c r="BC659" s="343"/>
      <c r="BD659" s="343"/>
      <c r="BE659" s="343"/>
      <c r="BF659" s="343"/>
      <c r="BG659" s="343"/>
      <c r="BH659" s="343"/>
      <c r="BI659" s="343"/>
      <c r="BJ659" s="343"/>
      <c r="BK659" s="343"/>
      <c r="BL659" s="343"/>
      <c r="BM659" s="343"/>
      <c r="BN659" s="343"/>
      <c r="BO659" s="343"/>
      <c r="BP659" s="343"/>
      <c r="BQ659" s="343"/>
      <c r="BR659" s="343"/>
      <c r="BS659" s="343"/>
      <c r="BT659" s="343"/>
      <c r="BU659" s="343"/>
      <c r="BV659" s="343"/>
      <c r="BW659" s="343"/>
      <c r="BX659" s="343"/>
    </row>
    <row r="660" spans="1:76" s="25" customFormat="1">
      <c r="A660" s="343"/>
      <c r="B660" s="343"/>
      <c r="C660" s="64"/>
      <c r="D660" s="64"/>
      <c r="E660" s="39"/>
      <c r="F660" s="39"/>
      <c r="G660" s="39"/>
      <c r="H660" s="39"/>
      <c r="I660" s="39"/>
      <c r="J660" s="39"/>
      <c r="K660" s="39"/>
      <c r="L660" s="39"/>
      <c r="M660" s="660"/>
      <c r="N660" s="343"/>
      <c r="O660" s="343"/>
      <c r="P660" s="343"/>
      <c r="Q660" s="343"/>
      <c r="R660" s="600"/>
      <c r="S660" s="600"/>
      <c r="T660" s="600"/>
      <c r="U660" s="600"/>
      <c r="V660" s="600"/>
      <c r="W660" s="600"/>
      <c r="X660" s="600"/>
      <c r="Y660" s="600"/>
      <c r="Z660" s="600"/>
      <c r="AA660" s="482"/>
      <c r="AB660" s="482"/>
      <c r="AC660" s="482"/>
      <c r="AD660" s="600">
        <v>649</v>
      </c>
      <c r="AE660" s="482"/>
      <c r="AF660" s="600"/>
      <c r="AG660" s="600"/>
      <c r="AH660" s="600"/>
      <c r="AI660" s="600"/>
      <c r="AJ660" s="600"/>
      <c r="AK660" s="600"/>
      <c r="AL660" s="600"/>
      <c r="AM660" s="600"/>
      <c r="AN660" s="482"/>
      <c r="AO660" s="600"/>
      <c r="AP660" s="600"/>
      <c r="AQ660" s="600"/>
      <c r="AR660" s="600"/>
      <c r="AS660" s="600"/>
      <c r="AT660" s="600"/>
      <c r="AU660" s="600"/>
      <c r="AV660" s="600"/>
      <c r="AW660" s="482"/>
      <c r="AX660" s="482"/>
      <c r="AY660" s="482"/>
      <c r="AZ660" s="482"/>
      <c r="BA660" s="343"/>
      <c r="BB660" s="343"/>
      <c r="BC660" s="343"/>
      <c r="BD660" s="343"/>
      <c r="BE660" s="343"/>
      <c r="BF660" s="343"/>
      <c r="BG660" s="343"/>
      <c r="BH660" s="343"/>
      <c r="BI660" s="343"/>
      <c r="BJ660" s="343"/>
      <c r="BK660" s="343"/>
      <c r="BL660" s="343"/>
      <c r="BM660" s="343"/>
      <c r="BN660" s="343"/>
      <c r="BO660" s="343"/>
      <c r="BP660" s="343"/>
      <c r="BQ660" s="343"/>
      <c r="BR660" s="343"/>
      <c r="BS660" s="343"/>
      <c r="BT660" s="343"/>
      <c r="BU660" s="343"/>
      <c r="BV660" s="343"/>
      <c r="BW660" s="343"/>
      <c r="BX660" s="343"/>
    </row>
    <row r="661" spans="1:76" s="25" customFormat="1">
      <c r="A661" s="343"/>
      <c r="B661" s="343"/>
      <c r="C661" s="64"/>
      <c r="D661" s="64"/>
      <c r="E661" s="39"/>
      <c r="F661" s="39"/>
      <c r="G661" s="39"/>
      <c r="H661" s="39"/>
      <c r="I661" s="39"/>
      <c r="J661" s="39"/>
      <c r="K661" s="39"/>
      <c r="L661" s="39"/>
      <c r="M661" s="660"/>
      <c r="N661" s="343"/>
      <c r="O661" s="343"/>
      <c r="P661" s="343"/>
      <c r="Q661" s="343"/>
      <c r="R661" s="600"/>
      <c r="S661" s="600"/>
      <c r="T661" s="600"/>
      <c r="U661" s="600"/>
      <c r="V661" s="600"/>
      <c r="W661" s="600"/>
      <c r="X661" s="600"/>
      <c r="Y661" s="600"/>
      <c r="Z661" s="600"/>
      <c r="AA661" s="482"/>
      <c r="AB661" s="482"/>
      <c r="AC661" s="482"/>
      <c r="AD661" s="600">
        <v>650</v>
      </c>
      <c r="AE661" s="482"/>
      <c r="AF661" s="600"/>
      <c r="AG661" s="600"/>
      <c r="AH661" s="600"/>
      <c r="AI661" s="600"/>
      <c r="AJ661" s="600"/>
      <c r="AK661" s="600"/>
      <c r="AL661" s="600"/>
      <c r="AM661" s="600"/>
      <c r="AN661" s="482"/>
      <c r="AO661" s="600"/>
      <c r="AP661" s="600"/>
      <c r="AQ661" s="600"/>
      <c r="AR661" s="600"/>
      <c r="AS661" s="600"/>
      <c r="AT661" s="600"/>
      <c r="AU661" s="600"/>
      <c r="AV661" s="600"/>
      <c r="AW661" s="482"/>
      <c r="AX661" s="482"/>
      <c r="AY661" s="482"/>
      <c r="AZ661" s="482"/>
      <c r="BA661" s="343"/>
      <c r="BB661" s="343"/>
      <c r="BC661" s="343"/>
      <c r="BD661" s="343"/>
      <c r="BE661" s="343"/>
      <c r="BF661" s="343"/>
      <c r="BG661" s="343"/>
      <c r="BH661" s="343"/>
      <c r="BI661" s="343"/>
      <c r="BJ661" s="343"/>
      <c r="BK661" s="343"/>
      <c r="BL661" s="343"/>
      <c r="BM661" s="343"/>
      <c r="BN661" s="343"/>
      <c r="BO661" s="343"/>
      <c r="BP661" s="343"/>
      <c r="BQ661" s="343"/>
      <c r="BR661" s="343"/>
      <c r="BS661" s="343"/>
      <c r="BT661" s="343"/>
      <c r="BU661" s="343"/>
      <c r="BV661" s="343"/>
      <c r="BW661" s="343"/>
      <c r="BX661" s="343"/>
    </row>
    <row r="662" spans="1:76" s="25" customFormat="1">
      <c r="A662" s="343"/>
      <c r="B662" s="343"/>
      <c r="C662" s="64"/>
      <c r="D662" s="64"/>
      <c r="E662" s="39"/>
      <c r="F662" s="39"/>
      <c r="G662" s="39"/>
      <c r="H662" s="39"/>
      <c r="I662" s="39"/>
      <c r="J662" s="39"/>
      <c r="K662" s="39"/>
      <c r="L662" s="39"/>
      <c r="M662" s="660"/>
      <c r="N662" s="343"/>
      <c r="O662" s="343"/>
      <c r="P662" s="343"/>
      <c r="Q662" s="343"/>
      <c r="R662" s="600"/>
      <c r="S662" s="600"/>
      <c r="T662" s="600"/>
      <c r="U662" s="600"/>
      <c r="V662" s="600"/>
      <c r="W662" s="600"/>
      <c r="X662" s="600"/>
      <c r="Y662" s="600"/>
      <c r="Z662" s="600"/>
      <c r="AA662" s="482"/>
      <c r="AB662" s="482"/>
      <c r="AC662" s="482"/>
      <c r="AD662" s="600">
        <v>651</v>
      </c>
      <c r="AE662" s="482"/>
      <c r="AF662" s="600"/>
      <c r="AG662" s="600"/>
      <c r="AH662" s="600"/>
      <c r="AI662" s="600"/>
      <c r="AJ662" s="600"/>
      <c r="AK662" s="600"/>
      <c r="AL662" s="600"/>
      <c r="AM662" s="600"/>
      <c r="AN662" s="482"/>
      <c r="AO662" s="600"/>
      <c r="AP662" s="600"/>
      <c r="AQ662" s="600"/>
      <c r="AR662" s="600"/>
      <c r="AS662" s="600"/>
      <c r="AT662" s="600"/>
      <c r="AU662" s="600"/>
      <c r="AV662" s="600"/>
      <c r="AW662" s="482"/>
      <c r="AX662" s="482"/>
      <c r="AY662" s="482"/>
      <c r="AZ662" s="482"/>
      <c r="BA662" s="343"/>
      <c r="BB662" s="343"/>
      <c r="BC662" s="343"/>
      <c r="BD662" s="343"/>
      <c r="BE662" s="343"/>
      <c r="BF662" s="343"/>
      <c r="BG662" s="343"/>
      <c r="BH662" s="343"/>
      <c r="BI662" s="343"/>
      <c r="BJ662" s="343"/>
      <c r="BK662" s="343"/>
      <c r="BL662" s="343"/>
      <c r="BM662" s="343"/>
      <c r="BN662" s="343"/>
      <c r="BO662" s="343"/>
      <c r="BP662" s="343"/>
      <c r="BQ662" s="343"/>
      <c r="BR662" s="343"/>
      <c r="BS662" s="343"/>
      <c r="BT662" s="343"/>
      <c r="BU662" s="343"/>
      <c r="BV662" s="343"/>
      <c r="BW662" s="343"/>
      <c r="BX662" s="343"/>
    </row>
    <row r="663" spans="1:76" s="25" customFormat="1">
      <c r="A663" s="343"/>
      <c r="B663" s="343"/>
      <c r="C663" s="64"/>
      <c r="D663" s="64"/>
      <c r="E663" s="39"/>
      <c r="F663" s="39"/>
      <c r="G663" s="39"/>
      <c r="H663" s="39"/>
      <c r="I663" s="39"/>
      <c r="J663" s="39"/>
      <c r="K663" s="39"/>
      <c r="L663" s="39"/>
      <c r="M663" s="660"/>
      <c r="N663" s="343"/>
      <c r="O663" s="343"/>
      <c r="P663" s="343"/>
      <c r="Q663" s="343"/>
      <c r="R663" s="600"/>
      <c r="S663" s="600"/>
      <c r="T663" s="600"/>
      <c r="U663" s="600"/>
      <c r="V663" s="600"/>
      <c r="W663" s="600"/>
      <c r="X663" s="600"/>
      <c r="Y663" s="600"/>
      <c r="Z663" s="600"/>
      <c r="AA663" s="482"/>
      <c r="AB663" s="482"/>
      <c r="AC663" s="482"/>
      <c r="AD663" s="600">
        <v>652</v>
      </c>
      <c r="AE663" s="482"/>
      <c r="AF663" s="600"/>
      <c r="AG663" s="600"/>
      <c r="AH663" s="600"/>
      <c r="AI663" s="600"/>
      <c r="AJ663" s="600"/>
      <c r="AK663" s="600"/>
      <c r="AL663" s="600"/>
      <c r="AM663" s="600"/>
      <c r="AN663" s="482"/>
      <c r="AO663" s="600"/>
      <c r="AP663" s="600"/>
      <c r="AQ663" s="600"/>
      <c r="AR663" s="600"/>
      <c r="AS663" s="600"/>
      <c r="AT663" s="600"/>
      <c r="AU663" s="600"/>
      <c r="AV663" s="600"/>
      <c r="AW663" s="482"/>
      <c r="AX663" s="482"/>
      <c r="AY663" s="482"/>
      <c r="AZ663" s="482"/>
      <c r="BA663" s="343"/>
      <c r="BB663" s="343"/>
      <c r="BC663" s="343"/>
      <c r="BD663" s="343"/>
      <c r="BE663" s="343"/>
      <c r="BF663" s="343"/>
      <c r="BG663" s="343"/>
      <c r="BH663" s="343"/>
      <c r="BI663" s="343"/>
      <c r="BJ663" s="343"/>
      <c r="BK663" s="343"/>
      <c r="BL663" s="343"/>
      <c r="BM663" s="343"/>
      <c r="BN663" s="343"/>
      <c r="BO663" s="343"/>
      <c r="BP663" s="343"/>
      <c r="BQ663" s="343"/>
      <c r="BR663" s="343"/>
      <c r="BS663" s="343"/>
      <c r="BT663" s="343"/>
      <c r="BU663" s="343"/>
      <c r="BV663" s="343"/>
      <c r="BW663" s="343"/>
      <c r="BX663" s="343"/>
    </row>
    <row r="664" spans="1:76" s="25" customFormat="1">
      <c r="A664" s="343"/>
      <c r="B664" s="343"/>
      <c r="C664" s="64"/>
      <c r="D664" s="64"/>
      <c r="E664" s="39"/>
      <c r="F664" s="39"/>
      <c r="G664" s="39"/>
      <c r="H664" s="39"/>
      <c r="I664" s="39"/>
      <c r="J664" s="39"/>
      <c r="K664" s="39"/>
      <c r="L664" s="39"/>
      <c r="M664" s="660"/>
      <c r="N664" s="343"/>
      <c r="O664" s="343"/>
      <c r="P664" s="343"/>
      <c r="Q664" s="343"/>
      <c r="R664" s="600"/>
      <c r="S664" s="600"/>
      <c r="T664" s="600"/>
      <c r="U664" s="600"/>
      <c r="V664" s="600"/>
      <c r="W664" s="600"/>
      <c r="X664" s="600"/>
      <c r="Y664" s="600"/>
      <c r="Z664" s="600"/>
      <c r="AA664" s="482"/>
      <c r="AB664" s="482"/>
      <c r="AC664" s="482"/>
      <c r="AD664" s="600">
        <v>653</v>
      </c>
      <c r="AE664" s="482"/>
      <c r="AF664" s="600"/>
      <c r="AG664" s="600"/>
      <c r="AH664" s="600"/>
      <c r="AI664" s="600"/>
      <c r="AJ664" s="600"/>
      <c r="AK664" s="600"/>
      <c r="AL664" s="600"/>
      <c r="AM664" s="600"/>
      <c r="AN664" s="482"/>
      <c r="AO664" s="600"/>
      <c r="AP664" s="600"/>
      <c r="AQ664" s="600"/>
      <c r="AR664" s="600"/>
      <c r="AS664" s="600"/>
      <c r="AT664" s="600"/>
      <c r="AU664" s="600"/>
      <c r="AV664" s="600"/>
      <c r="AW664" s="482"/>
      <c r="AX664" s="482"/>
      <c r="AY664" s="482"/>
      <c r="AZ664" s="482"/>
      <c r="BA664" s="343"/>
      <c r="BB664" s="343"/>
      <c r="BC664" s="343"/>
      <c r="BD664" s="343"/>
      <c r="BE664" s="343"/>
      <c r="BF664" s="343"/>
      <c r="BG664" s="343"/>
      <c r="BH664" s="343"/>
      <c r="BI664" s="343"/>
      <c r="BJ664" s="343"/>
      <c r="BK664" s="343"/>
      <c r="BL664" s="343"/>
      <c r="BM664" s="343"/>
      <c r="BN664" s="343"/>
      <c r="BO664" s="343"/>
      <c r="BP664" s="343"/>
      <c r="BQ664" s="343"/>
      <c r="BR664" s="343"/>
      <c r="BS664" s="343"/>
      <c r="BT664" s="343"/>
      <c r="BU664" s="343"/>
      <c r="BV664" s="343"/>
      <c r="BW664" s="343"/>
      <c r="BX664" s="343"/>
    </row>
    <row r="665" spans="1:76" s="25" customFormat="1">
      <c r="A665" s="343"/>
      <c r="B665" s="343"/>
      <c r="C665" s="64"/>
      <c r="D665" s="64"/>
      <c r="E665" s="39"/>
      <c r="F665" s="39"/>
      <c r="G665" s="39"/>
      <c r="H665" s="39"/>
      <c r="I665" s="39"/>
      <c r="J665" s="39"/>
      <c r="K665" s="39"/>
      <c r="L665" s="39"/>
      <c r="M665" s="660"/>
      <c r="N665" s="343"/>
      <c r="O665" s="343"/>
      <c r="P665" s="343"/>
      <c r="Q665" s="343"/>
      <c r="R665" s="600"/>
      <c r="S665" s="600"/>
      <c r="T665" s="600"/>
      <c r="U665" s="600"/>
      <c r="V665" s="600"/>
      <c r="W665" s="600"/>
      <c r="X665" s="600"/>
      <c r="Y665" s="600"/>
      <c r="Z665" s="600"/>
      <c r="AA665" s="482"/>
      <c r="AB665" s="482"/>
      <c r="AC665" s="482"/>
      <c r="AD665" s="600">
        <v>654</v>
      </c>
      <c r="AE665" s="482"/>
      <c r="AF665" s="600"/>
      <c r="AG665" s="600"/>
      <c r="AH665" s="600"/>
      <c r="AI665" s="600"/>
      <c r="AJ665" s="600"/>
      <c r="AK665" s="600"/>
      <c r="AL665" s="600"/>
      <c r="AM665" s="600"/>
      <c r="AN665" s="482"/>
      <c r="AO665" s="600"/>
      <c r="AP665" s="600"/>
      <c r="AQ665" s="600"/>
      <c r="AR665" s="600"/>
      <c r="AS665" s="600"/>
      <c r="AT665" s="600"/>
      <c r="AU665" s="600"/>
      <c r="AV665" s="600"/>
      <c r="AW665" s="482"/>
      <c r="AX665" s="482"/>
      <c r="AY665" s="482"/>
      <c r="AZ665" s="482"/>
      <c r="BA665" s="343"/>
      <c r="BB665" s="343"/>
      <c r="BC665" s="343"/>
      <c r="BD665" s="343"/>
      <c r="BE665" s="343"/>
      <c r="BF665" s="343"/>
      <c r="BG665" s="343"/>
      <c r="BH665" s="343"/>
      <c r="BI665" s="343"/>
      <c r="BJ665" s="343"/>
      <c r="BK665" s="343"/>
      <c r="BL665" s="343"/>
      <c r="BM665" s="343"/>
      <c r="BN665" s="343"/>
      <c r="BO665" s="343"/>
      <c r="BP665" s="343"/>
      <c r="BQ665" s="343"/>
      <c r="BR665" s="343"/>
      <c r="BS665" s="343"/>
      <c r="BT665" s="343"/>
      <c r="BU665" s="343"/>
      <c r="BV665" s="343"/>
      <c r="BW665" s="343"/>
      <c r="BX665" s="343"/>
    </row>
    <row r="666" spans="1:76" s="25" customFormat="1">
      <c r="A666" s="343"/>
      <c r="B666" s="343"/>
      <c r="C666" s="64"/>
      <c r="D666" s="64"/>
      <c r="E666" s="39"/>
      <c r="F666" s="39"/>
      <c r="G666" s="39"/>
      <c r="H666" s="39"/>
      <c r="I666" s="39"/>
      <c r="J666" s="39"/>
      <c r="K666" s="39"/>
      <c r="L666" s="39"/>
      <c r="M666" s="660"/>
      <c r="N666" s="343"/>
      <c r="O666" s="343"/>
      <c r="P666" s="343"/>
      <c r="Q666" s="343"/>
      <c r="R666" s="600"/>
      <c r="S666" s="600"/>
      <c r="T666" s="600"/>
      <c r="U666" s="600"/>
      <c r="V666" s="600"/>
      <c r="W666" s="600"/>
      <c r="X666" s="600"/>
      <c r="Y666" s="600"/>
      <c r="Z666" s="600"/>
      <c r="AA666" s="482"/>
      <c r="AB666" s="482"/>
      <c r="AC666" s="482"/>
      <c r="AD666" s="600">
        <v>655</v>
      </c>
      <c r="AE666" s="482"/>
      <c r="AF666" s="600"/>
      <c r="AG666" s="600"/>
      <c r="AH666" s="600"/>
      <c r="AI666" s="600"/>
      <c r="AJ666" s="600"/>
      <c r="AK666" s="600"/>
      <c r="AL666" s="600"/>
      <c r="AM666" s="600"/>
      <c r="AN666" s="482"/>
      <c r="AO666" s="600"/>
      <c r="AP666" s="600"/>
      <c r="AQ666" s="600"/>
      <c r="AR666" s="600"/>
      <c r="AS666" s="600"/>
      <c r="AT666" s="600"/>
      <c r="AU666" s="600"/>
      <c r="AV666" s="600"/>
      <c r="AW666" s="482"/>
      <c r="AX666" s="482"/>
      <c r="AY666" s="482"/>
      <c r="AZ666" s="482"/>
      <c r="BA666" s="343"/>
      <c r="BB666" s="343"/>
      <c r="BC666" s="343"/>
      <c r="BD666" s="343"/>
      <c r="BE666" s="343"/>
      <c r="BF666" s="343"/>
      <c r="BG666" s="343"/>
      <c r="BH666" s="343"/>
      <c r="BI666" s="343"/>
      <c r="BJ666" s="343"/>
      <c r="BK666" s="343"/>
      <c r="BL666" s="343"/>
      <c r="BM666" s="343"/>
      <c r="BN666" s="343"/>
      <c r="BO666" s="343"/>
      <c r="BP666" s="343"/>
      <c r="BQ666" s="343"/>
      <c r="BR666" s="343"/>
      <c r="BS666" s="343"/>
      <c r="BT666" s="343"/>
      <c r="BU666" s="343"/>
      <c r="BV666" s="343"/>
      <c r="BW666" s="343"/>
      <c r="BX666" s="343"/>
    </row>
    <row r="667" spans="1:76" s="25" customFormat="1">
      <c r="A667" s="343"/>
      <c r="B667" s="343"/>
      <c r="C667" s="64"/>
      <c r="D667" s="64"/>
      <c r="E667" s="39"/>
      <c r="F667" s="39"/>
      <c r="G667" s="39"/>
      <c r="H667" s="39"/>
      <c r="I667" s="39"/>
      <c r="J667" s="39"/>
      <c r="K667" s="39"/>
      <c r="L667" s="39"/>
      <c r="M667" s="660"/>
      <c r="N667" s="343"/>
      <c r="O667" s="343"/>
      <c r="P667" s="343"/>
      <c r="Q667" s="343"/>
      <c r="R667" s="600"/>
      <c r="S667" s="600"/>
      <c r="T667" s="600"/>
      <c r="U667" s="600"/>
      <c r="V667" s="600"/>
      <c r="W667" s="600"/>
      <c r="X667" s="600"/>
      <c r="Y667" s="600"/>
      <c r="Z667" s="600"/>
      <c r="AA667" s="482"/>
      <c r="AB667" s="482"/>
      <c r="AC667" s="482"/>
      <c r="AD667" s="600">
        <v>656</v>
      </c>
      <c r="AE667" s="482"/>
      <c r="AF667" s="600"/>
      <c r="AG667" s="600"/>
      <c r="AH667" s="600"/>
      <c r="AI667" s="600"/>
      <c r="AJ667" s="600"/>
      <c r="AK667" s="600"/>
      <c r="AL667" s="600"/>
      <c r="AM667" s="600"/>
      <c r="AN667" s="482"/>
      <c r="AO667" s="600"/>
      <c r="AP667" s="600"/>
      <c r="AQ667" s="600"/>
      <c r="AR667" s="600"/>
      <c r="AS667" s="600"/>
      <c r="AT667" s="600"/>
      <c r="AU667" s="600"/>
      <c r="AV667" s="600"/>
      <c r="AW667" s="482"/>
      <c r="AX667" s="482"/>
      <c r="AY667" s="482"/>
      <c r="AZ667" s="482"/>
      <c r="BA667" s="343"/>
      <c r="BB667" s="343"/>
      <c r="BC667" s="343"/>
      <c r="BD667" s="343"/>
      <c r="BE667" s="343"/>
      <c r="BF667" s="343"/>
      <c r="BG667" s="343"/>
      <c r="BH667" s="343"/>
      <c r="BI667" s="343"/>
      <c r="BJ667" s="343"/>
      <c r="BK667" s="343"/>
      <c r="BL667" s="343"/>
      <c r="BM667" s="343"/>
      <c r="BN667" s="343"/>
      <c r="BO667" s="343"/>
      <c r="BP667" s="343"/>
      <c r="BQ667" s="343"/>
      <c r="BR667" s="343"/>
      <c r="BS667" s="343"/>
      <c r="BT667" s="343"/>
      <c r="BU667" s="343"/>
      <c r="BV667" s="343"/>
      <c r="BW667" s="343"/>
      <c r="BX667" s="343"/>
    </row>
    <row r="668" spans="1:76" s="25" customFormat="1">
      <c r="A668" s="343"/>
      <c r="B668" s="343"/>
      <c r="C668" s="64"/>
      <c r="D668" s="64"/>
      <c r="E668" s="39"/>
      <c r="F668" s="39"/>
      <c r="G668" s="39"/>
      <c r="H668" s="39"/>
      <c r="I668" s="39"/>
      <c r="J668" s="39"/>
      <c r="K668" s="39"/>
      <c r="L668" s="39"/>
      <c r="M668" s="660"/>
      <c r="N668" s="343"/>
      <c r="O668" s="343"/>
      <c r="P668" s="343"/>
      <c r="Q668" s="343"/>
      <c r="R668" s="600"/>
      <c r="S668" s="600"/>
      <c r="T668" s="600"/>
      <c r="U668" s="600"/>
      <c r="V668" s="600"/>
      <c r="W668" s="600"/>
      <c r="X668" s="600"/>
      <c r="Y668" s="600"/>
      <c r="Z668" s="600"/>
      <c r="AA668" s="482"/>
      <c r="AB668" s="482"/>
      <c r="AC668" s="482"/>
      <c r="AD668" s="600">
        <v>657</v>
      </c>
      <c r="AE668" s="482"/>
      <c r="AF668" s="600"/>
      <c r="AG668" s="600"/>
      <c r="AH668" s="600"/>
      <c r="AI668" s="600"/>
      <c r="AJ668" s="600"/>
      <c r="AK668" s="600"/>
      <c r="AL668" s="600"/>
      <c r="AM668" s="600"/>
      <c r="AN668" s="482"/>
      <c r="AO668" s="600"/>
      <c r="AP668" s="600"/>
      <c r="AQ668" s="600"/>
      <c r="AR668" s="600"/>
      <c r="AS668" s="600"/>
      <c r="AT668" s="600"/>
      <c r="AU668" s="600"/>
      <c r="AV668" s="600"/>
      <c r="AW668" s="482"/>
      <c r="AX668" s="482"/>
      <c r="AY668" s="482"/>
      <c r="AZ668" s="482"/>
      <c r="BA668" s="343"/>
      <c r="BB668" s="343"/>
      <c r="BC668" s="343"/>
      <c r="BD668" s="343"/>
      <c r="BE668" s="343"/>
      <c r="BF668" s="343"/>
      <c r="BG668" s="343"/>
      <c r="BH668" s="343"/>
      <c r="BI668" s="343"/>
      <c r="BJ668" s="343"/>
      <c r="BK668" s="343"/>
      <c r="BL668" s="343"/>
      <c r="BM668" s="343"/>
      <c r="BN668" s="343"/>
      <c r="BO668" s="343"/>
      <c r="BP668" s="343"/>
      <c r="BQ668" s="343"/>
      <c r="BR668" s="343"/>
      <c r="BS668" s="343"/>
      <c r="BT668" s="343"/>
      <c r="BU668" s="343"/>
      <c r="BV668" s="343"/>
      <c r="BW668" s="343"/>
      <c r="BX668" s="343"/>
    </row>
    <row r="669" spans="1:76" s="25" customFormat="1">
      <c r="A669" s="343"/>
      <c r="B669" s="343"/>
      <c r="C669" s="64"/>
      <c r="D669" s="64"/>
      <c r="E669" s="39"/>
      <c r="F669" s="39"/>
      <c r="G669" s="39"/>
      <c r="H669" s="39"/>
      <c r="I669" s="39"/>
      <c r="J669" s="39"/>
      <c r="K669" s="39"/>
      <c r="L669" s="39"/>
      <c r="M669" s="660"/>
      <c r="N669" s="343"/>
      <c r="O669" s="343"/>
      <c r="P669" s="343"/>
      <c r="Q669" s="343"/>
      <c r="R669" s="600"/>
      <c r="S669" s="600"/>
      <c r="T669" s="600"/>
      <c r="U669" s="600"/>
      <c r="V669" s="600"/>
      <c r="W669" s="600"/>
      <c r="X669" s="600"/>
      <c r="Y669" s="600"/>
      <c r="Z669" s="600"/>
      <c r="AA669" s="482"/>
      <c r="AB669" s="482"/>
      <c r="AC669" s="482"/>
      <c r="AD669" s="600">
        <v>658</v>
      </c>
      <c r="AE669" s="482"/>
      <c r="AF669" s="600"/>
      <c r="AG669" s="600"/>
      <c r="AH669" s="600"/>
      <c r="AI669" s="600"/>
      <c r="AJ669" s="600"/>
      <c r="AK669" s="600"/>
      <c r="AL669" s="600"/>
      <c r="AM669" s="600"/>
      <c r="AN669" s="482"/>
      <c r="AO669" s="600"/>
      <c r="AP669" s="600"/>
      <c r="AQ669" s="600"/>
      <c r="AR669" s="600"/>
      <c r="AS669" s="600"/>
      <c r="AT669" s="600"/>
      <c r="AU669" s="600"/>
      <c r="AV669" s="600"/>
      <c r="AW669" s="482"/>
      <c r="AX669" s="482"/>
      <c r="AY669" s="482"/>
      <c r="AZ669" s="482"/>
      <c r="BA669" s="343"/>
      <c r="BB669" s="343"/>
      <c r="BC669" s="343"/>
      <c r="BD669" s="343"/>
      <c r="BE669" s="343"/>
      <c r="BF669" s="343"/>
      <c r="BG669" s="343"/>
      <c r="BH669" s="343"/>
      <c r="BI669" s="343"/>
      <c r="BJ669" s="343"/>
      <c r="BK669" s="343"/>
      <c r="BL669" s="343"/>
      <c r="BM669" s="343"/>
      <c r="BN669" s="343"/>
      <c r="BO669" s="343"/>
      <c r="BP669" s="343"/>
      <c r="BQ669" s="343"/>
      <c r="BR669" s="343"/>
      <c r="BS669" s="343"/>
      <c r="BT669" s="343"/>
      <c r="BU669" s="343"/>
      <c r="BV669" s="343"/>
      <c r="BW669" s="343"/>
      <c r="BX669" s="343"/>
    </row>
    <row r="670" spans="1:76" s="25" customFormat="1">
      <c r="A670" s="343"/>
      <c r="B670" s="343"/>
      <c r="C670" s="64"/>
      <c r="D670" s="64"/>
      <c r="E670" s="39"/>
      <c r="F670" s="39"/>
      <c r="G670" s="39"/>
      <c r="H670" s="39"/>
      <c r="I670" s="39"/>
      <c r="J670" s="39"/>
      <c r="K670" s="39"/>
      <c r="L670" s="39"/>
      <c r="M670" s="660"/>
      <c r="N670" s="343"/>
      <c r="O670" s="343"/>
      <c r="P670" s="343"/>
      <c r="Q670" s="343"/>
      <c r="R670" s="600"/>
      <c r="S670" s="600"/>
      <c r="T670" s="600"/>
      <c r="U670" s="600"/>
      <c r="V670" s="600"/>
      <c r="W670" s="600"/>
      <c r="X670" s="600"/>
      <c r="Y670" s="600"/>
      <c r="Z670" s="600"/>
      <c r="AA670" s="482"/>
      <c r="AB670" s="482"/>
      <c r="AC670" s="482"/>
      <c r="AD670" s="600">
        <v>659</v>
      </c>
      <c r="AE670" s="482"/>
      <c r="AF670" s="600"/>
      <c r="AG670" s="600"/>
      <c r="AH670" s="600"/>
      <c r="AI670" s="600"/>
      <c r="AJ670" s="600"/>
      <c r="AK670" s="600"/>
      <c r="AL670" s="600"/>
      <c r="AM670" s="600"/>
      <c r="AN670" s="482"/>
      <c r="AO670" s="600"/>
      <c r="AP670" s="600"/>
      <c r="AQ670" s="600"/>
      <c r="AR670" s="600"/>
      <c r="AS670" s="600"/>
      <c r="AT670" s="600"/>
      <c r="AU670" s="600"/>
      <c r="AV670" s="600"/>
      <c r="AW670" s="482"/>
      <c r="AX670" s="482"/>
      <c r="AY670" s="482"/>
      <c r="AZ670" s="482"/>
      <c r="BA670" s="343"/>
      <c r="BB670" s="343"/>
      <c r="BC670" s="343"/>
      <c r="BD670" s="343"/>
      <c r="BE670" s="343"/>
      <c r="BF670" s="343"/>
      <c r="BG670" s="343"/>
      <c r="BH670" s="343"/>
      <c r="BI670" s="343"/>
      <c r="BJ670" s="343"/>
      <c r="BK670" s="343"/>
      <c r="BL670" s="343"/>
      <c r="BM670" s="343"/>
      <c r="BN670" s="343"/>
      <c r="BO670" s="343"/>
      <c r="BP670" s="343"/>
      <c r="BQ670" s="343"/>
      <c r="BR670" s="343"/>
      <c r="BS670" s="343"/>
      <c r="BT670" s="343"/>
      <c r="BU670" s="343"/>
      <c r="BV670" s="343"/>
      <c r="BW670" s="343"/>
      <c r="BX670" s="343"/>
    </row>
    <row r="671" spans="1:76" s="25" customFormat="1">
      <c r="A671" s="343"/>
      <c r="B671" s="343"/>
      <c r="C671" s="64"/>
      <c r="D671" s="64"/>
      <c r="E671" s="39"/>
      <c r="F671" s="39"/>
      <c r="G671" s="39"/>
      <c r="H671" s="39"/>
      <c r="I671" s="39"/>
      <c r="J671" s="39"/>
      <c r="K671" s="39"/>
      <c r="L671" s="39"/>
      <c r="M671" s="660"/>
      <c r="N671" s="343"/>
      <c r="O671" s="343"/>
      <c r="P671" s="343"/>
      <c r="Q671" s="343"/>
      <c r="R671" s="600"/>
      <c r="S671" s="600"/>
      <c r="T671" s="600"/>
      <c r="U671" s="600"/>
      <c r="V671" s="600"/>
      <c r="W671" s="600"/>
      <c r="X671" s="600"/>
      <c r="Y671" s="600"/>
      <c r="Z671" s="600"/>
      <c r="AA671" s="482"/>
      <c r="AB671" s="482"/>
      <c r="AC671" s="482"/>
      <c r="AD671" s="600">
        <v>660</v>
      </c>
      <c r="AE671" s="482"/>
      <c r="AF671" s="600"/>
      <c r="AG671" s="600"/>
      <c r="AH671" s="600"/>
      <c r="AI671" s="600"/>
      <c r="AJ671" s="600"/>
      <c r="AK671" s="600"/>
      <c r="AL671" s="600"/>
      <c r="AM671" s="600"/>
      <c r="AN671" s="482"/>
      <c r="AO671" s="600"/>
      <c r="AP671" s="600"/>
      <c r="AQ671" s="600"/>
      <c r="AR671" s="600"/>
      <c r="AS671" s="600"/>
      <c r="AT671" s="600"/>
      <c r="AU671" s="600"/>
      <c r="AV671" s="600"/>
      <c r="AW671" s="482"/>
      <c r="AX671" s="482"/>
      <c r="AY671" s="482"/>
      <c r="AZ671" s="482"/>
      <c r="BA671" s="343"/>
      <c r="BB671" s="343"/>
      <c r="BC671" s="343"/>
      <c r="BD671" s="343"/>
      <c r="BE671" s="343"/>
      <c r="BF671" s="343"/>
      <c r="BG671" s="343"/>
      <c r="BH671" s="343"/>
      <c r="BI671" s="343"/>
      <c r="BJ671" s="343"/>
      <c r="BK671" s="343"/>
      <c r="BL671" s="343"/>
      <c r="BM671" s="343"/>
      <c r="BN671" s="343"/>
      <c r="BO671" s="343"/>
      <c r="BP671" s="343"/>
      <c r="BQ671" s="343"/>
      <c r="BR671" s="343"/>
      <c r="BS671" s="343"/>
      <c r="BT671" s="343"/>
      <c r="BU671" s="343"/>
      <c r="BV671" s="343"/>
      <c r="BW671" s="343"/>
      <c r="BX671" s="343"/>
    </row>
    <row r="672" spans="1:76" s="25" customFormat="1">
      <c r="A672" s="343"/>
      <c r="B672" s="343"/>
      <c r="C672" s="64"/>
      <c r="D672" s="64"/>
      <c r="E672" s="39"/>
      <c r="F672" s="39"/>
      <c r="G672" s="39"/>
      <c r="H672" s="39"/>
      <c r="I672" s="39"/>
      <c r="J672" s="39"/>
      <c r="K672" s="39"/>
      <c r="L672" s="39"/>
      <c r="M672" s="660"/>
      <c r="N672" s="343"/>
      <c r="O672" s="343"/>
      <c r="P672" s="343"/>
      <c r="Q672" s="343"/>
      <c r="R672" s="600"/>
      <c r="S672" s="600"/>
      <c r="T672" s="600"/>
      <c r="U672" s="600"/>
      <c r="V672" s="600"/>
      <c r="W672" s="600"/>
      <c r="X672" s="600"/>
      <c r="Y672" s="600"/>
      <c r="Z672" s="600"/>
      <c r="AA672" s="482"/>
      <c r="AB672" s="482"/>
      <c r="AC672" s="482"/>
      <c r="AD672" s="600">
        <v>661</v>
      </c>
      <c r="AE672" s="482"/>
      <c r="AF672" s="600"/>
      <c r="AG672" s="600"/>
      <c r="AH672" s="600"/>
      <c r="AI672" s="600"/>
      <c r="AJ672" s="600"/>
      <c r="AK672" s="600"/>
      <c r="AL672" s="600"/>
      <c r="AM672" s="600"/>
      <c r="AN672" s="482"/>
      <c r="AO672" s="600"/>
      <c r="AP672" s="600"/>
      <c r="AQ672" s="600"/>
      <c r="AR672" s="600"/>
      <c r="AS672" s="600"/>
      <c r="AT672" s="600"/>
      <c r="AU672" s="600"/>
      <c r="AV672" s="600"/>
      <c r="AW672" s="482"/>
      <c r="AX672" s="482"/>
      <c r="AY672" s="482"/>
      <c r="AZ672" s="482"/>
      <c r="BA672" s="343"/>
      <c r="BB672" s="343"/>
      <c r="BC672" s="343"/>
      <c r="BD672" s="343"/>
      <c r="BE672" s="343"/>
      <c r="BF672" s="343"/>
      <c r="BG672" s="343"/>
      <c r="BH672" s="343"/>
      <c r="BI672" s="343"/>
      <c r="BJ672" s="343"/>
      <c r="BK672" s="343"/>
      <c r="BL672" s="343"/>
      <c r="BM672" s="343"/>
      <c r="BN672" s="343"/>
      <c r="BO672" s="343"/>
      <c r="BP672" s="343"/>
      <c r="BQ672" s="343"/>
      <c r="BR672" s="343"/>
      <c r="BS672" s="343"/>
      <c r="BT672" s="343"/>
      <c r="BU672" s="343"/>
      <c r="BV672" s="343"/>
      <c r="BW672" s="343"/>
      <c r="BX672" s="343"/>
    </row>
    <row r="673" spans="1:76" s="25" customFormat="1">
      <c r="A673" s="343"/>
      <c r="B673" s="343"/>
      <c r="C673" s="64"/>
      <c r="D673" s="64"/>
      <c r="E673" s="39"/>
      <c r="F673" s="39"/>
      <c r="G673" s="39"/>
      <c r="H673" s="39"/>
      <c r="I673" s="39"/>
      <c r="J673" s="39"/>
      <c r="K673" s="39"/>
      <c r="L673" s="39"/>
      <c r="M673" s="660"/>
      <c r="N673" s="343"/>
      <c r="O673" s="343"/>
      <c r="P673" s="343"/>
      <c r="Q673" s="343"/>
      <c r="R673" s="600"/>
      <c r="S673" s="600"/>
      <c r="T673" s="600"/>
      <c r="U673" s="600"/>
      <c r="V673" s="600"/>
      <c r="W673" s="600"/>
      <c r="X673" s="600"/>
      <c r="Y673" s="600"/>
      <c r="Z673" s="600"/>
      <c r="AA673" s="482"/>
      <c r="AB673" s="482"/>
      <c r="AC673" s="482"/>
      <c r="AD673" s="600">
        <v>662</v>
      </c>
      <c r="AE673" s="482"/>
      <c r="AF673" s="600"/>
      <c r="AG673" s="600"/>
      <c r="AH673" s="600"/>
      <c r="AI673" s="600"/>
      <c r="AJ673" s="600"/>
      <c r="AK673" s="600"/>
      <c r="AL673" s="600"/>
      <c r="AM673" s="600"/>
      <c r="AN673" s="482"/>
      <c r="AO673" s="600"/>
      <c r="AP673" s="600"/>
      <c r="AQ673" s="600"/>
      <c r="AR673" s="600"/>
      <c r="AS673" s="600"/>
      <c r="AT673" s="600"/>
      <c r="AU673" s="600"/>
      <c r="AV673" s="600"/>
      <c r="AW673" s="482"/>
      <c r="AX673" s="482"/>
      <c r="AY673" s="482"/>
      <c r="AZ673" s="482"/>
      <c r="BA673" s="343"/>
      <c r="BB673" s="343"/>
      <c r="BC673" s="343"/>
      <c r="BD673" s="343"/>
      <c r="BE673" s="343"/>
      <c r="BF673" s="343"/>
      <c r="BG673" s="343"/>
      <c r="BH673" s="343"/>
      <c r="BI673" s="343"/>
      <c r="BJ673" s="343"/>
      <c r="BK673" s="343"/>
      <c r="BL673" s="343"/>
      <c r="BM673" s="343"/>
      <c r="BN673" s="343"/>
      <c r="BO673" s="343"/>
      <c r="BP673" s="343"/>
      <c r="BQ673" s="343"/>
      <c r="BR673" s="343"/>
      <c r="BS673" s="343"/>
      <c r="BT673" s="343"/>
      <c r="BU673" s="343"/>
      <c r="BV673" s="343"/>
      <c r="BW673" s="343"/>
      <c r="BX673" s="343"/>
    </row>
    <row r="674" spans="1:76" s="25" customFormat="1">
      <c r="A674" s="343"/>
      <c r="B674" s="343"/>
      <c r="C674" s="64"/>
      <c r="D674" s="64"/>
      <c r="E674" s="39"/>
      <c r="F674" s="39"/>
      <c r="G674" s="39"/>
      <c r="H674" s="39"/>
      <c r="I674" s="39"/>
      <c r="J674" s="39"/>
      <c r="K674" s="39"/>
      <c r="L674" s="39"/>
      <c r="M674" s="660"/>
      <c r="N674" s="343"/>
      <c r="O674" s="343"/>
      <c r="P674" s="343"/>
      <c r="Q674" s="343"/>
      <c r="R674" s="600"/>
      <c r="S674" s="600"/>
      <c r="T674" s="600"/>
      <c r="U674" s="600"/>
      <c r="V674" s="600"/>
      <c r="W674" s="600"/>
      <c r="X674" s="600"/>
      <c r="Y674" s="600"/>
      <c r="Z674" s="600"/>
      <c r="AA674" s="482"/>
      <c r="AB674" s="482"/>
      <c r="AC674" s="482"/>
      <c r="AD674" s="600">
        <v>663</v>
      </c>
      <c r="AE674" s="482"/>
      <c r="AF674" s="600"/>
      <c r="AG674" s="600"/>
      <c r="AH674" s="600"/>
      <c r="AI674" s="600"/>
      <c r="AJ674" s="600"/>
      <c r="AK674" s="600"/>
      <c r="AL674" s="600"/>
      <c r="AM674" s="600"/>
      <c r="AN674" s="482"/>
      <c r="AO674" s="600"/>
      <c r="AP674" s="600"/>
      <c r="AQ674" s="600"/>
      <c r="AR674" s="600"/>
      <c r="AS674" s="600"/>
      <c r="AT674" s="600"/>
      <c r="AU674" s="600"/>
      <c r="AV674" s="600"/>
      <c r="AW674" s="482"/>
      <c r="AX674" s="482"/>
      <c r="AY674" s="482"/>
      <c r="AZ674" s="482"/>
      <c r="BA674" s="343"/>
      <c r="BB674" s="343"/>
      <c r="BC674" s="343"/>
      <c r="BD674" s="343"/>
      <c r="BE674" s="343"/>
      <c r="BF674" s="343"/>
      <c r="BG674" s="343"/>
      <c r="BH674" s="343"/>
      <c r="BI674" s="343"/>
      <c r="BJ674" s="343"/>
      <c r="BK674" s="343"/>
      <c r="BL674" s="343"/>
      <c r="BM674" s="343"/>
      <c r="BN674" s="343"/>
      <c r="BO674" s="343"/>
      <c r="BP674" s="343"/>
      <c r="BQ674" s="343"/>
      <c r="BR674" s="343"/>
      <c r="BS674" s="343"/>
      <c r="BT674" s="343"/>
      <c r="BU674" s="343"/>
      <c r="BV674" s="343"/>
      <c r="BW674" s="343"/>
      <c r="BX674" s="343"/>
    </row>
    <row r="675" spans="1:76" s="25" customFormat="1">
      <c r="A675" s="343"/>
      <c r="B675" s="343"/>
      <c r="C675" s="64"/>
      <c r="D675" s="64"/>
      <c r="E675" s="39"/>
      <c r="F675" s="39"/>
      <c r="G675" s="39"/>
      <c r="H675" s="39"/>
      <c r="I675" s="39"/>
      <c r="J675" s="39"/>
      <c r="K675" s="39"/>
      <c r="L675" s="39"/>
      <c r="M675" s="660"/>
      <c r="N675" s="343"/>
      <c r="O675" s="343"/>
      <c r="P675" s="343"/>
      <c r="Q675" s="343"/>
      <c r="R675" s="600"/>
      <c r="S675" s="600"/>
      <c r="T675" s="600"/>
      <c r="U675" s="600"/>
      <c r="V675" s="600"/>
      <c r="W675" s="600"/>
      <c r="X675" s="600"/>
      <c r="Y675" s="600"/>
      <c r="Z675" s="600"/>
      <c r="AA675" s="482"/>
      <c r="AB675" s="482"/>
      <c r="AC675" s="482"/>
      <c r="AD675" s="600">
        <v>664</v>
      </c>
      <c r="AE675" s="482"/>
      <c r="AF675" s="600"/>
      <c r="AG675" s="600"/>
      <c r="AH675" s="600"/>
      <c r="AI675" s="600"/>
      <c r="AJ675" s="600"/>
      <c r="AK675" s="600"/>
      <c r="AL675" s="600"/>
      <c r="AM675" s="600"/>
      <c r="AN675" s="482"/>
      <c r="AO675" s="600"/>
      <c r="AP675" s="600"/>
      <c r="AQ675" s="600"/>
      <c r="AR675" s="600"/>
      <c r="AS675" s="600"/>
      <c r="AT675" s="600"/>
      <c r="AU675" s="600"/>
      <c r="AV675" s="600"/>
      <c r="AW675" s="482"/>
      <c r="AX675" s="482"/>
      <c r="AY675" s="482"/>
      <c r="AZ675" s="482"/>
      <c r="BA675" s="343"/>
      <c r="BB675" s="343"/>
      <c r="BC675" s="343"/>
      <c r="BD675" s="343"/>
      <c r="BE675" s="343"/>
      <c r="BF675" s="343"/>
      <c r="BG675" s="343"/>
      <c r="BH675" s="343"/>
      <c r="BI675" s="343"/>
      <c r="BJ675" s="343"/>
      <c r="BK675" s="343"/>
      <c r="BL675" s="343"/>
      <c r="BM675" s="343"/>
      <c r="BN675" s="343"/>
      <c r="BO675" s="343"/>
      <c r="BP675" s="343"/>
      <c r="BQ675" s="343"/>
      <c r="BR675" s="343"/>
      <c r="BS675" s="343"/>
      <c r="BT675" s="343"/>
      <c r="BU675" s="343"/>
      <c r="BV675" s="343"/>
      <c r="BW675" s="343"/>
      <c r="BX675" s="343"/>
    </row>
    <row r="676" spans="1:76" s="25" customFormat="1">
      <c r="A676" s="343"/>
      <c r="B676" s="343"/>
      <c r="C676" s="64"/>
      <c r="D676" s="64"/>
      <c r="E676" s="39"/>
      <c r="F676" s="39"/>
      <c r="G676" s="39"/>
      <c r="H676" s="39"/>
      <c r="I676" s="39"/>
      <c r="J676" s="39"/>
      <c r="K676" s="39"/>
      <c r="L676" s="39"/>
      <c r="M676" s="660"/>
      <c r="N676" s="343"/>
      <c r="O676" s="343"/>
      <c r="P676" s="343"/>
      <c r="Q676" s="343"/>
      <c r="R676" s="600"/>
      <c r="S676" s="600"/>
      <c r="T676" s="600"/>
      <c r="U676" s="600"/>
      <c r="V676" s="600"/>
      <c r="W676" s="600"/>
      <c r="X676" s="600"/>
      <c r="Y676" s="600"/>
      <c r="Z676" s="600"/>
      <c r="AA676" s="482"/>
      <c r="AB676" s="482"/>
      <c r="AC676" s="482"/>
      <c r="AD676" s="600">
        <v>665</v>
      </c>
      <c r="AE676" s="482"/>
      <c r="AF676" s="600"/>
      <c r="AG676" s="600"/>
      <c r="AH676" s="600"/>
      <c r="AI676" s="600"/>
      <c r="AJ676" s="600"/>
      <c r="AK676" s="600"/>
      <c r="AL676" s="600"/>
      <c r="AM676" s="600"/>
      <c r="AN676" s="482"/>
      <c r="AO676" s="600"/>
      <c r="AP676" s="600"/>
      <c r="AQ676" s="600"/>
      <c r="AR676" s="600"/>
      <c r="AS676" s="600"/>
      <c r="AT676" s="600"/>
      <c r="AU676" s="600"/>
      <c r="AV676" s="600"/>
      <c r="AW676" s="482"/>
      <c r="AX676" s="482"/>
      <c r="AY676" s="482"/>
      <c r="AZ676" s="482"/>
      <c r="BA676" s="343"/>
      <c r="BB676" s="343"/>
      <c r="BC676" s="343"/>
      <c r="BD676" s="343"/>
      <c r="BE676" s="343"/>
      <c r="BF676" s="343"/>
      <c r="BG676" s="343"/>
      <c r="BH676" s="343"/>
      <c r="BI676" s="343"/>
      <c r="BJ676" s="343"/>
      <c r="BK676" s="343"/>
      <c r="BL676" s="343"/>
      <c r="BM676" s="343"/>
      <c r="BN676" s="343"/>
      <c r="BO676" s="343"/>
      <c r="BP676" s="343"/>
      <c r="BQ676" s="343"/>
      <c r="BR676" s="343"/>
      <c r="BS676" s="343"/>
      <c r="BT676" s="343"/>
      <c r="BU676" s="343"/>
      <c r="BV676" s="343"/>
      <c r="BW676" s="343"/>
      <c r="BX676" s="343"/>
    </row>
    <row r="677" spans="1:76" s="25" customFormat="1">
      <c r="A677" s="343"/>
      <c r="B677" s="343"/>
      <c r="C677" s="64"/>
      <c r="D677" s="64"/>
      <c r="E677" s="39"/>
      <c r="F677" s="39"/>
      <c r="G677" s="39"/>
      <c r="H677" s="39"/>
      <c r="I677" s="39"/>
      <c r="J677" s="39"/>
      <c r="K677" s="39"/>
      <c r="L677" s="39"/>
      <c r="M677" s="660"/>
      <c r="N677" s="343"/>
      <c r="O677" s="343"/>
      <c r="P677" s="343"/>
      <c r="Q677" s="343"/>
      <c r="R677" s="600"/>
      <c r="S677" s="600"/>
      <c r="T677" s="600"/>
      <c r="U677" s="600"/>
      <c r="V677" s="600"/>
      <c r="W677" s="600"/>
      <c r="X677" s="600"/>
      <c r="Y677" s="600"/>
      <c r="Z677" s="600"/>
      <c r="AA677" s="482"/>
      <c r="AB677" s="482"/>
      <c r="AC677" s="482"/>
      <c r="AD677" s="600">
        <v>666</v>
      </c>
      <c r="AE677" s="482"/>
      <c r="AF677" s="600"/>
      <c r="AG677" s="600"/>
      <c r="AH677" s="600"/>
      <c r="AI677" s="600"/>
      <c r="AJ677" s="600"/>
      <c r="AK677" s="600"/>
      <c r="AL677" s="600"/>
      <c r="AM677" s="600"/>
      <c r="AN677" s="482"/>
      <c r="AO677" s="600"/>
      <c r="AP677" s="600"/>
      <c r="AQ677" s="600"/>
      <c r="AR677" s="600"/>
      <c r="AS677" s="600"/>
      <c r="AT677" s="600"/>
      <c r="AU677" s="600"/>
      <c r="AV677" s="600"/>
      <c r="AW677" s="482"/>
      <c r="AX677" s="482"/>
      <c r="AY677" s="482"/>
      <c r="AZ677" s="482"/>
      <c r="BA677" s="343"/>
      <c r="BB677" s="343"/>
      <c r="BC677" s="343"/>
      <c r="BD677" s="343"/>
      <c r="BE677" s="343"/>
      <c r="BF677" s="343"/>
      <c r="BG677" s="343"/>
      <c r="BH677" s="343"/>
      <c r="BI677" s="343"/>
      <c r="BJ677" s="343"/>
      <c r="BK677" s="343"/>
      <c r="BL677" s="343"/>
      <c r="BM677" s="343"/>
      <c r="BN677" s="343"/>
      <c r="BO677" s="343"/>
      <c r="BP677" s="343"/>
      <c r="BQ677" s="343"/>
      <c r="BR677" s="343"/>
      <c r="BS677" s="343"/>
      <c r="BT677" s="343"/>
      <c r="BU677" s="343"/>
      <c r="BV677" s="343"/>
      <c r="BW677" s="343"/>
      <c r="BX677" s="343"/>
    </row>
    <row r="678" spans="1:76" s="25" customFormat="1">
      <c r="A678" s="343"/>
      <c r="B678" s="343"/>
      <c r="C678" s="64"/>
      <c r="D678" s="64"/>
      <c r="E678" s="39"/>
      <c r="F678" s="39"/>
      <c r="G678" s="39"/>
      <c r="H678" s="39"/>
      <c r="I678" s="39"/>
      <c r="J678" s="39"/>
      <c r="K678" s="39"/>
      <c r="L678" s="39"/>
      <c r="M678" s="660"/>
      <c r="N678" s="343"/>
      <c r="O678" s="343"/>
      <c r="P678" s="343"/>
      <c r="Q678" s="343"/>
      <c r="R678" s="600"/>
      <c r="S678" s="600"/>
      <c r="T678" s="600"/>
      <c r="U678" s="600"/>
      <c r="V678" s="600"/>
      <c r="W678" s="600"/>
      <c r="X678" s="600"/>
      <c r="Y678" s="600"/>
      <c r="Z678" s="600"/>
      <c r="AA678" s="482"/>
      <c r="AB678" s="482"/>
      <c r="AC678" s="482"/>
      <c r="AD678" s="600">
        <v>667</v>
      </c>
      <c r="AE678" s="482"/>
      <c r="AF678" s="600"/>
      <c r="AG678" s="600"/>
      <c r="AH678" s="600"/>
      <c r="AI678" s="600"/>
      <c r="AJ678" s="600"/>
      <c r="AK678" s="600"/>
      <c r="AL678" s="600"/>
      <c r="AM678" s="600"/>
      <c r="AN678" s="482"/>
      <c r="AO678" s="600"/>
      <c r="AP678" s="600"/>
      <c r="AQ678" s="600"/>
      <c r="AR678" s="600"/>
      <c r="AS678" s="600"/>
      <c r="AT678" s="600"/>
      <c r="AU678" s="600"/>
      <c r="AV678" s="600"/>
      <c r="AW678" s="482"/>
      <c r="AX678" s="482"/>
      <c r="AY678" s="482"/>
      <c r="AZ678" s="482"/>
      <c r="BA678" s="343"/>
      <c r="BB678" s="343"/>
      <c r="BC678" s="343"/>
      <c r="BD678" s="343"/>
      <c r="BE678" s="343"/>
      <c r="BF678" s="343"/>
      <c r="BG678" s="343"/>
      <c r="BH678" s="343"/>
      <c r="BI678" s="343"/>
      <c r="BJ678" s="343"/>
      <c r="BK678" s="343"/>
      <c r="BL678" s="343"/>
      <c r="BM678" s="343"/>
      <c r="BN678" s="343"/>
      <c r="BO678" s="343"/>
      <c r="BP678" s="343"/>
      <c r="BQ678" s="343"/>
      <c r="BR678" s="343"/>
      <c r="BS678" s="343"/>
      <c r="BT678" s="343"/>
      <c r="BU678" s="343"/>
      <c r="BV678" s="343"/>
      <c r="BW678" s="343"/>
      <c r="BX678" s="343"/>
    </row>
    <row r="679" spans="1:76" s="25" customFormat="1">
      <c r="A679" s="343"/>
      <c r="B679" s="343"/>
      <c r="C679" s="64"/>
      <c r="D679" s="64"/>
      <c r="E679" s="39"/>
      <c r="F679" s="39"/>
      <c r="G679" s="39"/>
      <c r="H679" s="39"/>
      <c r="I679" s="39"/>
      <c r="J679" s="39"/>
      <c r="K679" s="39"/>
      <c r="L679" s="39"/>
      <c r="M679" s="660"/>
      <c r="N679" s="343"/>
      <c r="O679" s="343"/>
      <c r="P679" s="343"/>
      <c r="Q679" s="343"/>
      <c r="R679" s="600"/>
      <c r="S679" s="600"/>
      <c r="T679" s="600"/>
      <c r="U679" s="600"/>
      <c r="V679" s="600"/>
      <c r="W679" s="600"/>
      <c r="X679" s="600"/>
      <c r="Y679" s="600"/>
      <c r="Z679" s="600"/>
      <c r="AA679" s="482"/>
      <c r="AB679" s="482"/>
      <c r="AC679" s="482"/>
      <c r="AD679" s="600">
        <v>668</v>
      </c>
      <c r="AE679" s="482"/>
      <c r="AF679" s="600"/>
      <c r="AG679" s="600"/>
      <c r="AH679" s="600"/>
      <c r="AI679" s="600"/>
      <c r="AJ679" s="600"/>
      <c r="AK679" s="600"/>
      <c r="AL679" s="600"/>
      <c r="AM679" s="600"/>
      <c r="AN679" s="482"/>
      <c r="AO679" s="600"/>
      <c r="AP679" s="600"/>
      <c r="AQ679" s="600"/>
      <c r="AR679" s="600"/>
      <c r="AS679" s="600"/>
      <c r="AT679" s="600"/>
      <c r="AU679" s="600"/>
      <c r="AV679" s="600"/>
      <c r="AW679" s="482"/>
      <c r="AX679" s="482"/>
      <c r="AY679" s="482"/>
      <c r="AZ679" s="482"/>
      <c r="BA679" s="343"/>
      <c r="BB679" s="343"/>
      <c r="BC679" s="343"/>
      <c r="BD679" s="343"/>
      <c r="BE679" s="343"/>
      <c r="BF679" s="343"/>
      <c r="BG679" s="343"/>
      <c r="BH679" s="343"/>
      <c r="BI679" s="343"/>
      <c r="BJ679" s="343"/>
      <c r="BK679" s="343"/>
      <c r="BL679" s="343"/>
      <c r="BM679" s="343"/>
      <c r="BN679" s="343"/>
      <c r="BO679" s="343"/>
      <c r="BP679" s="343"/>
      <c r="BQ679" s="343"/>
      <c r="BR679" s="343"/>
      <c r="BS679" s="343"/>
      <c r="BT679" s="343"/>
      <c r="BU679" s="343"/>
      <c r="BV679" s="343"/>
      <c r="BW679" s="343"/>
      <c r="BX679" s="343"/>
    </row>
    <row r="680" spans="1:76" s="25" customFormat="1">
      <c r="A680" s="343"/>
      <c r="B680" s="343"/>
      <c r="C680" s="64"/>
      <c r="D680" s="64"/>
      <c r="E680" s="39"/>
      <c r="F680" s="39"/>
      <c r="G680" s="39"/>
      <c r="H680" s="39"/>
      <c r="I680" s="39"/>
      <c r="J680" s="39"/>
      <c r="K680" s="39"/>
      <c r="L680" s="39"/>
      <c r="M680" s="660"/>
      <c r="N680" s="343"/>
      <c r="O680" s="343"/>
      <c r="P680" s="343"/>
      <c r="Q680" s="343"/>
      <c r="R680" s="600"/>
      <c r="S680" s="600"/>
      <c r="T680" s="600"/>
      <c r="U680" s="600"/>
      <c r="V680" s="600"/>
      <c r="W680" s="600"/>
      <c r="X680" s="600"/>
      <c r="Y680" s="600"/>
      <c r="Z680" s="600"/>
      <c r="AA680" s="482"/>
      <c r="AB680" s="482"/>
      <c r="AC680" s="482"/>
      <c r="AD680" s="600">
        <v>669</v>
      </c>
      <c r="AE680" s="482"/>
      <c r="AF680" s="600"/>
      <c r="AG680" s="600"/>
      <c r="AH680" s="600"/>
      <c r="AI680" s="600"/>
      <c r="AJ680" s="600"/>
      <c r="AK680" s="600"/>
      <c r="AL680" s="600"/>
      <c r="AM680" s="600"/>
      <c r="AN680" s="482"/>
      <c r="AO680" s="600"/>
      <c r="AP680" s="600"/>
      <c r="AQ680" s="600"/>
      <c r="AR680" s="600"/>
      <c r="AS680" s="600"/>
      <c r="AT680" s="600"/>
      <c r="AU680" s="600"/>
      <c r="AV680" s="600"/>
      <c r="AW680" s="482"/>
      <c r="AX680" s="482"/>
      <c r="AY680" s="482"/>
      <c r="AZ680" s="482"/>
      <c r="BA680" s="343"/>
      <c r="BB680" s="343"/>
      <c r="BC680" s="343"/>
      <c r="BD680" s="343"/>
      <c r="BE680" s="343"/>
      <c r="BF680" s="343"/>
      <c r="BG680" s="343"/>
      <c r="BH680" s="343"/>
      <c r="BI680" s="343"/>
      <c r="BJ680" s="343"/>
      <c r="BK680" s="343"/>
      <c r="BL680" s="343"/>
      <c r="BM680" s="343"/>
      <c r="BN680" s="343"/>
      <c r="BO680" s="343"/>
      <c r="BP680" s="343"/>
      <c r="BQ680" s="343"/>
      <c r="BR680" s="343"/>
      <c r="BS680" s="343"/>
      <c r="BT680" s="343"/>
      <c r="BU680" s="343"/>
      <c r="BV680" s="343"/>
      <c r="BW680" s="343"/>
      <c r="BX680" s="343"/>
    </row>
    <row r="681" spans="1:76" s="25" customFormat="1">
      <c r="A681" s="343"/>
      <c r="B681" s="343"/>
      <c r="C681" s="64"/>
      <c r="D681" s="64"/>
      <c r="E681" s="39"/>
      <c r="F681" s="39"/>
      <c r="G681" s="39"/>
      <c r="H681" s="39"/>
      <c r="I681" s="39"/>
      <c r="J681" s="39"/>
      <c r="K681" s="39"/>
      <c r="L681" s="39"/>
      <c r="M681" s="660"/>
      <c r="N681" s="343"/>
      <c r="O681" s="343"/>
      <c r="P681" s="343"/>
      <c r="Q681" s="343"/>
      <c r="R681" s="600"/>
      <c r="S681" s="600"/>
      <c r="T681" s="600"/>
      <c r="U681" s="600"/>
      <c r="V681" s="600"/>
      <c r="W681" s="600"/>
      <c r="X681" s="600"/>
      <c r="Y681" s="600"/>
      <c r="Z681" s="600"/>
      <c r="AA681" s="482"/>
      <c r="AB681" s="482"/>
      <c r="AC681" s="482"/>
      <c r="AD681" s="600">
        <v>670</v>
      </c>
      <c r="AE681" s="482"/>
      <c r="AF681" s="600"/>
      <c r="AG681" s="600"/>
      <c r="AH681" s="600"/>
      <c r="AI681" s="600"/>
      <c r="AJ681" s="600"/>
      <c r="AK681" s="600"/>
      <c r="AL681" s="600"/>
      <c r="AM681" s="600"/>
      <c r="AN681" s="482"/>
      <c r="AO681" s="600"/>
      <c r="AP681" s="600"/>
      <c r="AQ681" s="600"/>
      <c r="AR681" s="600"/>
      <c r="AS681" s="600"/>
      <c r="AT681" s="600"/>
      <c r="AU681" s="600"/>
      <c r="AV681" s="600"/>
      <c r="AW681" s="482"/>
      <c r="AX681" s="482"/>
      <c r="AY681" s="482"/>
      <c r="AZ681" s="482"/>
      <c r="BA681" s="343"/>
      <c r="BB681" s="343"/>
      <c r="BC681" s="343"/>
      <c r="BD681" s="343"/>
      <c r="BE681" s="343"/>
      <c r="BF681" s="343"/>
      <c r="BG681" s="343"/>
      <c r="BH681" s="343"/>
      <c r="BI681" s="343"/>
      <c r="BJ681" s="343"/>
      <c r="BK681" s="343"/>
      <c r="BL681" s="343"/>
      <c r="BM681" s="343"/>
      <c r="BN681" s="343"/>
      <c r="BO681" s="343"/>
      <c r="BP681" s="343"/>
      <c r="BQ681" s="343"/>
      <c r="BR681" s="343"/>
      <c r="BS681" s="343"/>
      <c r="BT681" s="343"/>
      <c r="BU681" s="343"/>
      <c r="BV681" s="343"/>
      <c r="BW681" s="343"/>
      <c r="BX681" s="343"/>
    </row>
    <row r="682" spans="1:76" s="25" customFormat="1">
      <c r="A682" s="343"/>
      <c r="B682" s="343"/>
      <c r="C682" s="64"/>
      <c r="D682" s="64"/>
      <c r="E682" s="39"/>
      <c r="F682" s="39"/>
      <c r="G682" s="39"/>
      <c r="H682" s="39"/>
      <c r="I682" s="39"/>
      <c r="J682" s="39"/>
      <c r="K682" s="39"/>
      <c r="L682" s="39"/>
      <c r="M682" s="660"/>
      <c r="N682" s="343"/>
      <c r="O682" s="343"/>
      <c r="P682" s="343"/>
      <c r="Q682" s="343"/>
      <c r="R682" s="600"/>
      <c r="S682" s="600"/>
      <c r="T682" s="600"/>
      <c r="U682" s="600"/>
      <c r="V682" s="600"/>
      <c r="W682" s="600"/>
      <c r="X682" s="600"/>
      <c r="Y682" s="600"/>
      <c r="Z682" s="600"/>
      <c r="AA682" s="482"/>
      <c r="AB682" s="482"/>
      <c r="AC682" s="482"/>
      <c r="AD682" s="600">
        <v>671</v>
      </c>
      <c r="AE682" s="482"/>
      <c r="AF682" s="600"/>
      <c r="AG682" s="600"/>
      <c r="AH682" s="600"/>
      <c r="AI682" s="600"/>
      <c r="AJ682" s="600"/>
      <c r="AK682" s="600"/>
      <c r="AL682" s="600"/>
      <c r="AM682" s="600"/>
      <c r="AN682" s="482"/>
      <c r="AO682" s="600"/>
      <c r="AP682" s="600"/>
      <c r="AQ682" s="600"/>
      <c r="AR682" s="600"/>
      <c r="AS682" s="600"/>
      <c r="AT682" s="600"/>
      <c r="AU682" s="600"/>
      <c r="AV682" s="600"/>
      <c r="AW682" s="482"/>
      <c r="AX682" s="482"/>
      <c r="AY682" s="482"/>
      <c r="AZ682" s="482"/>
      <c r="BA682" s="343"/>
      <c r="BB682" s="343"/>
      <c r="BC682" s="343"/>
      <c r="BD682" s="343"/>
      <c r="BE682" s="343"/>
      <c r="BF682" s="343"/>
      <c r="BG682" s="343"/>
      <c r="BH682" s="343"/>
      <c r="BI682" s="343"/>
      <c r="BJ682" s="343"/>
      <c r="BK682" s="343"/>
      <c r="BL682" s="343"/>
      <c r="BM682" s="343"/>
      <c r="BN682" s="343"/>
      <c r="BO682" s="343"/>
      <c r="BP682" s="343"/>
      <c r="BQ682" s="343"/>
      <c r="BR682" s="343"/>
      <c r="BS682" s="343"/>
      <c r="BT682" s="343"/>
      <c r="BU682" s="343"/>
      <c r="BV682" s="343"/>
      <c r="BW682" s="343"/>
      <c r="BX682" s="343"/>
    </row>
    <row r="683" spans="1:76" s="25" customFormat="1">
      <c r="A683" s="343"/>
      <c r="B683" s="343"/>
      <c r="C683" s="64"/>
      <c r="D683" s="64"/>
      <c r="E683" s="39"/>
      <c r="F683" s="39"/>
      <c r="G683" s="39"/>
      <c r="H683" s="39"/>
      <c r="I683" s="39"/>
      <c r="J683" s="39"/>
      <c r="K683" s="39"/>
      <c r="L683" s="39"/>
      <c r="M683" s="660"/>
      <c r="N683" s="343"/>
      <c r="O683" s="343"/>
      <c r="P683" s="343"/>
      <c r="Q683" s="343"/>
      <c r="R683" s="600"/>
      <c r="S683" s="600"/>
      <c r="T683" s="600"/>
      <c r="U683" s="600"/>
      <c r="V683" s="600"/>
      <c r="W683" s="600"/>
      <c r="X683" s="600"/>
      <c r="Y683" s="600"/>
      <c r="Z683" s="600"/>
      <c r="AA683" s="482"/>
      <c r="AB683" s="482"/>
      <c r="AC683" s="482"/>
      <c r="AD683" s="600">
        <v>672</v>
      </c>
      <c r="AE683" s="482"/>
      <c r="AF683" s="600"/>
      <c r="AG683" s="600"/>
      <c r="AH683" s="600"/>
      <c r="AI683" s="600"/>
      <c r="AJ683" s="600"/>
      <c r="AK683" s="600"/>
      <c r="AL683" s="600"/>
      <c r="AM683" s="600"/>
      <c r="AN683" s="482"/>
      <c r="AO683" s="600"/>
      <c r="AP683" s="600"/>
      <c r="AQ683" s="600"/>
      <c r="AR683" s="600"/>
      <c r="AS683" s="600"/>
      <c r="AT683" s="600"/>
      <c r="AU683" s="600"/>
      <c r="AV683" s="600"/>
      <c r="AW683" s="482"/>
      <c r="AX683" s="482"/>
      <c r="AY683" s="482"/>
      <c r="AZ683" s="482"/>
      <c r="BA683" s="343"/>
      <c r="BB683" s="343"/>
      <c r="BC683" s="343"/>
      <c r="BD683" s="343"/>
      <c r="BE683" s="343"/>
      <c r="BF683" s="343"/>
      <c r="BG683" s="343"/>
      <c r="BH683" s="343"/>
      <c r="BI683" s="343"/>
      <c r="BJ683" s="343"/>
      <c r="BK683" s="343"/>
      <c r="BL683" s="343"/>
      <c r="BM683" s="343"/>
      <c r="BN683" s="343"/>
      <c r="BO683" s="343"/>
      <c r="BP683" s="343"/>
      <c r="BQ683" s="343"/>
      <c r="BR683" s="343"/>
      <c r="BS683" s="343"/>
      <c r="BT683" s="343"/>
      <c r="BU683" s="343"/>
      <c r="BV683" s="343"/>
      <c r="BW683" s="343"/>
      <c r="BX683" s="343"/>
    </row>
    <row r="684" spans="1:76" s="25" customFormat="1">
      <c r="A684" s="343"/>
      <c r="B684" s="343"/>
      <c r="C684" s="64"/>
      <c r="D684" s="64"/>
      <c r="E684" s="39"/>
      <c r="F684" s="39"/>
      <c r="G684" s="39"/>
      <c r="H684" s="39"/>
      <c r="I684" s="39"/>
      <c r="J684" s="39"/>
      <c r="K684" s="39"/>
      <c r="L684" s="39"/>
      <c r="M684" s="660"/>
      <c r="N684" s="343"/>
      <c r="O684" s="343"/>
      <c r="P684" s="343"/>
      <c r="Q684" s="343"/>
      <c r="R684" s="600"/>
      <c r="S684" s="600"/>
      <c r="T684" s="600"/>
      <c r="U684" s="600"/>
      <c r="V684" s="600"/>
      <c r="W684" s="600"/>
      <c r="X684" s="600"/>
      <c r="Y684" s="600"/>
      <c r="Z684" s="600"/>
      <c r="AA684" s="482"/>
      <c r="AB684" s="482"/>
      <c r="AC684" s="482"/>
      <c r="AD684" s="600">
        <v>673</v>
      </c>
      <c r="AE684" s="482"/>
      <c r="AF684" s="600"/>
      <c r="AG684" s="600"/>
      <c r="AH684" s="600"/>
      <c r="AI684" s="600"/>
      <c r="AJ684" s="600"/>
      <c r="AK684" s="600"/>
      <c r="AL684" s="600"/>
      <c r="AM684" s="600"/>
      <c r="AN684" s="482"/>
      <c r="AO684" s="600"/>
      <c r="AP684" s="600"/>
      <c r="AQ684" s="600"/>
      <c r="AR684" s="600"/>
      <c r="AS684" s="600"/>
      <c r="AT684" s="600"/>
      <c r="AU684" s="600"/>
      <c r="AV684" s="600"/>
      <c r="AW684" s="482"/>
      <c r="AX684" s="482"/>
      <c r="AY684" s="482"/>
      <c r="AZ684" s="482"/>
      <c r="BA684" s="343"/>
      <c r="BB684" s="343"/>
      <c r="BC684" s="343"/>
      <c r="BD684" s="343"/>
      <c r="BE684" s="343"/>
      <c r="BF684" s="343"/>
      <c r="BG684" s="343"/>
      <c r="BH684" s="343"/>
      <c r="BI684" s="343"/>
      <c r="BJ684" s="343"/>
      <c r="BK684" s="343"/>
      <c r="BL684" s="343"/>
      <c r="BM684" s="343"/>
      <c r="BN684" s="343"/>
      <c r="BO684" s="343"/>
      <c r="BP684" s="343"/>
      <c r="BQ684" s="343"/>
      <c r="BR684" s="343"/>
      <c r="BS684" s="343"/>
      <c r="BT684" s="343"/>
      <c r="BU684" s="343"/>
      <c r="BV684" s="343"/>
      <c r="BW684" s="343"/>
      <c r="BX684" s="343"/>
    </row>
    <row r="685" spans="1:76" s="25" customFormat="1">
      <c r="A685" s="343"/>
      <c r="B685" s="343"/>
      <c r="C685" s="64"/>
      <c r="D685" s="64"/>
      <c r="E685" s="39"/>
      <c r="F685" s="39"/>
      <c r="G685" s="39"/>
      <c r="H685" s="39"/>
      <c r="I685" s="39"/>
      <c r="J685" s="39"/>
      <c r="K685" s="39"/>
      <c r="L685" s="39"/>
      <c r="M685" s="660"/>
      <c r="N685" s="343"/>
      <c r="O685" s="343"/>
      <c r="P685" s="343"/>
      <c r="Q685" s="343"/>
      <c r="R685" s="600"/>
      <c r="S685" s="600"/>
      <c r="T685" s="600"/>
      <c r="U685" s="600"/>
      <c r="V685" s="600"/>
      <c r="W685" s="600"/>
      <c r="X685" s="600"/>
      <c r="Y685" s="600"/>
      <c r="Z685" s="600"/>
      <c r="AA685" s="482"/>
      <c r="AB685" s="482"/>
      <c r="AC685" s="482"/>
      <c r="AD685" s="600">
        <v>674</v>
      </c>
      <c r="AE685" s="482"/>
      <c r="AF685" s="600"/>
      <c r="AG685" s="600"/>
      <c r="AH685" s="600"/>
      <c r="AI685" s="600"/>
      <c r="AJ685" s="600"/>
      <c r="AK685" s="600"/>
      <c r="AL685" s="600"/>
      <c r="AM685" s="600"/>
      <c r="AN685" s="482"/>
      <c r="AO685" s="600"/>
      <c r="AP685" s="600"/>
      <c r="AQ685" s="600"/>
      <c r="AR685" s="600"/>
      <c r="AS685" s="600"/>
      <c r="AT685" s="600"/>
      <c r="AU685" s="600"/>
      <c r="AV685" s="600"/>
      <c r="AW685" s="482"/>
      <c r="AX685" s="482"/>
      <c r="AY685" s="482"/>
      <c r="AZ685" s="482"/>
      <c r="BA685" s="343"/>
      <c r="BB685" s="343"/>
      <c r="BC685" s="343"/>
      <c r="BD685" s="343"/>
      <c r="BE685" s="343"/>
      <c r="BF685" s="343"/>
      <c r="BG685" s="343"/>
      <c r="BH685" s="343"/>
      <c r="BI685" s="343"/>
      <c r="BJ685" s="343"/>
      <c r="BK685" s="343"/>
      <c r="BL685" s="343"/>
      <c r="BM685" s="343"/>
      <c r="BN685" s="343"/>
      <c r="BO685" s="343"/>
      <c r="BP685" s="343"/>
      <c r="BQ685" s="343"/>
      <c r="BR685" s="343"/>
      <c r="BS685" s="343"/>
      <c r="BT685" s="343"/>
      <c r="BU685" s="343"/>
      <c r="BV685" s="343"/>
      <c r="BW685" s="343"/>
      <c r="BX685" s="343"/>
    </row>
    <row r="686" spans="1:76" s="25" customFormat="1">
      <c r="A686" s="343"/>
      <c r="B686" s="343"/>
      <c r="C686" s="64"/>
      <c r="D686" s="64"/>
      <c r="E686" s="39"/>
      <c r="F686" s="39"/>
      <c r="G686" s="39"/>
      <c r="H686" s="39"/>
      <c r="I686" s="39"/>
      <c r="J686" s="39"/>
      <c r="K686" s="39"/>
      <c r="L686" s="39"/>
      <c r="M686" s="660"/>
      <c r="N686" s="343"/>
      <c r="O686" s="343"/>
      <c r="P686" s="343"/>
      <c r="Q686" s="343"/>
      <c r="R686" s="600"/>
      <c r="S686" s="600"/>
      <c r="T686" s="600"/>
      <c r="U686" s="600"/>
      <c r="V686" s="600"/>
      <c r="W686" s="600"/>
      <c r="X686" s="600"/>
      <c r="Y686" s="600"/>
      <c r="Z686" s="600"/>
      <c r="AA686" s="482"/>
      <c r="AB686" s="482"/>
      <c r="AC686" s="482"/>
      <c r="AD686" s="600">
        <v>675</v>
      </c>
      <c r="AE686" s="482"/>
      <c r="AF686" s="600"/>
      <c r="AG686" s="600"/>
      <c r="AH686" s="600"/>
      <c r="AI686" s="600"/>
      <c r="AJ686" s="600"/>
      <c r="AK686" s="600"/>
      <c r="AL686" s="600"/>
      <c r="AM686" s="600"/>
      <c r="AN686" s="482"/>
      <c r="AO686" s="600"/>
      <c r="AP686" s="600"/>
      <c r="AQ686" s="600"/>
      <c r="AR686" s="600"/>
      <c r="AS686" s="600"/>
      <c r="AT686" s="600"/>
      <c r="AU686" s="600"/>
      <c r="AV686" s="600"/>
      <c r="AW686" s="482"/>
      <c r="AX686" s="482"/>
      <c r="AY686" s="482"/>
      <c r="AZ686" s="482"/>
      <c r="BA686" s="343"/>
      <c r="BB686" s="343"/>
      <c r="BC686" s="343"/>
      <c r="BD686" s="343"/>
      <c r="BE686" s="343"/>
      <c r="BF686" s="343"/>
      <c r="BG686" s="343"/>
      <c r="BH686" s="343"/>
      <c r="BI686" s="343"/>
      <c r="BJ686" s="343"/>
      <c r="BK686" s="343"/>
      <c r="BL686" s="343"/>
      <c r="BM686" s="343"/>
      <c r="BN686" s="343"/>
      <c r="BO686" s="343"/>
      <c r="BP686" s="343"/>
      <c r="BQ686" s="343"/>
      <c r="BR686" s="343"/>
      <c r="BS686" s="343"/>
      <c r="BT686" s="343"/>
      <c r="BU686" s="343"/>
      <c r="BV686" s="343"/>
      <c r="BW686" s="343"/>
      <c r="BX686" s="343"/>
    </row>
    <row r="687" spans="1:76" s="25" customFormat="1">
      <c r="A687" s="343"/>
      <c r="B687" s="343"/>
      <c r="C687" s="64"/>
      <c r="D687" s="64"/>
      <c r="E687" s="39"/>
      <c r="F687" s="39"/>
      <c r="G687" s="39"/>
      <c r="H687" s="39"/>
      <c r="I687" s="39"/>
      <c r="J687" s="39"/>
      <c r="K687" s="39"/>
      <c r="L687" s="39"/>
      <c r="M687" s="660"/>
      <c r="N687" s="343"/>
      <c r="O687" s="343"/>
      <c r="P687" s="343"/>
      <c r="Q687" s="343"/>
      <c r="R687" s="600"/>
      <c r="S687" s="600"/>
      <c r="T687" s="600"/>
      <c r="U687" s="600"/>
      <c r="V687" s="600"/>
      <c r="W687" s="600"/>
      <c r="X687" s="600"/>
      <c r="Y687" s="600"/>
      <c r="Z687" s="600"/>
      <c r="AA687" s="482"/>
      <c r="AB687" s="482"/>
      <c r="AC687" s="482"/>
      <c r="AD687" s="600">
        <v>676</v>
      </c>
      <c r="AE687" s="482"/>
      <c r="AF687" s="600"/>
      <c r="AG687" s="600"/>
      <c r="AH687" s="600"/>
      <c r="AI687" s="600"/>
      <c r="AJ687" s="600"/>
      <c r="AK687" s="600"/>
      <c r="AL687" s="600"/>
      <c r="AM687" s="600"/>
      <c r="AN687" s="482"/>
      <c r="AO687" s="600"/>
      <c r="AP687" s="600"/>
      <c r="AQ687" s="600"/>
      <c r="AR687" s="600"/>
      <c r="AS687" s="600"/>
      <c r="AT687" s="600"/>
      <c r="AU687" s="600"/>
      <c r="AV687" s="600"/>
      <c r="AW687" s="482"/>
      <c r="AX687" s="482"/>
      <c r="AY687" s="482"/>
      <c r="AZ687" s="482"/>
      <c r="BA687" s="343"/>
      <c r="BB687" s="343"/>
      <c r="BC687" s="343"/>
      <c r="BD687" s="343"/>
      <c r="BE687" s="343"/>
      <c r="BF687" s="343"/>
      <c r="BG687" s="343"/>
      <c r="BH687" s="343"/>
      <c r="BI687" s="343"/>
      <c r="BJ687" s="343"/>
      <c r="BK687" s="343"/>
      <c r="BL687" s="343"/>
      <c r="BM687" s="343"/>
      <c r="BN687" s="343"/>
      <c r="BO687" s="343"/>
      <c r="BP687" s="343"/>
      <c r="BQ687" s="343"/>
      <c r="BR687" s="343"/>
      <c r="BS687" s="343"/>
      <c r="BT687" s="343"/>
      <c r="BU687" s="343"/>
      <c r="BV687" s="343"/>
      <c r="BW687" s="343"/>
      <c r="BX687" s="343"/>
    </row>
    <row r="688" spans="1:76" s="25" customFormat="1">
      <c r="A688" s="343"/>
      <c r="B688" s="343"/>
      <c r="C688" s="64"/>
      <c r="D688" s="64"/>
      <c r="E688" s="39"/>
      <c r="F688" s="39"/>
      <c r="G688" s="39"/>
      <c r="H688" s="39"/>
      <c r="I688" s="39"/>
      <c r="J688" s="39"/>
      <c r="K688" s="39"/>
      <c r="L688" s="39"/>
      <c r="M688" s="660"/>
      <c r="N688" s="343"/>
      <c r="O688" s="343"/>
      <c r="P688" s="343"/>
      <c r="Q688" s="343"/>
      <c r="R688" s="600"/>
      <c r="S688" s="600"/>
      <c r="T688" s="600"/>
      <c r="U688" s="600"/>
      <c r="V688" s="600"/>
      <c r="W688" s="600"/>
      <c r="X688" s="600"/>
      <c r="Y688" s="600"/>
      <c r="Z688" s="600"/>
      <c r="AA688" s="482"/>
      <c r="AB688" s="482"/>
      <c r="AC688" s="482"/>
      <c r="AD688" s="600">
        <v>677</v>
      </c>
      <c r="AE688" s="482"/>
      <c r="AF688" s="600"/>
      <c r="AG688" s="600"/>
      <c r="AH688" s="600"/>
      <c r="AI688" s="600"/>
      <c r="AJ688" s="600"/>
      <c r="AK688" s="600"/>
      <c r="AL688" s="600"/>
      <c r="AM688" s="600"/>
      <c r="AN688" s="482"/>
      <c r="AO688" s="600"/>
      <c r="AP688" s="600"/>
      <c r="AQ688" s="600"/>
      <c r="AR688" s="600"/>
      <c r="AS688" s="600"/>
      <c r="AT688" s="600"/>
      <c r="AU688" s="600"/>
      <c r="AV688" s="600"/>
      <c r="AW688" s="482"/>
      <c r="AX688" s="482"/>
      <c r="AY688" s="482"/>
      <c r="AZ688" s="482"/>
      <c r="BA688" s="343"/>
      <c r="BB688" s="343"/>
      <c r="BC688" s="343"/>
      <c r="BD688" s="343"/>
      <c r="BE688" s="343"/>
      <c r="BF688" s="343"/>
      <c r="BG688" s="343"/>
      <c r="BH688" s="343"/>
      <c r="BI688" s="343"/>
      <c r="BJ688" s="343"/>
      <c r="BK688" s="343"/>
      <c r="BL688" s="343"/>
      <c r="BM688" s="343"/>
      <c r="BN688" s="343"/>
      <c r="BO688" s="343"/>
      <c r="BP688" s="343"/>
      <c r="BQ688" s="343"/>
      <c r="BR688" s="343"/>
      <c r="BS688" s="343"/>
      <c r="BT688" s="343"/>
      <c r="BU688" s="343"/>
      <c r="BV688" s="343"/>
      <c r="BW688" s="343"/>
      <c r="BX688" s="343"/>
    </row>
    <row r="689" spans="1:76" s="25" customFormat="1">
      <c r="A689" s="343"/>
      <c r="B689" s="343"/>
      <c r="C689" s="64"/>
      <c r="D689" s="64"/>
      <c r="E689" s="39"/>
      <c r="F689" s="39"/>
      <c r="G689" s="39"/>
      <c r="H689" s="39"/>
      <c r="I689" s="39"/>
      <c r="J689" s="39"/>
      <c r="K689" s="39"/>
      <c r="L689" s="39"/>
      <c r="M689" s="660"/>
      <c r="N689" s="343"/>
      <c r="O689" s="343"/>
      <c r="P689" s="343"/>
      <c r="Q689" s="343"/>
      <c r="R689" s="600"/>
      <c r="S689" s="600"/>
      <c r="T689" s="600"/>
      <c r="U689" s="600"/>
      <c r="V689" s="600"/>
      <c r="W689" s="600"/>
      <c r="X689" s="600"/>
      <c r="Y689" s="600"/>
      <c r="Z689" s="600"/>
      <c r="AA689" s="482"/>
      <c r="AB689" s="482"/>
      <c r="AC689" s="482"/>
      <c r="AD689" s="600">
        <v>678</v>
      </c>
      <c r="AE689" s="482"/>
      <c r="AF689" s="600"/>
      <c r="AG689" s="600"/>
      <c r="AH689" s="600"/>
      <c r="AI689" s="600"/>
      <c r="AJ689" s="600"/>
      <c r="AK689" s="600"/>
      <c r="AL689" s="600"/>
      <c r="AM689" s="600"/>
      <c r="AN689" s="482"/>
      <c r="AO689" s="600"/>
      <c r="AP689" s="600"/>
      <c r="AQ689" s="600"/>
      <c r="AR689" s="600"/>
      <c r="AS689" s="600"/>
      <c r="AT689" s="600"/>
      <c r="AU689" s="600"/>
      <c r="AV689" s="600"/>
      <c r="AW689" s="482"/>
      <c r="AX689" s="482"/>
      <c r="AY689" s="482"/>
      <c r="AZ689" s="482"/>
      <c r="BA689" s="343"/>
      <c r="BB689" s="343"/>
      <c r="BC689" s="343"/>
      <c r="BD689" s="343"/>
      <c r="BE689" s="343"/>
      <c r="BF689" s="343"/>
      <c r="BG689" s="343"/>
      <c r="BH689" s="343"/>
      <c r="BI689" s="343"/>
      <c r="BJ689" s="343"/>
      <c r="BK689" s="343"/>
      <c r="BL689" s="343"/>
      <c r="BM689" s="343"/>
      <c r="BN689" s="343"/>
      <c r="BO689" s="343"/>
      <c r="BP689" s="343"/>
      <c r="BQ689" s="343"/>
      <c r="BR689" s="343"/>
      <c r="BS689" s="343"/>
      <c r="BT689" s="343"/>
      <c r="BU689" s="343"/>
      <c r="BV689" s="343"/>
      <c r="BW689" s="343"/>
      <c r="BX689" s="343"/>
    </row>
    <row r="690" spans="1:76" s="25" customFormat="1">
      <c r="A690" s="343"/>
      <c r="B690" s="343"/>
      <c r="C690" s="64"/>
      <c r="D690" s="64"/>
      <c r="E690" s="39"/>
      <c r="F690" s="39"/>
      <c r="G690" s="39"/>
      <c r="H690" s="39"/>
      <c r="I690" s="39"/>
      <c r="J690" s="39"/>
      <c r="K690" s="39"/>
      <c r="L690" s="39"/>
      <c r="M690" s="660"/>
      <c r="N690" s="343"/>
      <c r="O690" s="343"/>
      <c r="P690" s="343"/>
      <c r="Q690" s="343"/>
      <c r="R690" s="600"/>
      <c r="S690" s="600"/>
      <c r="T690" s="600"/>
      <c r="U690" s="600"/>
      <c r="V690" s="600"/>
      <c r="W690" s="600"/>
      <c r="X690" s="600"/>
      <c r="Y690" s="600"/>
      <c r="Z690" s="600"/>
      <c r="AA690" s="482"/>
      <c r="AB690" s="482"/>
      <c r="AC690" s="482"/>
      <c r="AD690" s="600">
        <v>679</v>
      </c>
      <c r="AE690" s="482"/>
      <c r="AF690" s="600"/>
      <c r="AG690" s="600"/>
      <c r="AH690" s="600"/>
      <c r="AI690" s="600"/>
      <c r="AJ690" s="600"/>
      <c r="AK690" s="600"/>
      <c r="AL690" s="600"/>
      <c r="AM690" s="600"/>
      <c r="AN690" s="482"/>
      <c r="AO690" s="600"/>
      <c r="AP690" s="600"/>
      <c r="AQ690" s="600"/>
      <c r="AR690" s="600"/>
      <c r="AS690" s="600"/>
      <c r="AT690" s="600"/>
      <c r="AU690" s="600"/>
      <c r="AV690" s="600"/>
      <c r="AW690" s="482"/>
      <c r="AX690" s="482"/>
      <c r="AY690" s="482"/>
      <c r="AZ690" s="482"/>
      <c r="BA690" s="343"/>
      <c r="BB690" s="343"/>
      <c r="BC690" s="343"/>
      <c r="BD690" s="343"/>
      <c r="BE690" s="343"/>
      <c r="BF690" s="343"/>
      <c r="BG690" s="343"/>
      <c r="BH690" s="343"/>
      <c r="BI690" s="343"/>
      <c r="BJ690" s="343"/>
      <c r="BK690" s="343"/>
      <c r="BL690" s="343"/>
      <c r="BM690" s="343"/>
      <c r="BN690" s="343"/>
      <c r="BO690" s="343"/>
      <c r="BP690" s="343"/>
      <c r="BQ690" s="343"/>
      <c r="BR690" s="343"/>
      <c r="BS690" s="343"/>
      <c r="BT690" s="343"/>
      <c r="BU690" s="343"/>
      <c r="BV690" s="343"/>
      <c r="BW690" s="343"/>
      <c r="BX690" s="343"/>
    </row>
    <row r="691" spans="1:76" s="25" customFormat="1">
      <c r="A691" s="343"/>
      <c r="B691" s="343"/>
      <c r="C691" s="64"/>
      <c r="D691" s="64"/>
      <c r="E691" s="39"/>
      <c r="F691" s="39"/>
      <c r="G691" s="39"/>
      <c r="H691" s="39"/>
      <c r="I691" s="39"/>
      <c r="J691" s="39"/>
      <c r="K691" s="39"/>
      <c r="L691" s="39"/>
      <c r="M691" s="660"/>
      <c r="N691" s="343"/>
      <c r="O691" s="343"/>
      <c r="P691" s="343"/>
      <c r="Q691" s="343"/>
      <c r="R691" s="600"/>
      <c r="S691" s="600"/>
      <c r="T691" s="600"/>
      <c r="U691" s="600"/>
      <c r="V691" s="600"/>
      <c r="W691" s="600"/>
      <c r="X691" s="600"/>
      <c r="Y691" s="600"/>
      <c r="Z691" s="600"/>
      <c r="AA691" s="482"/>
      <c r="AB691" s="482"/>
      <c r="AC691" s="482"/>
      <c r="AD691" s="600">
        <v>680</v>
      </c>
      <c r="AE691" s="482"/>
      <c r="AF691" s="600"/>
      <c r="AG691" s="600"/>
      <c r="AH691" s="600"/>
      <c r="AI691" s="600"/>
      <c r="AJ691" s="600"/>
      <c r="AK691" s="600"/>
      <c r="AL691" s="600"/>
      <c r="AM691" s="600"/>
      <c r="AN691" s="482"/>
      <c r="AO691" s="600"/>
      <c r="AP691" s="600"/>
      <c r="AQ691" s="600"/>
      <c r="AR691" s="600"/>
      <c r="AS691" s="600"/>
      <c r="AT691" s="600"/>
      <c r="AU691" s="600"/>
      <c r="AV691" s="600"/>
      <c r="AW691" s="482"/>
      <c r="AX691" s="482"/>
      <c r="AY691" s="482"/>
      <c r="AZ691" s="482"/>
      <c r="BA691" s="343"/>
      <c r="BB691" s="343"/>
      <c r="BC691" s="343"/>
      <c r="BD691" s="343"/>
      <c r="BE691" s="343"/>
      <c r="BF691" s="343"/>
      <c r="BG691" s="343"/>
      <c r="BH691" s="343"/>
      <c r="BI691" s="343"/>
      <c r="BJ691" s="343"/>
      <c r="BK691" s="343"/>
      <c r="BL691" s="343"/>
      <c r="BM691" s="343"/>
      <c r="BN691" s="343"/>
      <c r="BO691" s="343"/>
      <c r="BP691" s="343"/>
      <c r="BQ691" s="343"/>
      <c r="BR691" s="343"/>
      <c r="BS691" s="343"/>
      <c r="BT691" s="343"/>
      <c r="BU691" s="343"/>
      <c r="BV691" s="343"/>
      <c r="BW691" s="343"/>
      <c r="BX691" s="343"/>
    </row>
    <row r="692" spans="1:76" s="25" customFormat="1">
      <c r="A692" s="343"/>
      <c r="B692" s="343"/>
      <c r="C692" s="64"/>
      <c r="D692" s="64"/>
      <c r="E692" s="39"/>
      <c r="F692" s="39"/>
      <c r="G692" s="39"/>
      <c r="H692" s="39"/>
      <c r="I692" s="39"/>
      <c r="J692" s="39"/>
      <c r="K692" s="39"/>
      <c r="L692" s="39"/>
      <c r="M692" s="660"/>
      <c r="N692" s="343"/>
      <c r="O692" s="343"/>
      <c r="P692" s="343"/>
      <c r="Q692" s="343"/>
      <c r="R692" s="600"/>
      <c r="S692" s="600"/>
      <c r="T692" s="600"/>
      <c r="U692" s="600"/>
      <c r="V692" s="600"/>
      <c r="W692" s="600"/>
      <c r="X692" s="600"/>
      <c r="Y692" s="600"/>
      <c r="Z692" s="600"/>
      <c r="AA692" s="482"/>
      <c r="AB692" s="482"/>
      <c r="AC692" s="482"/>
      <c r="AD692" s="600">
        <v>681</v>
      </c>
      <c r="AE692" s="482"/>
      <c r="AF692" s="600"/>
      <c r="AG692" s="600"/>
      <c r="AH692" s="600"/>
      <c r="AI692" s="600"/>
      <c r="AJ692" s="600"/>
      <c r="AK692" s="600"/>
      <c r="AL692" s="600"/>
      <c r="AM692" s="600"/>
      <c r="AN692" s="482"/>
      <c r="AO692" s="600"/>
      <c r="AP692" s="600"/>
      <c r="AQ692" s="600"/>
      <c r="AR692" s="600"/>
      <c r="AS692" s="600"/>
      <c r="AT692" s="600"/>
      <c r="AU692" s="600"/>
      <c r="AV692" s="600"/>
      <c r="AW692" s="482"/>
      <c r="AX692" s="482"/>
      <c r="AY692" s="482"/>
      <c r="AZ692" s="482"/>
      <c r="BA692" s="343"/>
      <c r="BB692" s="343"/>
      <c r="BC692" s="343"/>
      <c r="BD692" s="343"/>
      <c r="BE692" s="343"/>
      <c r="BF692" s="343"/>
      <c r="BG692" s="343"/>
      <c r="BH692" s="343"/>
      <c r="BI692" s="343"/>
      <c r="BJ692" s="343"/>
      <c r="BK692" s="343"/>
      <c r="BL692" s="343"/>
      <c r="BM692" s="343"/>
      <c r="BN692" s="343"/>
      <c r="BO692" s="343"/>
      <c r="BP692" s="343"/>
      <c r="BQ692" s="343"/>
      <c r="BR692" s="343"/>
      <c r="BS692" s="343"/>
      <c r="BT692" s="343"/>
      <c r="BU692" s="343"/>
      <c r="BV692" s="343"/>
      <c r="BW692" s="343"/>
      <c r="BX692" s="343"/>
    </row>
    <row r="693" spans="1:76" s="25" customFormat="1">
      <c r="A693" s="343"/>
      <c r="B693" s="343"/>
      <c r="C693" s="64"/>
      <c r="D693" s="64"/>
      <c r="E693" s="39"/>
      <c r="F693" s="39"/>
      <c r="G693" s="39"/>
      <c r="H693" s="39"/>
      <c r="I693" s="39"/>
      <c r="J693" s="39"/>
      <c r="K693" s="39"/>
      <c r="L693" s="39"/>
      <c r="M693" s="660"/>
      <c r="N693" s="343"/>
      <c r="O693" s="343"/>
      <c r="P693" s="343"/>
      <c r="Q693" s="343"/>
      <c r="R693" s="600"/>
      <c r="S693" s="600"/>
      <c r="T693" s="600"/>
      <c r="U693" s="600"/>
      <c r="V693" s="600"/>
      <c r="W693" s="600"/>
      <c r="X693" s="600"/>
      <c r="Y693" s="600"/>
      <c r="Z693" s="600"/>
      <c r="AA693" s="482"/>
      <c r="AB693" s="482"/>
      <c r="AC693" s="482"/>
      <c r="AD693" s="600">
        <v>682</v>
      </c>
      <c r="AE693" s="482"/>
      <c r="AF693" s="600"/>
      <c r="AG693" s="600"/>
      <c r="AH693" s="600"/>
      <c r="AI693" s="600"/>
      <c r="AJ693" s="600"/>
      <c r="AK693" s="600"/>
      <c r="AL693" s="600"/>
      <c r="AM693" s="600"/>
      <c r="AN693" s="482"/>
      <c r="AO693" s="600"/>
      <c r="AP693" s="600"/>
      <c r="AQ693" s="600"/>
      <c r="AR693" s="600"/>
      <c r="AS693" s="600"/>
      <c r="AT693" s="600"/>
      <c r="AU693" s="600"/>
      <c r="AV693" s="600"/>
      <c r="AW693" s="482"/>
      <c r="AX693" s="482"/>
      <c r="AY693" s="482"/>
      <c r="AZ693" s="482"/>
      <c r="BA693" s="343"/>
      <c r="BB693" s="343"/>
      <c r="BC693" s="343"/>
      <c r="BD693" s="343"/>
      <c r="BE693" s="343"/>
      <c r="BF693" s="343"/>
      <c r="BG693" s="343"/>
      <c r="BH693" s="343"/>
      <c r="BI693" s="343"/>
      <c r="BJ693" s="343"/>
      <c r="BK693" s="343"/>
      <c r="BL693" s="343"/>
      <c r="BM693" s="343"/>
      <c r="BN693" s="343"/>
      <c r="BO693" s="343"/>
      <c r="BP693" s="343"/>
      <c r="BQ693" s="343"/>
      <c r="BR693" s="343"/>
      <c r="BS693" s="343"/>
      <c r="BT693" s="343"/>
      <c r="BU693" s="343"/>
      <c r="BV693" s="343"/>
      <c r="BW693" s="343"/>
      <c r="BX693" s="343"/>
    </row>
    <row r="694" spans="1:76" s="25" customFormat="1">
      <c r="A694" s="343"/>
      <c r="B694" s="343"/>
      <c r="C694" s="64"/>
      <c r="D694" s="64"/>
      <c r="E694" s="39"/>
      <c r="F694" s="39"/>
      <c r="G694" s="39"/>
      <c r="H694" s="39"/>
      <c r="I694" s="39"/>
      <c r="J694" s="39"/>
      <c r="K694" s="39"/>
      <c r="L694" s="39"/>
      <c r="M694" s="660"/>
      <c r="N694" s="343"/>
      <c r="O694" s="343"/>
      <c r="P694" s="343"/>
      <c r="Q694" s="343"/>
      <c r="R694" s="600"/>
      <c r="S694" s="600"/>
      <c r="T694" s="600"/>
      <c r="U694" s="600"/>
      <c r="V694" s="600"/>
      <c r="W694" s="600"/>
      <c r="X694" s="600"/>
      <c r="Y694" s="600"/>
      <c r="Z694" s="600"/>
      <c r="AA694" s="482"/>
      <c r="AB694" s="482"/>
      <c r="AC694" s="482"/>
      <c r="AD694" s="600">
        <v>683</v>
      </c>
      <c r="AE694" s="482"/>
      <c r="AF694" s="600"/>
      <c r="AG694" s="600"/>
      <c r="AH694" s="600"/>
      <c r="AI694" s="600"/>
      <c r="AJ694" s="600"/>
      <c r="AK694" s="600"/>
      <c r="AL694" s="600"/>
      <c r="AM694" s="600"/>
      <c r="AN694" s="482"/>
      <c r="AO694" s="600"/>
      <c r="AP694" s="600"/>
      <c r="AQ694" s="600"/>
      <c r="AR694" s="600"/>
      <c r="AS694" s="600"/>
      <c r="AT694" s="600"/>
      <c r="AU694" s="600"/>
      <c r="AV694" s="600"/>
      <c r="AW694" s="482"/>
      <c r="AX694" s="482"/>
      <c r="AY694" s="482"/>
      <c r="AZ694" s="482"/>
      <c r="BA694" s="343"/>
      <c r="BB694" s="343"/>
      <c r="BC694" s="343"/>
      <c r="BD694" s="343"/>
      <c r="BE694" s="343"/>
      <c r="BF694" s="343"/>
      <c r="BG694" s="343"/>
      <c r="BH694" s="343"/>
      <c r="BI694" s="343"/>
      <c r="BJ694" s="343"/>
      <c r="BK694" s="343"/>
      <c r="BL694" s="343"/>
      <c r="BM694" s="343"/>
      <c r="BN694" s="343"/>
      <c r="BO694" s="343"/>
      <c r="BP694" s="343"/>
      <c r="BQ694" s="343"/>
      <c r="BR694" s="343"/>
      <c r="BS694" s="343"/>
      <c r="BT694" s="343"/>
      <c r="BU694" s="343"/>
      <c r="BV694" s="343"/>
      <c r="BW694" s="343"/>
      <c r="BX694" s="343"/>
    </row>
    <row r="695" spans="1:76" s="25" customFormat="1">
      <c r="A695" s="343"/>
      <c r="B695" s="343"/>
      <c r="C695" s="64"/>
      <c r="D695" s="64"/>
      <c r="E695" s="39"/>
      <c r="F695" s="39"/>
      <c r="G695" s="39"/>
      <c r="H695" s="39"/>
      <c r="I695" s="39"/>
      <c r="J695" s="39"/>
      <c r="K695" s="39"/>
      <c r="L695" s="39"/>
      <c r="M695" s="660"/>
      <c r="N695" s="343"/>
      <c r="O695" s="343"/>
      <c r="P695" s="343"/>
      <c r="Q695" s="343"/>
      <c r="R695" s="600"/>
      <c r="S695" s="600"/>
      <c r="T695" s="600"/>
      <c r="U695" s="600"/>
      <c r="V695" s="600"/>
      <c r="W695" s="600"/>
      <c r="X695" s="600"/>
      <c r="Y695" s="600"/>
      <c r="Z695" s="600"/>
      <c r="AA695" s="482"/>
      <c r="AB695" s="482"/>
      <c r="AC695" s="482"/>
      <c r="AD695" s="600">
        <v>684</v>
      </c>
      <c r="AE695" s="482"/>
      <c r="AF695" s="600"/>
      <c r="AG695" s="600"/>
      <c r="AH695" s="600"/>
      <c r="AI695" s="600"/>
      <c r="AJ695" s="600"/>
      <c r="AK695" s="600"/>
      <c r="AL695" s="600"/>
      <c r="AM695" s="600"/>
      <c r="AN695" s="482"/>
      <c r="AO695" s="600"/>
      <c r="AP695" s="600"/>
      <c r="AQ695" s="600"/>
      <c r="AR695" s="600"/>
      <c r="AS695" s="600"/>
      <c r="AT695" s="600"/>
      <c r="AU695" s="600"/>
      <c r="AV695" s="600"/>
      <c r="AW695" s="482"/>
      <c r="AX695" s="482"/>
      <c r="AY695" s="482"/>
      <c r="AZ695" s="482"/>
      <c r="BA695" s="343"/>
      <c r="BB695" s="343"/>
      <c r="BC695" s="343"/>
      <c r="BD695" s="343"/>
      <c r="BE695" s="343"/>
      <c r="BF695" s="343"/>
      <c r="BG695" s="343"/>
      <c r="BH695" s="343"/>
      <c r="BI695" s="343"/>
      <c r="BJ695" s="343"/>
      <c r="BK695" s="343"/>
      <c r="BL695" s="343"/>
      <c r="BM695" s="343"/>
      <c r="BN695" s="343"/>
      <c r="BO695" s="343"/>
      <c r="BP695" s="343"/>
      <c r="BQ695" s="343"/>
      <c r="BR695" s="343"/>
      <c r="BS695" s="343"/>
      <c r="BT695" s="343"/>
      <c r="BU695" s="343"/>
      <c r="BV695" s="343"/>
      <c r="BW695" s="343"/>
      <c r="BX695" s="343"/>
    </row>
    <row r="696" spans="1:76" s="25" customFormat="1">
      <c r="A696" s="343"/>
      <c r="B696" s="343"/>
      <c r="C696" s="64"/>
      <c r="D696" s="64"/>
      <c r="E696" s="39"/>
      <c r="F696" s="39"/>
      <c r="G696" s="39"/>
      <c r="H696" s="39"/>
      <c r="I696" s="39"/>
      <c r="J696" s="39"/>
      <c r="K696" s="39"/>
      <c r="L696" s="39"/>
      <c r="M696" s="660"/>
      <c r="N696" s="343"/>
      <c r="O696" s="343"/>
      <c r="P696" s="343"/>
      <c r="Q696" s="343"/>
      <c r="R696" s="600"/>
      <c r="S696" s="600"/>
      <c r="T696" s="600"/>
      <c r="U696" s="600"/>
      <c r="V696" s="600"/>
      <c r="W696" s="600"/>
      <c r="X696" s="600"/>
      <c r="Y696" s="600"/>
      <c r="Z696" s="600"/>
      <c r="AA696" s="482"/>
      <c r="AB696" s="482"/>
      <c r="AC696" s="482"/>
      <c r="AD696" s="600">
        <v>685</v>
      </c>
      <c r="AE696" s="482"/>
      <c r="AF696" s="600"/>
      <c r="AG696" s="600"/>
      <c r="AH696" s="600"/>
      <c r="AI696" s="600"/>
      <c r="AJ696" s="600"/>
      <c r="AK696" s="600"/>
      <c r="AL696" s="600"/>
      <c r="AM696" s="600"/>
      <c r="AN696" s="482"/>
      <c r="AO696" s="600"/>
      <c r="AP696" s="600"/>
      <c r="AQ696" s="600"/>
      <c r="AR696" s="600"/>
      <c r="AS696" s="600"/>
      <c r="AT696" s="600"/>
      <c r="AU696" s="600"/>
      <c r="AV696" s="600"/>
      <c r="AW696" s="482"/>
      <c r="AX696" s="482"/>
      <c r="AY696" s="482"/>
      <c r="AZ696" s="482"/>
      <c r="BA696" s="343"/>
      <c r="BB696" s="343"/>
      <c r="BC696" s="343"/>
      <c r="BD696" s="343"/>
      <c r="BE696" s="343"/>
      <c r="BF696" s="343"/>
      <c r="BG696" s="343"/>
      <c r="BH696" s="343"/>
      <c r="BI696" s="343"/>
      <c r="BJ696" s="343"/>
      <c r="BK696" s="343"/>
      <c r="BL696" s="343"/>
      <c r="BM696" s="343"/>
      <c r="BN696" s="343"/>
      <c r="BO696" s="343"/>
      <c r="BP696" s="343"/>
      <c r="BQ696" s="343"/>
      <c r="BR696" s="343"/>
      <c r="BS696" s="343"/>
      <c r="BT696" s="343"/>
      <c r="BU696" s="343"/>
      <c r="BV696" s="343"/>
      <c r="BW696" s="343"/>
      <c r="BX696" s="343"/>
    </row>
    <row r="697" spans="1:76" s="25" customFormat="1">
      <c r="A697" s="343"/>
      <c r="B697" s="343"/>
      <c r="C697" s="64"/>
      <c r="D697" s="64"/>
      <c r="E697" s="39"/>
      <c r="F697" s="39"/>
      <c r="G697" s="39"/>
      <c r="H697" s="39"/>
      <c r="I697" s="39"/>
      <c r="J697" s="39"/>
      <c r="K697" s="39"/>
      <c r="L697" s="39"/>
      <c r="M697" s="660"/>
      <c r="N697" s="343"/>
      <c r="O697" s="343"/>
      <c r="P697" s="343"/>
      <c r="Q697" s="343"/>
      <c r="R697" s="600"/>
      <c r="S697" s="600"/>
      <c r="T697" s="600"/>
      <c r="U697" s="600"/>
      <c r="V697" s="600"/>
      <c r="W697" s="600"/>
      <c r="X697" s="600"/>
      <c r="Y697" s="600"/>
      <c r="Z697" s="600"/>
      <c r="AA697" s="482"/>
      <c r="AB697" s="482"/>
      <c r="AC697" s="482"/>
      <c r="AD697" s="600">
        <v>686</v>
      </c>
      <c r="AE697" s="482"/>
      <c r="AF697" s="600"/>
      <c r="AG697" s="600"/>
      <c r="AH697" s="600"/>
      <c r="AI697" s="600"/>
      <c r="AJ697" s="600"/>
      <c r="AK697" s="600"/>
      <c r="AL697" s="600"/>
      <c r="AM697" s="600"/>
      <c r="AN697" s="482"/>
      <c r="AO697" s="600"/>
      <c r="AP697" s="600"/>
      <c r="AQ697" s="600"/>
      <c r="AR697" s="600"/>
      <c r="AS697" s="600"/>
      <c r="AT697" s="600"/>
      <c r="AU697" s="600"/>
      <c r="AV697" s="600"/>
      <c r="AW697" s="482"/>
      <c r="AX697" s="482"/>
      <c r="AY697" s="482"/>
      <c r="AZ697" s="482"/>
      <c r="BA697" s="343"/>
      <c r="BB697" s="343"/>
      <c r="BC697" s="343"/>
      <c r="BD697" s="343"/>
      <c r="BE697" s="343"/>
      <c r="BF697" s="343"/>
      <c r="BG697" s="343"/>
      <c r="BH697" s="343"/>
      <c r="BI697" s="343"/>
      <c r="BJ697" s="343"/>
      <c r="BK697" s="343"/>
      <c r="BL697" s="343"/>
      <c r="BM697" s="343"/>
      <c r="BN697" s="343"/>
      <c r="BO697" s="343"/>
      <c r="BP697" s="343"/>
      <c r="BQ697" s="343"/>
      <c r="BR697" s="343"/>
      <c r="BS697" s="343"/>
      <c r="BT697" s="343"/>
      <c r="BU697" s="343"/>
      <c r="BV697" s="343"/>
      <c r="BW697" s="343"/>
      <c r="BX697" s="343"/>
    </row>
    <row r="698" spans="1:76" s="25" customFormat="1">
      <c r="A698" s="343"/>
      <c r="B698" s="343"/>
      <c r="C698" s="64"/>
      <c r="D698" s="64"/>
      <c r="E698" s="39"/>
      <c r="F698" s="39"/>
      <c r="G698" s="39"/>
      <c r="H698" s="39"/>
      <c r="I698" s="39"/>
      <c r="J698" s="39"/>
      <c r="K698" s="39"/>
      <c r="L698" s="39"/>
      <c r="M698" s="660"/>
      <c r="N698" s="343"/>
      <c r="O698" s="343"/>
      <c r="P698" s="343"/>
      <c r="Q698" s="343"/>
      <c r="R698" s="600"/>
      <c r="S698" s="600"/>
      <c r="T698" s="600"/>
      <c r="U698" s="600"/>
      <c r="V698" s="600"/>
      <c r="W698" s="600"/>
      <c r="X698" s="600"/>
      <c r="Y698" s="600"/>
      <c r="Z698" s="600"/>
      <c r="AA698" s="482"/>
      <c r="AB698" s="482"/>
      <c r="AC698" s="482"/>
      <c r="AD698" s="600">
        <v>687</v>
      </c>
      <c r="AE698" s="482"/>
      <c r="AF698" s="600"/>
      <c r="AG698" s="600"/>
      <c r="AH698" s="600"/>
      <c r="AI698" s="600"/>
      <c r="AJ698" s="600"/>
      <c r="AK698" s="600"/>
      <c r="AL698" s="600"/>
      <c r="AM698" s="600"/>
      <c r="AN698" s="482"/>
      <c r="AO698" s="600"/>
      <c r="AP698" s="600"/>
      <c r="AQ698" s="600"/>
      <c r="AR698" s="600"/>
      <c r="AS698" s="600"/>
      <c r="AT698" s="600"/>
      <c r="AU698" s="600"/>
      <c r="AV698" s="600"/>
      <c r="AW698" s="482"/>
      <c r="AX698" s="482"/>
      <c r="AY698" s="482"/>
      <c r="AZ698" s="482"/>
      <c r="BA698" s="343"/>
      <c r="BB698" s="343"/>
      <c r="BC698" s="343"/>
      <c r="BD698" s="343"/>
      <c r="BE698" s="343"/>
      <c r="BF698" s="343"/>
      <c r="BG698" s="343"/>
      <c r="BH698" s="343"/>
      <c r="BI698" s="343"/>
      <c r="BJ698" s="343"/>
      <c r="BK698" s="343"/>
      <c r="BL698" s="343"/>
      <c r="BM698" s="343"/>
      <c r="BN698" s="343"/>
      <c r="BO698" s="343"/>
      <c r="BP698" s="343"/>
      <c r="BQ698" s="343"/>
      <c r="BR698" s="343"/>
      <c r="BS698" s="343"/>
      <c r="BT698" s="343"/>
      <c r="BU698" s="343"/>
      <c r="BV698" s="343"/>
      <c r="BW698" s="343"/>
      <c r="BX698" s="343"/>
    </row>
    <row r="699" spans="1:76" s="25" customFormat="1">
      <c r="A699" s="343"/>
      <c r="B699" s="343"/>
      <c r="C699" s="64"/>
      <c r="D699" s="64"/>
      <c r="E699" s="39"/>
      <c r="F699" s="39"/>
      <c r="G699" s="39"/>
      <c r="H699" s="39"/>
      <c r="I699" s="39"/>
      <c r="J699" s="39"/>
      <c r="K699" s="39"/>
      <c r="L699" s="39"/>
      <c r="M699" s="660"/>
      <c r="N699" s="343"/>
      <c r="O699" s="343"/>
      <c r="P699" s="343"/>
      <c r="Q699" s="343"/>
      <c r="R699" s="600"/>
      <c r="S699" s="600"/>
      <c r="T699" s="600"/>
      <c r="U699" s="600"/>
      <c r="V699" s="600"/>
      <c r="W699" s="600"/>
      <c r="X699" s="600"/>
      <c r="Y699" s="600"/>
      <c r="Z699" s="600"/>
      <c r="AA699" s="482"/>
      <c r="AB699" s="482"/>
      <c r="AC699" s="482"/>
      <c r="AD699" s="600">
        <v>688</v>
      </c>
      <c r="AE699" s="482"/>
      <c r="AF699" s="600"/>
      <c r="AG699" s="600"/>
      <c r="AH699" s="600"/>
      <c r="AI699" s="600"/>
      <c r="AJ699" s="600"/>
      <c r="AK699" s="600"/>
      <c r="AL699" s="600"/>
      <c r="AM699" s="600"/>
      <c r="AN699" s="482"/>
      <c r="AO699" s="600"/>
      <c r="AP699" s="600"/>
      <c r="AQ699" s="600"/>
      <c r="AR699" s="600"/>
      <c r="AS699" s="600"/>
      <c r="AT699" s="600"/>
      <c r="AU699" s="600"/>
      <c r="AV699" s="600"/>
      <c r="AW699" s="482"/>
      <c r="AX699" s="482"/>
      <c r="AY699" s="482"/>
      <c r="AZ699" s="482"/>
      <c r="BA699" s="343"/>
      <c r="BB699" s="343"/>
      <c r="BC699" s="343"/>
      <c r="BD699" s="343"/>
      <c r="BE699" s="343"/>
      <c r="BF699" s="343"/>
      <c r="BG699" s="343"/>
      <c r="BH699" s="343"/>
      <c r="BI699" s="343"/>
      <c r="BJ699" s="343"/>
      <c r="BK699" s="343"/>
      <c r="BL699" s="343"/>
      <c r="BM699" s="343"/>
      <c r="BN699" s="343"/>
      <c r="BO699" s="343"/>
      <c r="BP699" s="343"/>
      <c r="BQ699" s="343"/>
      <c r="BR699" s="343"/>
      <c r="BS699" s="343"/>
      <c r="BT699" s="343"/>
      <c r="BU699" s="343"/>
      <c r="BV699" s="343"/>
      <c r="BW699" s="343"/>
      <c r="BX699" s="343"/>
    </row>
    <row r="700" spans="1:76" s="25" customFormat="1">
      <c r="A700" s="343"/>
      <c r="B700" s="343"/>
      <c r="C700" s="64"/>
      <c r="D700" s="64"/>
      <c r="E700" s="39"/>
      <c r="F700" s="39"/>
      <c r="G700" s="39"/>
      <c r="H700" s="39"/>
      <c r="I700" s="39"/>
      <c r="J700" s="39"/>
      <c r="K700" s="39"/>
      <c r="L700" s="39"/>
      <c r="M700" s="660"/>
      <c r="N700" s="343"/>
      <c r="O700" s="343"/>
      <c r="P700" s="343"/>
      <c r="Q700" s="343"/>
      <c r="R700" s="600"/>
      <c r="S700" s="600"/>
      <c r="T700" s="600"/>
      <c r="U700" s="600"/>
      <c r="V700" s="600"/>
      <c r="W700" s="600"/>
      <c r="X700" s="600"/>
      <c r="Y700" s="600"/>
      <c r="Z700" s="600"/>
      <c r="AA700" s="482"/>
      <c r="AB700" s="482"/>
      <c r="AC700" s="482"/>
      <c r="AD700" s="600">
        <v>689</v>
      </c>
      <c r="AE700" s="482"/>
      <c r="AF700" s="600"/>
      <c r="AG700" s="600"/>
      <c r="AH700" s="600"/>
      <c r="AI700" s="600"/>
      <c r="AJ700" s="600"/>
      <c r="AK700" s="600"/>
      <c r="AL700" s="600"/>
      <c r="AM700" s="600"/>
      <c r="AN700" s="482"/>
      <c r="AO700" s="600"/>
      <c r="AP700" s="600"/>
      <c r="AQ700" s="600"/>
      <c r="AR700" s="600"/>
      <c r="AS700" s="600"/>
      <c r="AT700" s="600"/>
      <c r="AU700" s="600"/>
      <c r="AV700" s="600"/>
      <c r="AW700" s="482"/>
      <c r="AX700" s="482"/>
      <c r="AY700" s="482"/>
      <c r="AZ700" s="482"/>
      <c r="BA700" s="343"/>
      <c r="BB700" s="343"/>
      <c r="BC700" s="343"/>
      <c r="BD700" s="343"/>
      <c r="BE700" s="343"/>
      <c r="BF700" s="343"/>
      <c r="BG700" s="343"/>
      <c r="BH700" s="343"/>
      <c r="BI700" s="343"/>
      <c r="BJ700" s="343"/>
      <c r="BK700" s="343"/>
      <c r="BL700" s="343"/>
      <c r="BM700" s="343"/>
      <c r="BN700" s="343"/>
      <c r="BO700" s="343"/>
      <c r="BP700" s="343"/>
      <c r="BQ700" s="343"/>
      <c r="BR700" s="343"/>
      <c r="BS700" s="343"/>
      <c r="BT700" s="343"/>
      <c r="BU700" s="343"/>
      <c r="BV700" s="343"/>
      <c r="BW700" s="343"/>
      <c r="BX700" s="343"/>
    </row>
    <row r="701" spans="1:76" s="25" customFormat="1">
      <c r="A701" s="343"/>
      <c r="B701" s="343"/>
      <c r="C701" s="64"/>
      <c r="D701" s="64"/>
      <c r="E701" s="39"/>
      <c r="F701" s="39"/>
      <c r="G701" s="39"/>
      <c r="H701" s="39"/>
      <c r="I701" s="39"/>
      <c r="J701" s="39"/>
      <c r="K701" s="39"/>
      <c r="L701" s="39"/>
      <c r="M701" s="660"/>
      <c r="N701" s="343"/>
      <c r="O701" s="343"/>
      <c r="P701" s="343"/>
      <c r="Q701" s="343"/>
      <c r="R701" s="600"/>
      <c r="S701" s="600"/>
      <c r="T701" s="600"/>
      <c r="U701" s="600"/>
      <c r="V701" s="600"/>
      <c r="W701" s="600"/>
      <c r="X701" s="600"/>
      <c r="Y701" s="600"/>
      <c r="Z701" s="600"/>
      <c r="AA701" s="482"/>
      <c r="AB701" s="482"/>
      <c r="AC701" s="482"/>
      <c r="AD701" s="600">
        <v>690</v>
      </c>
      <c r="AE701" s="482"/>
      <c r="AF701" s="600"/>
      <c r="AG701" s="600"/>
      <c r="AH701" s="600"/>
      <c r="AI701" s="600"/>
      <c r="AJ701" s="600"/>
      <c r="AK701" s="600"/>
      <c r="AL701" s="600"/>
      <c r="AM701" s="600"/>
      <c r="AN701" s="482"/>
      <c r="AO701" s="600"/>
      <c r="AP701" s="600"/>
      <c r="AQ701" s="600"/>
      <c r="AR701" s="600"/>
      <c r="AS701" s="600"/>
      <c r="AT701" s="600"/>
      <c r="AU701" s="600"/>
      <c r="AV701" s="600"/>
      <c r="AW701" s="482"/>
      <c r="AX701" s="482"/>
      <c r="AY701" s="482"/>
      <c r="AZ701" s="482"/>
      <c r="BA701" s="343"/>
      <c r="BB701" s="343"/>
      <c r="BC701" s="343"/>
      <c r="BD701" s="343"/>
      <c r="BE701" s="343"/>
      <c r="BF701" s="343"/>
      <c r="BG701" s="343"/>
      <c r="BH701" s="343"/>
      <c r="BI701" s="343"/>
      <c r="BJ701" s="343"/>
      <c r="BK701" s="343"/>
      <c r="BL701" s="343"/>
      <c r="BM701" s="343"/>
      <c r="BN701" s="343"/>
      <c r="BO701" s="343"/>
      <c r="BP701" s="343"/>
      <c r="BQ701" s="343"/>
      <c r="BR701" s="343"/>
      <c r="BS701" s="343"/>
      <c r="BT701" s="343"/>
      <c r="BU701" s="343"/>
      <c r="BV701" s="343"/>
      <c r="BW701" s="343"/>
      <c r="BX701" s="343"/>
    </row>
    <row r="702" spans="1:76" s="25" customFormat="1">
      <c r="A702" s="343"/>
      <c r="B702" s="343"/>
      <c r="C702" s="64"/>
      <c r="D702" s="64"/>
      <c r="E702" s="39"/>
      <c r="F702" s="39"/>
      <c r="G702" s="39"/>
      <c r="H702" s="39"/>
      <c r="I702" s="39"/>
      <c r="J702" s="39"/>
      <c r="K702" s="39"/>
      <c r="L702" s="39"/>
      <c r="M702" s="660"/>
      <c r="N702" s="343"/>
      <c r="O702" s="343"/>
      <c r="P702" s="343"/>
      <c r="Q702" s="343"/>
      <c r="R702" s="600"/>
      <c r="S702" s="600"/>
      <c r="T702" s="600"/>
      <c r="U702" s="600"/>
      <c r="V702" s="600"/>
      <c r="W702" s="600"/>
      <c r="X702" s="600"/>
      <c r="Y702" s="600"/>
      <c r="Z702" s="600"/>
      <c r="AA702" s="482"/>
      <c r="AB702" s="482"/>
      <c r="AC702" s="482"/>
      <c r="AD702" s="600">
        <v>691</v>
      </c>
      <c r="AE702" s="482"/>
      <c r="AF702" s="600"/>
      <c r="AG702" s="600"/>
      <c r="AH702" s="600"/>
      <c r="AI702" s="600"/>
      <c r="AJ702" s="600"/>
      <c r="AK702" s="600"/>
      <c r="AL702" s="600"/>
      <c r="AM702" s="600"/>
      <c r="AN702" s="482"/>
      <c r="AO702" s="600"/>
      <c r="AP702" s="600"/>
      <c r="AQ702" s="600"/>
      <c r="AR702" s="600"/>
      <c r="AS702" s="600"/>
      <c r="AT702" s="600"/>
      <c r="AU702" s="600"/>
      <c r="AV702" s="600"/>
      <c r="AW702" s="482"/>
      <c r="AX702" s="482"/>
      <c r="AY702" s="482"/>
      <c r="AZ702" s="482"/>
      <c r="BA702" s="343"/>
      <c r="BB702" s="343"/>
      <c r="BC702" s="343"/>
      <c r="BD702" s="343"/>
      <c r="BE702" s="343"/>
      <c r="BF702" s="343"/>
      <c r="BG702" s="343"/>
      <c r="BH702" s="343"/>
      <c r="BI702" s="343"/>
      <c r="BJ702" s="343"/>
      <c r="BK702" s="343"/>
      <c r="BL702" s="343"/>
      <c r="BM702" s="343"/>
      <c r="BN702" s="343"/>
      <c r="BO702" s="343"/>
      <c r="BP702" s="343"/>
      <c r="BQ702" s="343"/>
      <c r="BR702" s="343"/>
      <c r="BS702" s="343"/>
      <c r="BT702" s="343"/>
      <c r="BU702" s="343"/>
      <c r="BV702" s="343"/>
      <c r="BW702" s="343"/>
      <c r="BX702" s="343"/>
    </row>
    <row r="703" spans="1:76" s="25" customFormat="1">
      <c r="A703" s="343"/>
      <c r="B703" s="343"/>
      <c r="C703" s="64"/>
      <c r="D703" s="64"/>
      <c r="E703" s="39"/>
      <c r="F703" s="39"/>
      <c r="G703" s="39"/>
      <c r="H703" s="39"/>
      <c r="I703" s="39"/>
      <c r="J703" s="39"/>
      <c r="K703" s="39"/>
      <c r="L703" s="39"/>
      <c r="M703" s="660"/>
      <c r="N703" s="343"/>
      <c r="O703" s="343"/>
      <c r="P703" s="343"/>
      <c r="Q703" s="343"/>
      <c r="R703" s="600"/>
      <c r="S703" s="600"/>
      <c r="T703" s="600"/>
      <c r="U703" s="600"/>
      <c r="V703" s="600"/>
      <c r="W703" s="600"/>
      <c r="X703" s="600"/>
      <c r="Y703" s="600"/>
      <c r="Z703" s="600"/>
      <c r="AA703" s="482"/>
      <c r="AB703" s="482"/>
      <c r="AC703" s="482"/>
      <c r="AD703" s="600">
        <v>692</v>
      </c>
      <c r="AE703" s="482"/>
      <c r="AF703" s="600"/>
      <c r="AG703" s="600"/>
      <c r="AH703" s="600"/>
      <c r="AI703" s="600"/>
      <c r="AJ703" s="600"/>
      <c r="AK703" s="600"/>
      <c r="AL703" s="600"/>
      <c r="AM703" s="600"/>
      <c r="AN703" s="482"/>
      <c r="AO703" s="600"/>
      <c r="AP703" s="600"/>
      <c r="AQ703" s="600"/>
      <c r="AR703" s="600"/>
      <c r="AS703" s="600"/>
      <c r="AT703" s="600"/>
      <c r="AU703" s="600"/>
      <c r="AV703" s="600"/>
      <c r="AW703" s="482"/>
      <c r="AX703" s="482"/>
      <c r="AY703" s="482"/>
      <c r="AZ703" s="482"/>
      <c r="BA703" s="343"/>
      <c r="BB703" s="343"/>
      <c r="BC703" s="343"/>
      <c r="BD703" s="343"/>
      <c r="BE703" s="343"/>
      <c r="BF703" s="343"/>
      <c r="BG703" s="343"/>
      <c r="BH703" s="343"/>
      <c r="BI703" s="343"/>
      <c r="BJ703" s="343"/>
      <c r="BK703" s="343"/>
      <c r="BL703" s="343"/>
      <c r="BM703" s="343"/>
      <c r="BN703" s="343"/>
      <c r="BO703" s="343"/>
      <c r="BP703" s="343"/>
      <c r="BQ703" s="343"/>
      <c r="BR703" s="343"/>
      <c r="BS703" s="343"/>
      <c r="BT703" s="343"/>
      <c r="BU703" s="343"/>
      <c r="BV703" s="343"/>
      <c r="BW703" s="343"/>
      <c r="BX703" s="343"/>
    </row>
    <row r="704" spans="1:76" s="25" customFormat="1">
      <c r="A704" s="343"/>
      <c r="B704" s="343"/>
      <c r="C704" s="64"/>
      <c r="D704" s="64"/>
      <c r="E704" s="39"/>
      <c r="F704" s="39"/>
      <c r="G704" s="39"/>
      <c r="H704" s="39"/>
      <c r="I704" s="39"/>
      <c r="J704" s="39"/>
      <c r="K704" s="39"/>
      <c r="L704" s="39"/>
      <c r="M704" s="660"/>
      <c r="N704" s="343"/>
      <c r="O704" s="343"/>
      <c r="P704" s="343"/>
      <c r="Q704" s="343"/>
      <c r="R704" s="600"/>
      <c r="S704" s="600"/>
      <c r="T704" s="600"/>
      <c r="U704" s="600"/>
      <c r="V704" s="600"/>
      <c r="W704" s="600"/>
      <c r="X704" s="600"/>
      <c r="Y704" s="600"/>
      <c r="Z704" s="600"/>
      <c r="AA704" s="482"/>
      <c r="AB704" s="482"/>
      <c r="AC704" s="482"/>
      <c r="AD704" s="600">
        <v>693</v>
      </c>
      <c r="AE704" s="482"/>
      <c r="AF704" s="600"/>
      <c r="AG704" s="600"/>
      <c r="AH704" s="600"/>
      <c r="AI704" s="600"/>
      <c r="AJ704" s="600"/>
      <c r="AK704" s="600"/>
      <c r="AL704" s="600"/>
      <c r="AM704" s="600"/>
      <c r="AN704" s="482"/>
      <c r="AO704" s="600"/>
      <c r="AP704" s="600"/>
      <c r="AQ704" s="600"/>
      <c r="AR704" s="600"/>
      <c r="AS704" s="600"/>
      <c r="AT704" s="600"/>
      <c r="AU704" s="600"/>
      <c r="AV704" s="600"/>
      <c r="AW704" s="482"/>
      <c r="AX704" s="482"/>
      <c r="AY704" s="482"/>
      <c r="AZ704" s="482"/>
      <c r="BA704" s="343"/>
      <c r="BB704" s="343"/>
      <c r="BC704" s="343"/>
      <c r="BD704" s="343"/>
      <c r="BE704" s="343"/>
      <c r="BF704" s="343"/>
      <c r="BG704" s="343"/>
      <c r="BH704" s="343"/>
      <c r="BI704" s="343"/>
      <c r="BJ704" s="343"/>
      <c r="BK704" s="343"/>
      <c r="BL704" s="343"/>
      <c r="BM704" s="343"/>
      <c r="BN704" s="343"/>
      <c r="BO704" s="343"/>
      <c r="BP704" s="343"/>
      <c r="BQ704" s="343"/>
      <c r="BR704" s="343"/>
      <c r="BS704" s="343"/>
      <c r="BT704" s="343"/>
      <c r="BU704" s="343"/>
      <c r="BV704" s="343"/>
      <c r="BW704" s="343"/>
      <c r="BX704" s="343"/>
    </row>
    <row r="705" spans="1:76" s="25" customFormat="1">
      <c r="A705" s="343"/>
      <c r="B705" s="343"/>
      <c r="C705" s="64"/>
      <c r="D705" s="64"/>
      <c r="E705" s="39"/>
      <c r="F705" s="39"/>
      <c r="G705" s="39"/>
      <c r="H705" s="39"/>
      <c r="I705" s="39"/>
      <c r="J705" s="39"/>
      <c r="K705" s="39"/>
      <c r="L705" s="39"/>
      <c r="M705" s="660"/>
      <c r="N705" s="343"/>
      <c r="O705" s="343"/>
      <c r="P705" s="343"/>
      <c r="Q705" s="343"/>
      <c r="R705" s="600"/>
      <c r="S705" s="600"/>
      <c r="T705" s="600"/>
      <c r="U705" s="600"/>
      <c r="V705" s="600"/>
      <c r="W705" s="600"/>
      <c r="X705" s="600"/>
      <c r="Y705" s="600"/>
      <c r="Z705" s="600"/>
      <c r="AA705" s="482"/>
      <c r="AB705" s="482"/>
      <c r="AC705" s="482"/>
      <c r="AD705" s="600">
        <v>694</v>
      </c>
      <c r="AE705" s="482"/>
      <c r="AF705" s="600"/>
      <c r="AG705" s="600"/>
      <c r="AH705" s="600"/>
      <c r="AI705" s="600"/>
      <c r="AJ705" s="600"/>
      <c r="AK705" s="600"/>
      <c r="AL705" s="600"/>
      <c r="AM705" s="600"/>
      <c r="AN705" s="482"/>
      <c r="AO705" s="600"/>
      <c r="AP705" s="600"/>
      <c r="AQ705" s="600"/>
      <c r="AR705" s="600"/>
      <c r="AS705" s="600"/>
      <c r="AT705" s="600"/>
      <c r="AU705" s="600"/>
      <c r="AV705" s="600"/>
      <c r="AW705" s="482"/>
      <c r="AX705" s="482"/>
      <c r="AY705" s="482"/>
      <c r="AZ705" s="482"/>
      <c r="BA705" s="343"/>
      <c r="BB705" s="343"/>
      <c r="BC705" s="343"/>
      <c r="BD705" s="343"/>
      <c r="BE705" s="343"/>
      <c r="BF705" s="343"/>
      <c r="BG705" s="343"/>
      <c r="BH705" s="343"/>
      <c r="BI705" s="343"/>
      <c r="BJ705" s="343"/>
      <c r="BK705" s="343"/>
      <c r="BL705" s="343"/>
      <c r="BM705" s="343"/>
      <c r="BN705" s="343"/>
      <c r="BO705" s="343"/>
      <c r="BP705" s="343"/>
      <c r="BQ705" s="343"/>
      <c r="BR705" s="343"/>
      <c r="BS705" s="343"/>
      <c r="BT705" s="343"/>
      <c r="BU705" s="343"/>
      <c r="BV705" s="343"/>
      <c r="BW705" s="343"/>
      <c r="BX705" s="343"/>
    </row>
    <row r="706" spans="1:76" s="25" customFormat="1">
      <c r="A706" s="343"/>
      <c r="B706" s="343"/>
      <c r="C706" s="64"/>
      <c r="D706" s="64"/>
      <c r="E706" s="39"/>
      <c r="F706" s="39"/>
      <c r="G706" s="39"/>
      <c r="H706" s="39"/>
      <c r="I706" s="39"/>
      <c r="J706" s="39"/>
      <c r="K706" s="39"/>
      <c r="L706" s="39"/>
      <c r="M706" s="660"/>
      <c r="N706" s="343"/>
      <c r="O706" s="343"/>
      <c r="P706" s="343"/>
      <c r="Q706" s="343"/>
      <c r="R706" s="600"/>
      <c r="S706" s="600"/>
      <c r="T706" s="600"/>
      <c r="U706" s="600"/>
      <c r="V706" s="600"/>
      <c r="W706" s="600"/>
      <c r="X706" s="600"/>
      <c r="Y706" s="600"/>
      <c r="Z706" s="600"/>
      <c r="AA706" s="482"/>
      <c r="AB706" s="482"/>
      <c r="AC706" s="482"/>
      <c r="AD706" s="600">
        <v>695</v>
      </c>
      <c r="AE706" s="482"/>
      <c r="AF706" s="600"/>
      <c r="AG706" s="600"/>
      <c r="AH706" s="600"/>
      <c r="AI706" s="600"/>
      <c r="AJ706" s="600"/>
      <c r="AK706" s="600"/>
      <c r="AL706" s="600"/>
      <c r="AM706" s="600"/>
      <c r="AN706" s="482"/>
      <c r="AO706" s="600"/>
      <c r="AP706" s="600"/>
      <c r="AQ706" s="600"/>
      <c r="AR706" s="600"/>
      <c r="AS706" s="600"/>
      <c r="AT706" s="600"/>
      <c r="AU706" s="600"/>
      <c r="AV706" s="600"/>
      <c r="AW706" s="482"/>
      <c r="AX706" s="482"/>
      <c r="AY706" s="482"/>
      <c r="AZ706" s="482"/>
      <c r="BA706" s="343"/>
      <c r="BB706" s="343"/>
      <c r="BC706" s="343"/>
      <c r="BD706" s="343"/>
      <c r="BE706" s="343"/>
      <c r="BF706" s="343"/>
      <c r="BG706" s="343"/>
      <c r="BH706" s="343"/>
      <c r="BI706" s="343"/>
      <c r="BJ706" s="343"/>
      <c r="BK706" s="343"/>
      <c r="BL706" s="343"/>
      <c r="BM706" s="343"/>
      <c r="BN706" s="343"/>
      <c r="BO706" s="343"/>
      <c r="BP706" s="343"/>
      <c r="BQ706" s="343"/>
      <c r="BR706" s="343"/>
      <c r="BS706" s="343"/>
      <c r="BT706" s="343"/>
      <c r="BU706" s="343"/>
      <c r="BV706" s="343"/>
      <c r="BW706" s="343"/>
      <c r="BX706" s="343"/>
    </row>
    <row r="707" spans="1:76" s="25" customFormat="1">
      <c r="A707" s="343"/>
      <c r="B707" s="343"/>
      <c r="C707" s="64"/>
      <c r="D707" s="64"/>
      <c r="E707" s="39"/>
      <c r="F707" s="39"/>
      <c r="G707" s="39"/>
      <c r="H707" s="39"/>
      <c r="I707" s="39"/>
      <c r="J707" s="39"/>
      <c r="K707" s="39"/>
      <c r="L707" s="39"/>
      <c r="M707" s="660"/>
      <c r="N707" s="343"/>
      <c r="O707" s="343"/>
      <c r="P707" s="343"/>
      <c r="Q707" s="343"/>
      <c r="R707" s="600"/>
      <c r="S707" s="600"/>
      <c r="T707" s="600"/>
      <c r="U707" s="600"/>
      <c r="V707" s="600"/>
      <c r="W707" s="600"/>
      <c r="X707" s="600"/>
      <c r="Y707" s="600"/>
      <c r="Z707" s="600"/>
      <c r="AA707" s="482"/>
      <c r="AB707" s="482"/>
      <c r="AC707" s="482"/>
      <c r="AD707" s="600">
        <v>696</v>
      </c>
      <c r="AE707" s="482"/>
      <c r="AF707" s="600"/>
      <c r="AG707" s="600"/>
      <c r="AH707" s="600"/>
      <c r="AI707" s="600"/>
      <c r="AJ707" s="600"/>
      <c r="AK707" s="600"/>
      <c r="AL707" s="600"/>
      <c r="AM707" s="600"/>
      <c r="AN707" s="482"/>
      <c r="AO707" s="600"/>
      <c r="AP707" s="600"/>
      <c r="AQ707" s="600"/>
      <c r="AR707" s="600"/>
      <c r="AS707" s="600"/>
      <c r="AT707" s="600"/>
      <c r="AU707" s="600"/>
      <c r="AV707" s="600"/>
      <c r="AW707" s="482"/>
      <c r="AX707" s="482"/>
      <c r="AY707" s="482"/>
      <c r="AZ707" s="482"/>
      <c r="BA707" s="343"/>
      <c r="BB707" s="343"/>
      <c r="BC707" s="343"/>
      <c r="BD707" s="343"/>
      <c r="BE707" s="343"/>
      <c r="BF707" s="343"/>
      <c r="BG707" s="343"/>
      <c r="BH707" s="343"/>
      <c r="BI707" s="343"/>
      <c r="BJ707" s="343"/>
      <c r="BK707" s="343"/>
      <c r="BL707" s="343"/>
      <c r="BM707" s="343"/>
      <c r="BN707" s="343"/>
      <c r="BO707" s="343"/>
      <c r="BP707" s="343"/>
      <c r="BQ707" s="343"/>
      <c r="BR707" s="343"/>
      <c r="BS707" s="343"/>
      <c r="BT707" s="343"/>
      <c r="BU707" s="343"/>
      <c r="BV707" s="343"/>
      <c r="BW707" s="343"/>
      <c r="BX707" s="343"/>
    </row>
    <row r="708" spans="1:76" s="25" customFormat="1">
      <c r="A708" s="343"/>
      <c r="B708" s="343"/>
      <c r="C708" s="64"/>
      <c r="D708" s="64"/>
      <c r="E708" s="39"/>
      <c r="F708" s="39"/>
      <c r="G708" s="39"/>
      <c r="H708" s="39"/>
      <c r="I708" s="39"/>
      <c r="J708" s="39"/>
      <c r="K708" s="39"/>
      <c r="L708" s="39"/>
      <c r="M708" s="660"/>
      <c r="N708" s="343"/>
      <c r="O708" s="343"/>
      <c r="P708" s="343"/>
      <c r="Q708" s="343"/>
      <c r="R708" s="600"/>
      <c r="S708" s="600"/>
      <c r="T708" s="600"/>
      <c r="U708" s="600"/>
      <c r="V708" s="600"/>
      <c r="W708" s="600"/>
      <c r="X708" s="600"/>
      <c r="Y708" s="600"/>
      <c r="Z708" s="600"/>
      <c r="AA708" s="482"/>
      <c r="AB708" s="482"/>
      <c r="AC708" s="482"/>
      <c r="AD708" s="600">
        <v>697</v>
      </c>
      <c r="AE708" s="482"/>
      <c r="AF708" s="600"/>
      <c r="AG708" s="600"/>
      <c r="AH708" s="600"/>
      <c r="AI708" s="600"/>
      <c r="AJ708" s="600"/>
      <c r="AK708" s="600"/>
      <c r="AL708" s="600"/>
      <c r="AM708" s="600"/>
      <c r="AN708" s="482"/>
      <c r="AO708" s="600"/>
      <c r="AP708" s="600"/>
      <c r="AQ708" s="600"/>
      <c r="AR708" s="600"/>
      <c r="AS708" s="600"/>
      <c r="AT708" s="600"/>
      <c r="AU708" s="600"/>
      <c r="AV708" s="600"/>
      <c r="AW708" s="482"/>
      <c r="AX708" s="482"/>
      <c r="AY708" s="482"/>
      <c r="AZ708" s="482"/>
      <c r="BA708" s="343"/>
      <c r="BB708" s="343"/>
      <c r="BC708" s="343"/>
      <c r="BD708" s="343"/>
      <c r="BE708" s="343"/>
      <c r="BF708" s="343"/>
      <c r="BG708" s="343"/>
      <c r="BH708" s="343"/>
      <c r="BI708" s="343"/>
      <c r="BJ708" s="343"/>
      <c r="BK708" s="343"/>
      <c r="BL708" s="343"/>
      <c r="BM708" s="343"/>
      <c r="BN708" s="343"/>
      <c r="BO708" s="343"/>
      <c r="BP708" s="343"/>
      <c r="BQ708" s="343"/>
      <c r="BR708" s="343"/>
      <c r="BS708" s="343"/>
      <c r="BT708" s="343"/>
      <c r="BU708" s="343"/>
      <c r="BV708" s="343"/>
      <c r="BW708" s="343"/>
      <c r="BX708" s="343"/>
    </row>
    <row r="709" spans="1:76" s="25" customFormat="1">
      <c r="A709" s="343"/>
      <c r="B709" s="343"/>
      <c r="C709" s="64"/>
      <c r="D709" s="64"/>
      <c r="E709" s="39"/>
      <c r="F709" s="39"/>
      <c r="G709" s="39"/>
      <c r="H709" s="39"/>
      <c r="I709" s="39"/>
      <c r="J709" s="39"/>
      <c r="K709" s="39"/>
      <c r="L709" s="39"/>
      <c r="M709" s="660"/>
      <c r="N709" s="343"/>
      <c r="O709" s="343"/>
      <c r="P709" s="343"/>
      <c r="Q709" s="343"/>
      <c r="R709" s="600"/>
      <c r="S709" s="600"/>
      <c r="T709" s="600"/>
      <c r="U709" s="600"/>
      <c r="V709" s="600"/>
      <c r="W709" s="600"/>
      <c r="X709" s="600"/>
      <c r="Y709" s="600"/>
      <c r="Z709" s="600"/>
      <c r="AA709" s="482"/>
      <c r="AB709" s="482"/>
      <c r="AC709" s="482"/>
      <c r="AD709" s="600">
        <v>698</v>
      </c>
      <c r="AE709" s="482"/>
      <c r="AF709" s="600"/>
      <c r="AG709" s="600"/>
      <c r="AH709" s="600"/>
      <c r="AI709" s="600"/>
      <c r="AJ709" s="600"/>
      <c r="AK709" s="600"/>
      <c r="AL709" s="600"/>
      <c r="AM709" s="600"/>
      <c r="AN709" s="482"/>
      <c r="AO709" s="600"/>
      <c r="AP709" s="600"/>
      <c r="AQ709" s="600"/>
      <c r="AR709" s="600"/>
      <c r="AS709" s="600"/>
      <c r="AT709" s="600"/>
      <c r="AU709" s="600"/>
      <c r="AV709" s="600"/>
      <c r="AW709" s="482"/>
      <c r="AX709" s="482"/>
      <c r="AY709" s="482"/>
      <c r="AZ709" s="482"/>
      <c r="BA709" s="343"/>
      <c r="BB709" s="343"/>
      <c r="BC709" s="343"/>
      <c r="BD709" s="343"/>
      <c r="BE709" s="343"/>
      <c r="BF709" s="343"/>
      <c r="BG709" s="343"/>
      <c r="BH709" s="343"/>
      <c r="BI709" s="343"/>
      <c r="BJ709" s="343"/>
      <c r="BK709" s="343"/>
      <c r="BL709" s="343"/>
      <c r="BM709" s="343"/>
      <c r="BN709" s="343"/>
      <c r="BO709" s="343"/>
      <c r="BP709" s="343"/>
      <c r="BQ709" s="343"/>
      <c r="BR709" s="343"/>
      <c r="BS709" s="343"/>
      <c r="BT709" s="343"/>
      <c r="BU709" s="343"/>
      <c r="BV709" s="343"/>
      <c r="BW709" s="343"/>
      <c r="BX709" s="343"/>
    </row>
    <row r="710" spans="1:76" s="25" customFormat="1">
      <c r="A710" s="343"/>
      <c r="B710" s="343"/>
      <c r="C710" s="64"/>
      <c r="D710" s="64"/>
      <c r="E710" s="39"/>
      <c r="F710" s="39"/>
      <c r="G710" s="39"/>
      <c r="H710" s="39"/>
      <c r="I710" s="39"/>
      <c r="J710" s="39"/>
      <c r="K710" s="39"/>
      <c r="L710" s="39"/>
      <c r="M710" s="660"/>
      <c r="N710" s="343"/>
      <c r="O710" s="343"/>
      <c r="P710" s="343"/>
      <c r="Q710" s="343"/>
      <c r="R710" s="600"/>
      <c r="S710" s="600"/>
      <c r="T710" s="600"/>
      <c r="U710" s="600"/>
      <c r="V710" s="600"/>
      <c r="W710" s="600"/>
      <c r="X710" s="600"/>
      <c r="Y710" s="600"/>
      <c r="Z710" s="600"/>
      <c r="AA710" s="482"/>
      <c r="AB710" s="482"/>
      <c r="AC710" s="482"/>
      <c r="AD710" s="600">
        <v>699</v>
      </c>
      <c r="AE710" s="482"/>
      <c r="AF710" s="600"/>
      <c r="AG710" s="600"/>
      <c r="AH710" s="600"/>
      <c r="AI710" s="600"/>
      <c r="AJ710" s="600"/>
      <c r="AK710" s="600"/>
      <c r="AL710" s="600"/>
      <c r="AM710" s="600"/>
      <c r="AN710" s="482"/>
      <c r="AO710" s="600"/>
      <c r="AP710" s="600"/>
      <c r="AQ710" s="600"/>
      <c r="AR710" s="600"/>
      <c r="AS710" s="600"/>
      <c r="AT710" s="600"/>
      <c r="AU710" s="600"/>
      <c r="AV710" s="600"/>
      <c r="AW710" s="482"/>
      <c r="AX710" s="482"/>
      <c r="AY710" s="482"/>
      <c r="AZ710" s="482"/>
      <c r="BA710" s="343"/>
      <c r="BB710" s="343"/>
      <c r="BC710" s="343"/>
      <c r="BD710" s="343"/>
      <c r="BE710" s="343"/>
      <c r="BF710" s="343"/>
      <c r="BG710" s="343"/>
      <c r="BH710" s="343"/>
      <c r="BI710" s="343"/>
      <c r="BJ710" s="343"/>
      <c r="BK710" s="343"/>
      <c r="BL710" s="343"/>
      <c r="BM710" s="343"/>
      <c r="BN710" s="343"/>
      <c r="BO710" s="343"/>
      <c r="BP710" s="343"/>
      <c r="BQ710" s="343"/>
      <c r="BR710" s="343"/>
      <c r="BS710" s="343"/>
      <c r="BT710" s="343"/>
      <c r="BU710" s="343"/>
      <c r="BV710" s="343"/>
      <c r="BW710" s="343"/>
      <c r="BX710" s="343"/>
    </row>
    <row r="711" spans="1:76" s="25" customFormat="1">
      <c r="A711" s="343"/>
      <c r="B711" s="343"/>
      <c r="C711" s="64"/>
      <c r="D711" s="64"/>
      <c r="E711" s="39"/>
      <c r="F711" s="39"/>
      <c r="G711" s="39"/>
      <c r="H711" s="39"/>
      <c r="I711" s="39"/>
      <c r="J711" s="39"/>
      <c r="K711" s="39"/>
      <c r="L711" s="39"/>
      <c r="M711" s="660"/>
      <c r="N711" s="343"/>
      <c r="O711" s="343"/>
      <c r="P711" s="343"/>
      <c r="Q711" s="343"/>
      <c r="R711" s="600"/>
      <c r="S711" s="600"/>
      <c r="T711" s="600"/>
      <c r="U711" s="600"/>
      <c r="V711" s="600"/>
      <c r="W711" s="600"/>
      <c r="X711" s="600"/>
      <c r="Y711" s="600"/>
      <c r="Z711" s="600"/>
      <c r="AA711" s="482"/>
      <c r="AB711" s="482"/>
      <c r="AC711" s="482"/>
      <c r="AD711" s="600">
        <v>700</v>
      </c>
      <c r="AE711" s="482"/>
      <c r="AF711" s="600"/>
      <c r="AG711" s="600"/>
      <c r="AH711" s="600"/>
      <c r="AI711" s="600"/>
      <c r="AJ711" s="600"/>
      <c r="AK711" s="600"/>
      <c r="AL711" s="600"/>
      <c r="AM711" s="600"/>
      <c r="AN711" s="482"/>
      <c r="AO711" s="600"/>
      <c r="AP711" s="600"/>
      <c r="AQ711" s="600"/>
      <c r="AR711" s="600"/>
      <c r="AS711" s="600"/>
      <c r="AT711" s="600"/>
      <c r="AU711" s="600"/>
      <c r="AV711" s="600"/>
      <c r="AW711" s="482"/>
      <c r="AX711" s="482"/>
      <c r="AY711" s="482"/>
      <c r="AZ711" s="482"/>
      <c r="BA711" s="343"/>
      <c r="BB711" s="343"/>
      <c r="BC711" s="343"/>
      <c r="BD711" s="343"/>
      <c r="BE711" s="343"/>
      <c r="BF711" s="343"/>
      <c r="BG711" s="343"/>
      <c r="BH711" s="343"/>
      <c r="BI711" s="343"/>
      <c r="BJ711" s="343"/>
      <c r="BK711" s="343"/>
      <c r="BL711" s="343"/>
      <c r="BM711" s="343"/>
      <c r="BN711" s="343"/>
      <c r="BO711" s="343"/>
      <c r="BP711" s="343"/>
      <c r="BQ711" s="343"/>
      <c r="BR711" s="343"/>
      <c r="BS711" s="343"/>
      <c r="BT711" s="343"/>
      <c r="BU711" s="343"/>
      <c r="BV711" s="343"/>
      <c r="BW711" s="343"/>
      <c r="BX711" s="343"/>
    </row>
    <row r="712" spans="1:76" s="25" customFormat="1">
      <c r="A712" s="343"/>
      <c r="B712" s="343"/>
      <c r="C712" s="64"/>
      <c r="D712" s="64"/>
      <c r="E712" s="39"/>
      <c r="F712" s="39"/>
      <c r="G712" s="39"/>
      <c r="H712" s="39"/>
      <c r="I712" s="39"/>
      <c r="J712" s="39"/>
      <c r="K712" s="39"/>
      <c r="L712" s="39"/>
      <c r="M712" s="660"/>
      <c r="N712" s="343"/>
      <c r="O712" s="343"/>
      <c r="P712" s="343"/>
      <c r="Q712" s="343"/>
      <c r="R712" s="600"/>
      <c r="S712" s="600"/>
      <c r="T712" s="600"/>
      <c r="U712" s="600"/>
      <c r="V712" s="600"/>
      <c r="W712" s="600"/>
      <c r="X712" s="600"/>
      <c r="Y712" s="600"/>
      <c r="Z712" s="600"/>
      <c r="AA712" s="482"/>
      <c r="AB712" s="482"/>
      <c r="AC712" s="482"/>
      <c r="AD712" s="600">
        <v>701</v>
      </c>
      <c r="AE712" s="482"/>
      <c r="AF712" s="600"/>
      <c r="AG712" s="600"/>
      <c r="AH712" s="600"/>
      <c r="AI712" s="600"/>
      <c r="AJ712" s="600"/>
      <c r="AK712" s="600"/>
      <c r="AL712" s="600"/>
      <c r="AM712" s="600"/>
      <c r="AN712" s="482"/>
      <c r="AO712" s="600"/>
      <c r="AP712" s="600"/>
      <c r="AQ712" s="600"/>
      <c r="AR712" s="600"/>
      <c r="AS712" s="600"/>
      <c r="AT712" s="600"/>
      <c r="AU712" s="600"/>
      <c r="AV712" s="600"/>
      <c r="AW712" s="482"/>
      <c r="AX712" s="482"/>
      <c r="AY712" s="482"/>
      <c r="AZ712" s="482"/>
      <c r="BA712" s="343"/>
      <c r="BB712" s="343"/>
      <c r="BC712" s="343"/>
      <c r="BD712" s="343"/>
      <c r="BE712" s="343"/>
      <c r="BF712" s="343"/>
      <c r="BG712" s="343"/>
      <c r="BH712" s="343"/>
      <c r="BI712" s="343"/>
      <c r="BJ712" s="343"/>
      <c r="BK712" s="343"/>
      <c r="BL712" s="343"/>
      <c r="BM712" s="343"/>
      <c r="BN712" s="343"/>
      <c r="BO712" s="343"/>
      <c r="BP712" s="343"/>
      <c r="BQ712" s="343"/>
      <c r="BR712" s="343"/>
      <c r="BS712" s="343"/>
      <c r="BT712" s="343"/>
      <c r="BU712" s="343"/>
      <c r="BV712" s="343"/>
      <c r="BW712" s="343"/>
      <c r="BX712" s="343"/>
    </row>
    <row r="713" spans="1:76" s="25" customFormat="1">
      <c r="A713" s="343"/>
      <c r="B713" s="343"/>
      <c r="C713" s="64"/>
      <c r="D713" s="64"/>
      <c r="E713" s="39"/>
      <c r="F713" s="39"/>
      <c r="G713" s="39"/>
      <c r="H713" s="39"/>
      <c r="I713" s="39"/>
      <c r="J713" s="39"/>
      <c r="K713" s="39"/>
      <c r="L713" s="39"/>
      <c r="M713" s="660"/>
      <c r="N713" s="343"/>
      <c r="O713" s="343"/>
      <c r="P713" s="343"/>
      <c r="Q713" s="343"/>
      <c r="R713" s="600"/>
      <c r="S713" s="600"/>
      <c r="T713" s="600"/>
      <c r="U713" s="600"/>
      <c r="V713" s="600"/>
      <c r="W713" s="600"/>
      <c r="X713" s="600"/>
      <c r="Y713" s="600"/>
      <c r="Z713" s="600"/>
      <c r="AA713" s="482"/>
      <c r="AB713" s="482"/>
      <c r="AC713" s="482"/>
      <c r="AD713" s="600">
        <v>702</v>
      </c>
      <c r="AE713" s="482"/>
      <c r="AF713" s="600"/>
      <c r="AG713" s="600"/>
      <c r="AH713" s="600"/>
      <c r="AI713" s="600"/>
      <c r="AJ713" s="600"/>
      <c r="AK713" s="600"/>
      <c r="AL713" s="600"/>
      <c r="AM713" s="600"/>
      <c r="AN713" s="482"/>
      <c r="AO713" s="600"/>
      <c r="AP713" s="600"/>
      <c r="AQ713" s="600"/>
      <c r="AR713" s="600"/>
      <c r="AS713" s="600"/>
      <c r="AT713" s="600"/>
      <c r="AU713" s="600"/>
      <c r="AV713" s="600"/>
      <c r="AW713" s="482"/>
      <c r="AX713" s="482"/>
      <c r="AY713" s="482"/>
      <c r="AZ713" s="482"/>
      <c r="BA713" s="343"/>
      <c r="BB713" s="343"/>
      <c r="BC713" s="343"/>
      <c r="BD713" s="343"/>
      <c r="BE713" s="343"/>
      <c r="BF713" s="343"/>
      <c r="BG713" s="343"/>
      <c r="BH713" s="343"/>
      <c r="BI713" s="343"/>
      <c r="BJ713" s="343"/>
      <c r="BK713" s="343"/>
      <c r="BL713" s="343"/>
      <c r="BM713" s="343"/>
      <c r="BN713" s="343"/>
      <c r="BO713" s="343"/>
      <c r="BP713" s="343"/>
      <c r="BQ713" s="343"/>
      <c r="BR713" s="343"/>
      <c r="BS713" s="343"/>
      <c r="BT713" s="343"/>
      <c r="BU713" s="343"/>
      <c r="BV713" s="343"/>
      <c r="BW713" s="343"/>
      <c r="BX713" s="343"/>
    </row>
    <row r="714" spans="1:76" s="25" customFormat="1">
      <c r="A714" s="343"/>
      <c r="B714" s="343"/>
      <c r="C714" s="64"/>
      <c r="D714" s="64"/>
      <c r="E714" s="39"/>
      <c r="F714" s="39"/>
      <c r="G714" s="39"/>
      <c r="H714" s="39"/>
      <c r="I714" s="39"/>
      <c r="J714" s="39"/>
      <c r="K714" s="39"/>
      <c r="L714" s="39"/>
      <c r="M714" s="660"/>
      <c r="N714" s="343"/>
      <c r="O714" s="343"/>
      <c r="P714" s="343"/>
      <c r="Q714" s="343"/>
      <c r="R714" s="600"/>
      <c r="S714" s="600"/>
      <c r="T714" s="600"/>
      <c r="U714" s="600"/>
      <c r="V714" s="600"/>
      <c r="W714" s="600"/>
      <c r="X714" s="600"/>
      <c r="Y714" s="600"/>
      <c r="Z714" s="600"/>
      <c r="AA714" s="482"/>
      <c r="AB714" s="482"/>
      <c r="AC714" s="482"/>
      <c r="AD714" s="600">
        <v>703</v>
      </c>
      <c r="AE714" s="482"/>
      <c r="AF714" s="600"/>
      <c r="AG714" s="600"/>
      <c r="AH714" s="600"/>
      <c r="AI714" s="600"/>
      <c r="AJ714" s="600"/>
      <c r="AK714" s="600"/>
      <c r="AL714" s="600"/>
      <c r="AM714" s="600"/>
      <c r="AN714" s="482"/>
      <c r="AO714" s="600"/>
      <c r="AP714" s="600"/>
      <c r="AQ714" s="600"/>
      <c r="AR714" s="600"/>
      <c r="AS714" s="600"/>
      <c r="AT714" s="600"/>
      <c r="AU714" s="600"/>
      <c r="AV714" s="600"/>
      <c r="AW714" s="482"/>
      <c r="AX714" s="482"/>
      <c r="AY714" s="482"/>
      <c r="AZ714" s="482"/>
      <c r="BA714" s="343"/>
      <c r="BB714" s="343"/>
      <c r="BC714" s="343"/>
      <c r="BD714" s="343"/>
      <c r="BE714" s="343"/>
      <c r="BF714" s="343"/>
      <c r="BG714" s="343"/>
      <c r="BH714" s="343"/>
      <c r="BI714" s="343"/>
      <c r="BJ714" s="343"/>
      <c r="BK714" s="343"/>
      <c r="BL714" s="343"/>
      <c r="BM714" s="343"/>
      <c r="BN714" s="343"/>
      <c r="BO714" s="343"/>
      <c r="BP714" s="343"/>
      <c r="BQ714" s="343"/>
      <c r="BR714" s="343"/>
      <c r="BS714" s="343"/>
      <c r="BT714" s="343"/>
      <c r="BU714" s="343"/>
      <c r="BV714" s="343"/>
      <c r="BW714" s="343"/>
      <c r="BX714" s="343"/>
    </row>
    <row r="715" spans="1:76" s="25" customFormat="1">
      <c r="A715" s="343"/>
      <c r="B715" s="343"/>
      <c r="C715" s="64"/>
      <c r="D715" s="64"/>
      <c r="E715" s="39"/>
      <c r="F715" s="39"/>
      <c r="G715" s="39"/>
      <c r="H715" s="39"/>
      <c r="I715" s="39"/>
      <c r="J715" s="39"/>
      <c r="K715" s="39"/>
      <c r="L715" s="39"/>
      <c r="M715" s="660"/>
      <c r="N715" s="343"/>
      <c r="O715" s="343"/>
      <c r="P715" s="343"/>
      <c r="Q715" s="343"/>
      <c r="R715" s="600"/>
      <c r="S715" s="600"/>
      <c r="T715" s="600"/>
      <c r="U715" s="600"/>
      <c r="V715" s="600"/>
      <c r="W715" s="600"/>
      <c r="X715" s="600"/>
      <c r="Y715" s="600"/>
      <c r="Z715" s="600"/>
      <c r="AA715" s="482"/>
      <c r="AB715" s="482"/>
      <c r="AC715" s="482"/>
      <c r="AD715" s="600">
        <v>704</v>
      </c>
      <c r="AE715" s="482"/>
      <c r="AF715" s="600"/>
      <c r="AG715" s="600"/>
      <c r="AH715" s="600"/>
      <c r="AI715" s="600"/>
      <c r="AJ715" s="600"/>
      <c r="AK715" s="600"/>
      <c r="AL715" s="600"/>
      <c r="AM715" s="600"/>
      <c r="AN715" s="482"/>
      <c r="AO715" s="600"/>
      <c r="AP715" s="600"/>
      <c r="AQ715" s="600"/>
      <c r="AR715" s="600"/>
      <c r="AS715" s="600"/>
      <c r="AT715" s="600"/>
      <c r="AU715" s="600"/>
      <c r="AV715" s="600"/>
      <c r="AW715" s="482"/>
      <c r="AX715" s="482"/>
      <c r="AY715" s="482"/>
      <c r="AZ715" s="482"/>
      <c r="BA715" s="343"/>
      <c r="BB715" s="343"/>
      <c r="BC715" s="343"/>
      <c r="BD715" s="343"/>
      <c r="BE715" s="343"/>
      <c r="BF715" s="343"/>
      <c r="BG715" s="343"/>
      <c r="BH715" s="343"/>
      <c r="BI715" s="343"/>
      <c r="BJ715" s="343"/>
      <c r="BK715" s="343"/>
      <c r="BL715" s="343"/>
      <c r="BM715" s="343"/>
      <c r="BN715" s="343"/>
      <c r="BO715" s="343"/>
      <c r="BP715" s="343"/>
      <c r="BQ715" s="343"/>
      <c r="BR715" s="343"/>
      <c r="BS715" s="343"/>
      <c r="BT715" s="343"/>
      <c r="BU715" s="343"/>
      <c r="BV715" s="343"/>
      <c r="BW715" s="343"/>
      <c r="BX715" s="343"/>
    </row>
    <row r="716" spans="1:76" s="25" customFormat="1">
      <c r="A716" s="343"/>
      <c r="B716" s="343"/>
      <c r="C716" s="64"/>
      <c r="D716" s="64"/>
      <c r="E716" s="39"/>
      <c r="F716" s="39"/>
      <c r="G716" s="39"/>
      <c r="H716" s="39"/>
      <c r="I716" s="39"/>
      <c r="J716" s="39"/>
      <c r="K716" s="39"/>
      <c r="L716" s="39"/>
      <c r="M716" s="660"/>
      <c r="N716" s="343"/>
      <c r="O716" s="343"/>
      <c r="P716" s="343"/>
      <c r="Q716" s="343"/>
      <c r="R716" s="600"/>
      <c r="S716" s="600"/>
      <c r="T716" s="600"/>
      <c r="U716" s="600"/>
      <c r="V716" s="600"/>
      <c r="W716" s="600"/>
      <c r="X716" s="600"/>
      <c r="Y716" s="600"/>
      <c r="Z716" s="600"/>
      <c r="AA716" s="482"/>
      <c r="AB716" s="482"/>
      <c r="AC716" s="482"/>
      <c r="AD716" s="600">
        <v>705</v>
      </c>
      <c r="AE716" s="482"/>
      <c r="AF716" s="600"/>
      <c r="AG716" s="600"/>
      <c r="AH716" s="600"/>
      <c r="AI716" s="600"/>
      <c r="AJ716" s="600"/>
      <c r="AK716" s="600"/>
      <c r="AL716" s="600"/>
      <c r="AM716" s="600"/>
      <c r="AN716" s="482"/>
      <c r="AO716" s="600"/>
      <c r="AP716" s="600"/>
      <c r="AQ716" s="600"/>
      <c r="AR716" s="600"/>
      <c r="AS716" s="600"/>
      <c r="AT716" s="600"/>
      <c r="AU716" s="600"/>
      <c r="AV716" s="600"/>
      <c r="AW716" s="482"/>
      <c r="AX716" s="482"/>
      <c r="AY716" s="482"/>
      <c r="AZ716" s="482"/>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row>
    <row r="717" spans="1:76" s="25" customFormat="1">
      <c r="A717" s="343"/>
      <c r="B717" s="343"/>
      <c r="C717" s="64"/>
      <c r="D717" s="64"/>
      <c r="E717" s="39"/>
      <c r="F717" s="39"/>
      <c r="G717" s="39"/>
      <c r="H717" s="39"/>
      <c r="I717" s="39"/>
      <c r="J717" s="39"/>
      <c r="K717" s="39"/>
      <c r="L717" s="39"/>
      <c r="M717" s="660"/>
      <c r="N717" s="343"/>
      <c r="O717" s="343"/>
      <c r="P717" s="343"/>
      <c r="Q717" s="343"/>
      <c r="R717" s="600"/>
      <c r="S717" s="600"/>
      <c r="T717" s="600"/>
      <c r="U717" s="600"/>
      <c r="V717" s="600"/>
      <c r="W717" s="600"/>
      <c r="X717" s="600"/>
      <c r="Y717" s="600"/>
      <c r="Z717" s="600"/>
      <c r="AA717" s="482"/>
      <c r="AB717" s="482"/>
      <c r="AC717" s="482"/>
      <c r="AD717" s="600">
        <v>706</v>
      </c>
      <c r="AE717" s="482"/>
      <c r="AF717" s="600"/>
      <c r="AG717" s="600"/>
      <c r="AH717" s="600"/>
      <c r="AI717" s="600"/>
      <c r="AJ717" s="600"/>
      <c r="AK717" s="600"/>
      <c r="AL717" s="600"/>
      <c r="AM717" s="600"/>
      <c r="AN717" s="482"/>
      <c r="AO717" s="600"/>
      <c r="AP717" s="600"/>
      <c r="AQ717" s="600"/>
      <c r="AR717" s="600"/>
      <c r="AS717" s="600"/>
      <c r="AT717" s="600"/>
      <c r="AU717" s="600"/>
      <c r="AV717" s="600"/>
      <c r="AW717" s="482"/>
      <c r="AX717" s="482"/>
      <c r="AY717" s="482"/>
      <c r="AZ717" s="482"/>
      <c r="BA717" s="343"/>
      <c r="BB717" s="343"/>
      <c r="BC717" s="343"/>
      <c r="BD717" s="343"/>
      <c r="BE717" s="343"/>
      <c r="BF717" s="343"/>
      <c r="BG717" s="343"/>
      <c r="BH717" s="343"/>
      <c r="BI717" s="343"/>
      <c r="BJ717" s="343"/>
      <c r="BK717" s="343"/>
      <c r="BL717" s="343"/>
      <c r="BM717" s="343"/>
      <c r="BN717" s="343"/>
      <c r="BO717" s="343"/>
      <c r="BP717" s="343"/>
      <c r="BQ717" s="343"/>
      <c r="BR717" s="343"/>
      <c r="BS717" s="343"/>
      <c r="BT717" s="343"/>
      <c r="BU717" s="343"/>
      <c r="BV717" s="343"/>
      <c r="BW717" s="343"/>
      <c r="BX717" s="343"/>
    </row>
    <row r="718" spans="1:76" s="25" customFormat="1">
      <c r="A718" s="343"/>
      <c r="B718" s="343"/>
      <c r="C718" s="64"/>
      <c r="D718" s="64"/>
      <c r="E718" s="39"/>
      <c r="F718" s="39"/>
      <c r="G718" s="39"/>
      <c r="H718" s="39"/>
      <c r="I718" s="39"/>
      <c r="J718" s="39"/>
      <c r="K718" s="39"/>
      <c r="L718" s="39"/>
      <c r="M718" s="660"/>
      <c r="N718" s="343"/>
      <c r="O718" s="343"/>
      <c r="P718" s="343"/>
      <c r="Q718" s="343"/>
      <c r="R718" s="600"/>
      <c r="S718" s="600"/>
      <c r="T718" s="600"/>
      <c r="U718" s="600"/>
      <c r="V718" s="600"/>
      <c r="W718" s="600"/>
      <c r="X718" s="600"/>
      <c r="Y718" s="600"/>
      <c r="Z718" s="600"/>
      <c r="AA718" s="482"/>
      <c r="AB718" s="482"/>
      <c r="AC718" s="482"/>
      <c r="AD718" s="600">
        <v>707</v>
      </c>
      <c r="AE718" s="482"/>
      <c r="AF718" s="600"/>
      <c r="AG718" s="600"/>
      <c r="AH718" s="600"/>
      <c r="AI718" s="600"/>
      <c r="AJ718" s="600"/>
      <c r="AK718" s="600"/>
      <c r="AL718" s="600"/>
      <c r="AM718" s="600"/>
      <c r="AN718" s="482"/>
      <c r="AO718" s="600"/>
      <c r="AP718" s="600"/>
      <c r="AQ718" s="600"/>
      <c r="AR718" s="600"/>
      <c r="AS718" s="600"/>
      <c r="AT718" s="600"/>
      <c r="AU718" s="600"/>
      <c r="AV718" s="600"/>
      <c r="AW718" s="482"/>
      <c r="AX718" s="482"/>
      <c r="AY718" s="482"/>
      <c r="AZ718" s="482"/>
      <c r="BA718" s="343"/>
      <c r="BB718" s="343"/>
      <c r="BC718" s="343"/>
      <c r="BD718" s="343"/>
      <c r="BE718" s="343"/>
      <c r="BF718" s="343"/>
      <c r="BG718" s="343"/>
      <c r="BH718" s="343"/>
      <c r="BI718" s="343"/>
      <c r="BJ718" s="343"/>
      <c r="BK718" s="343"/>
      <c r="BL718" s="343"/>
      <c r="BM718" s="343"/>
      <c r="BN718" s="343"/>
      <c r="BO718" s="343"/>
      <c r="BP718" s="343"/>
      <c r="BQ718" s="343"/>
      <c r="BR718" s="343"/>
      <c r="BS718" s="343"/>
      <c r="BT718" s="343"/>
      <c r="BU718" s="343"/>
      <c r="BV718" s="343"/>
      <c r="BW718" s="343"/>
      <c r="BX718" s="343"/>
    </row>
    <row r="719" spans="1:76" s="25" customFormat="1">
      <c r="A719" s="343"/>
      <c r="B719" s="343"/>
      <c r="C719" s="64"/>
      <c r="D719" s="64"/>
      <c r="E719" s="39"/>
      <c r="F719" s="39"/>
      <c r="G719" s="39"/>
      <c r="H719" s="39"/>
      <c r="I719" s="39"/>
      <c r="J719" s="39"/>
      <c r="K719" s="39"/>
      <c r="L719" s="39"/>
      <c r="M719" s="660"/>
      <c r="N719" s="343"/>
      <c r="O719" s="343"/>
      <c r="P719" s="343"/>
      <c r="Q719" s="343"/>
      <c r="R719" s="600"/>
      <c r="S719" s="600"/>
      <c r="T719" s="600"/>
      <c r="U719" s="600"/>
      <c r="V719" s="600"/>
      <c r="W719" s="600"/>
      <c r="X719" s="600"/>
      <c r="Y719" s="600"/>
      <c r="Z719" s="600"/>
      <c r="AA719" s="482"/>
      <c r="AB719" s="482"/>
      <c r="AC719" s="482"/>
      <c r="AD719" s="600">
        <v>708</v>
      </c>
      <c r="AE719" s="482"/>
      <c r="AF719" s="600"/>
      <c r="AG719" s="600"/>
      <c r="AH719" s="600"/>
      <c r="AI719" s="600"/>
      <c r="AJ719" s="600"/>
      <c r="AK719" s="600"/>
      <c r="AL719" s="600"/>
      <c r="AM719" s="600"/>
      <c r="AN719" s="482"/>
      <c r="AO719" s="600"/>
      <c r="AP719" s="600"/>
      <c r="AQ719" s="600"/>
      <c r="AR719" s="600"/>
      <c r="AS719" s="600"/>
      <c r="AT719" s="600"/>
      <c r="AU719" s="600"/>
      <c r="AV719" s="600"/>
      <c r="AW719" s="482"/>
      <c r="AX719" s="482"/>
      <c r="AY719" s="482"/>
      <c r="AZ719" s="482"/>
      <c r="BA719" s="343"/>
      <c r="BB719" s="343"/>
      <c r="BC719" s="343"/>
      <c r="BD719" s="343"/>
      <c r="BE719" s="343"/>
      <c r="BF719" s="343"/>
      <c r="BG719" s="343"/>
      <c r="BH719" s="343"/>
      <c r="BI719" s="343"/>
      <c r="BJ719" s="343"/>
      <c r="BK719" s="343"/>
      <c r="BL719" s="343"/>
      <c r="BM719" s="343"/>
      <c r="BN719" s="343"/>
      <c r="BO719" s="343"/>
      <c r="BP719" s="343"/>
      <c r="BQ719" s="343"/>
      <c r="BR719" s="343"/>
      <c r="BS719" s="343"/>
      <c r="BT719" s="343"/>
      <c r="BU719" s="343"/>
      <c r="BV719" s="343"/>
      <c r="BW719" s="343"/>
      <c r="BX719" s="343"/>
    </row>
    <row r="720" spans="1:76" s="25" customFormat="1">
      <c r="A720" s="343"/>
      <c r="B720" s="343"/>
      <c r="C720" s="64"/>
      <c r="D720" s="64"/>
      <c r="E720" s="39"/>
      <c r="F720" s="39"/>
      <c r="G720" s="39"/>
      <c r="H720" s="39"/>
      <c r="I720" s="39"/>
      <c r="J720" s="39"/>
      <c r="K720" s="39"/>
      <c r="L720" s="39"/>
      <c r="M720" s="660"/>
      <c r="N720" s="343"/>
      <c r="O720" s="343"/>
      <c r="P720" s="343"/>
      <c r="Q720" s="343"/>
      <c r="R720" s="600"/>
      <c r="S720" s="600"/>
      <c r="T720" s="600"/>
      <c r="U720" s="600"/>
      <c r="V720" s="600"/>
      <c r="W720" s="600"/>
      <c r="X720" s="600"/>
      <c r="Y720" s="600"/>
      <c r="Z720" s="600"/>
      <c r="AA720" s="482"/>
      <c r="AB720" s="482"/>
      <c r="AC720" s="482"/>
      <c r="AD720" s="600">
        <v>709</v>
      </c>
      <c r="AE720" s="482"/>
      <c r="AF720" s="600"/>
      <c r="AG720" s="600"/>
      <c r="AH720" s="600"/>
      <c r="AI720" s="600"/>
      <c r="AJ720" s="600"/>
      <c r="AK720" s="600"/>
      <c r="AL720" s="600"/>
      <c r="AM720" s="600"/>
      <c r="AN720" s="482"/>
      <c r="AO720" s="600"/>
      <c r="AP720" s="600"/>
      <c r="AQ720" s="600"/>
      <c r="AR720" s="600"/>
      <c r="AS720" s="600"/>
      <c r="AT720" s="600"/>
      <c r="AU720" s="600"/>
      <c r="AV720" s="600"/>
      <c r="AW720" s="482"/>
      <c r="AX720" s="482"/>
      <c r="AY720" s="482"/>
      <c r="AZ720" s="482"/>
      <c r="BA720" s="343"/>
      <c r="BB720" s="343"/>
      <c r="BC720" s="343"/>
      <c r="BD720" s="343"/>
      <c r="BE720" s="343"/>
      <c r="BF720" s="343"/>
      <c r="BG720" s="343"/>
      <c r="BH720" s="343"/>
      <c r="BI720" s="343"/>
      <c r="BJ720" s="343"/>
      <c r="BK720" s="343"/>
      <c r="BL720" s="343"/>
      <c r="BM720" s="343"/>
      <c r="BN720" s="343"/>
      <c r="BO720" s="343"/>
      <c r="BP720" s="343"/>
      <c r="BQ720" s="343"/>
      <c r="BR720" s="343"/>
      <c r="BS720" s="343"/>
      <c r="BT720" s="343"/>
      <c r="BU720" s="343"/>
      <c r="BV720" s="343"/>
      <c r="BW720" s="343"/>
      <c r="BX720" s="343"/>
    </row>
    <row r="721" spans="1:76" s="25" customFormat="1">
      <c r="A721" s="343"/>
      <c r="B721" s="343"/>
      <c r="C721" s="64"/>
      <c r="D721" s="64"/>
      <c r="E721" s="39"/>
      <c r="F721" s="39"/>
      <c r="G721" s="39"/>
      <c r="H721" s="39"/>
      <c r="I721" s="39"/>
      <c r="J721" s="39"/>
      <c r="K721" s="39"/>
      <c r="L721" s="39"/>
      <c r="M721" s="660"/>
      <c r="N721" s="343"/>
      <c r="O721" s="343"/>
      <c r="P721" s="343"/>
      <c r="Q721" s="343"/>
      <c r="R721" s="600"/>
      <c r="S721" s="600"/>
      <c r="T721" s="600"/>
      <c r="U721" s="600"/>
      <c r="V721" s="600"/>
      <c r="W721" s="600"/>
      <c r="X721" s="600"/>
      <c r="Y721" s="600"/>
      <c r="Z721" s="600"/>
      <c r="AA721" s="482"/>
      <c r="AB721" s="482"/>
      <c r="AC721" s="482"/>
      <c r="AD721" s="600">
        <v>710</v>
      </c>
      <c r="AE721" s="482"/>
      <c r="AF721" s="600"/>
      <c r="AG721" s="600"/>
      <c r="AH721" s="600"/>
      <c r="AI721" s="600"/>
      <c r="AJ721" s="600"/>
      <c r="AK721" s="600"/>
      <c r="AL721" s="600"/>
      <c r="AM721" s="600"/>
      <c r="AN721" s="482"/>
      <c r="AO721" s="600"/>
      <c r="AP721" s="600"/>
      <c r="AQ721" s="600"/>
      <c r="AR721" s="600"/>
      <c r="AS721" s="600"/>
      <c r="AT721" s="600"/>
      <c r="AU721" s="600"/>
      <c r="AV721" s="600"/>
      <c r="AW721" s="482"/>
      <c r="AX721" s="482"/>
      <c r="AY721" s="482"/>
      <c r="AZ721" s="482"/>
      <c r="BA721" s="343"/>
      <c r="BB721" s="343"/>
      <c r="BC721" s="343"/>
      <c r="BD721" s="343"/>
      <c r="BE721" s="343"/>
      <c r="BF721" s="343"/>
      <c r="BG721" s="343"/>
      <c r="BH721" s="343"/>
      <c r="BI721" s="343"/>
      <c r="BJ721" s="343"/>
      <c r="BK721" s="343"/>
      <c r="BL721" s="343"/>
      <c r="BM721" s="343"/>
      <c r="BN721" s="343"/>
      <c r="BO721" s="343"/>
      <c r="BP721" s="343"/>
      <c r="BQ721" s="343"/>
      <c r="BR721" s="343"/>
      <c r="BS721" s="343"/>
      <c r="BT721" s="343"/>
      <c r="BU721" s="343"/>
      <c r="BV721" s="343"/>
      <c r="BW721" s="343"/>
      <c r="BX721" s="343"/>
    </row>
    <row r="722" spans="1:76" s="25" customFormat="1">
      <c r="A722" s="343"/>
      <c r="B722" s="343"/>
      <c r="C722" s="64"/>
      <c r="D722" s="64"/>
      <c r="E722" s="39"/>
      <c r="F722" s="39"/>
      <c r="G722" s="39"/>
      <c r="H722" s="39"/>
      <c r="I722" s="39"/>
      <c r="J722" s="39"/>
      <c r="K722" s="39"/>
      <c r="L722" s="39"/>
      <c r="M722" s="660"/>
      <c r="N722" s="343"/>
      <c r="O722" s="343"/>
      <c r="P722" s="343"/>
      <c r="Q722" s="343"/>
      <c r="R722" s="600"/>
      <c r="S722" s="600"/>
      <c r="T722" s="600"/>
      <c r="U722" s="600"/>
      <c r="V722" s="600"/>
      <c r="W722" s="600"/>
      <c r="X722" s="600"/>
      <c r="Y722" s="600"/>
      <c r="Z722" s="600"/>
      <c r="AA722" s="482"/>
      <c r="AB722" s="482"/>
      <c r="AC722" s="482"/>
      <c r="AD722" s="600">
        <v>711</v>
      </c>
      <c r="AE722" s="482"/>
      <c r="AF722" s="600"/>
      <c r="AG722" s="600"/>
      <c r="AH722" s="600"/>
      <c r="AI722" s="600"/>
      <c r="AJ722" s="600"/>
      <c r="AK722" s="600"/>
      <c r="AL722" s="600"/>
      <c r="AM722" s="600"/>
      <c r="AN722" s="482"/>
      <c r="AO722" s="600"/>
      <c r="AP722" s="600"/>
      <c r="AQ722" s="600"/>
      <c r="AR722" s="600"/>
      <c r="AS722" s="600"/>
      <c r="AT722" s="600"/>
      <c r="AU722" s="600"/>
      <c r="AV722" s="600"/>
      <c r="AW722" s="482"/>
      <c r="AX722" s="482"/>
      <c r="AY722" s="482"/>
      <c r="AZ722" s="482"/>
      <c r="BA722" s="343"/>
      <c r="BB722" s="343"/>
      <c r="BC722" s="343"/>
      <c r="BD722" s="343"/>
      <c r="BE722" s="343"/>
      <c r="BF722" s="343"/>
      <c r="BG722" s="343"/>
      <c r="BH722" s="343"/>
      <c r="BI722" s="343"/>
      <c r="BJ722" s="343"/>
      <c r="BK722" s="343"/>
      <c r="BL722" s="343"/>
      <c r="BM722" s="343"/>
      <c r="BN722" s="343"/>
      <c r="BO722" s="343"/>
      <c r="BP722" s="343"/>
      <c r="BQ722" s="343"/>
      <c r="BR722" s="343"/>
      <c r="BS722" s="343"/>
      <c r="BT722" s="343"/>
      <c r="BU722" s="343"/>
      <c r="BV722" s="343"/>
      <c r="BW722" s="343"/>
      <c r="BX722" s="343"/>
    </row>
    <row r="723" spans="1:76" s="25" customFormat="1">
      <c r="A723" s="343"/>
      <c r="B723" s="343"/>
      <c r="C723" s="64"/>
      <c r="D723" s="64"/>
      <c r="E723" s="39"/>
      <c r="F723" s="39"/>
      <c r="G723" s="39"/>
      <c r="H723" s="39"/>
      <c r="I723" s="39"/>
      <c r="J723" s="39"/>
      <c r="K723" s="39"/>
      <c r="L723" s="39"/>
      <c r="M723" s="660"/>
      <c r="N723" s="343"/>
      <c r="O723" s="343"/>
      <c r="P723" s="343"/>
      <c r="Q723" s="343"/>
      <c r="R723" s="600"/>
      <c r="S723" s="600"/>
      <c r="T723" s="600"/>
      <c r="U723" s="600"/>
      <c r="V723" s="600"/>
      <c r="W723" s="600"/>
      <c r="X723" s="600"/>
      <c r="Y723" s="600"/>
      <c r="Z723" s="600"/>
      <c r="AA723" s="482"/>
      <c r="AB723" s="482"/>
      <c r="AC723" s="482"/>
      <c r="AD723" s="600">
        <v>712</v>
      </c>
      <c r="AE723" s="482"/>
      <c r="AF723" s="600"/>
      <c r="AG723" s="600"/>
      <c r="AH723" s="600"/>
      <c r="AI723" s="600"/>
      <c r="AJ723" s="600"/>
      <c r="AK723" s="600"/>
      <c r="AL723" s="600"/>
      <c r="AM723" s="600"/>
      <c r="AN723" s="482"/>
      <c r="AO723" s="600"/>
      <c r="AP723" s="600"/>
      <c r="AQ723" s="600"/>
      <c r="AR723" s="600"/>
      <c r="AS723" s="600"/>
      <c r="AT723" s="600"/>
      <c r="AU723" s="600"/>
      <c r="AV723" s="600"/>
      <c r="AW723" s="482"/>
      <c r="AX723" s="482"/>
      <c r="AY723" s="482"/>
      <c r="AZ723" s="482"/>
      <c r="BA723" s="343"/>
      <c r="BB723" s="343"/>
      <c r="BC723" s="343"/>
      <c r="BD723" s="343"/>
      <c r="BE723" s="343"/>
      <c r="BF723" s="343"/>
      <c r="BG723" s="343"/>
      <c r="BH723" s="343"/>
      <c r="BI723" s="343"/>
      <c r="BJ723" s="343"/>
      <c r="BK723" s="343"/>
      <c r="BL723" s="343"/>
      <c r="BM723" s="343"/>
      <c r="BN723" s="343"/>
      <c r="BO723" s="343"/>
      <c r="BP723" s="343"/>
      <c r="BQ723" s="343"/>
      <c r="BR723" s="343"/>
      <c r="BS723" s="343"/>
      <c r="BT723" s="343"/>
      <c r="BU723" s="343"/>
      <c r="BV723" s="343"/>
      <c r="BW723" s="343"/>
      <c r="BX723" s="343"/>
    </row>
    <row r="724" spans="1:76" s="25" customFormat="1">
      <c r="A724" s="343"/>
      <c r="B724" s="343"/>
      <c r="C724" s="64"/>
      <c r="D724" s="64"/>
      <c r="E724" s="39"/>
      <c r="F724" s="39"/>
      <c r="G724" s="39"/>
      <c r="H724" s="39"/>
      <c r="I724" s="39"/>
      <c r="J724" s="39"/>
      <c r="K724" s="39"/>
      <c r="L724" s="39"/>
      <c r="M724" s="660"/>
      <c r="N724" s="343"/>
      <c r="O724" s="343"/>
      <c r="P724" s="343"/>
      <c r="Q724" s="343"/>
      <c r="R724" s="600"/>
      <c r="S724" s="600"/>
      <c r="T724" s="600"/>
      <c r="U724" s="600"/>
      <c r="V724" s="600"/>
      <c r="W724" s="600"/>
      <c r="X724" s="600"/>
      <c r="Y724" s="600"/>
      <c r="Z724" s="600"/>
      <c r="AA724" s="482"/>
      <c r="AB724" s="482"/>
      <c r="AC724" s="482"/>
      <c r="AD724" s="600">
        <v>713</v>
      </c>
      <c r="AE724" s="482"/>
      <c r="AF724" s="600"/>
      <c r="AG724" s="600"/>
      <c r="AH724" s="600"/>
      <c r="AI724" s="600"/>
      <c r="AJ724" s="600"/>
      <c r="AK724" s="600"/>
      <c r="AL724" s="600"/>
      <c r="AM724" s="600"/>
      <c r="AN724" s="482"/>
      <c r="AO724" s="600"/>
      <c r="AP724" s="600"/>
      <c r="AQ724" s="600"/>
      <c r="AR724" s="600"/>
      <c r="AS724" s="600"/>
      <c r="AT724" s="600"/>
      <c r="AU724" s="600"/>
      <c r="AV724" s="600"/>
      <c r="AW724" s="482"/>
      <c r="AX724" s="482"/>
      <c r="AY724" s="482"/>
      <c r="AZ724" s="482"/>
      <c r="BA724" s="343"/>
      <c r="BB724" s="343"/>
      <c r="BC724" s="343"/>
      <c r="BD724" s="343"/>
      <c r="BE724" s="343"/>
      <c r="BF724" s="343"/>
      <c r="BG724" s="343"/>
      <c r="BH724" s="343"/>
      <c r="BI724" s="343"/>
      <c r="BJ724" s="343"/>
      <c r="BK724" s="343"/>
      <c r="BL724" s="343"/>
      <c r="BM724" s="343"/>
      <c r="BN724" s="343"/>
      <c r="BO724" s="343"/>
      <c r="BP724" s="343"/>
      <c r="BQ724" s="343"/>
      <c r="BR724" s="343"/>
      <c r="BS724" s="343"/>
      <c r="BT724" s="343"/>
      <c r="BU724" s="343"/>
      <c r="BV724" s="343"/>
      <c r="BW724" s="343"/>
      <c r="BX724" s="343"/>
    </row>
    <row r="725" spans="1:76" s="25" customFormat="1">
      <c r="A725" s="343"/>
      <c r="B725" s="343"/>
      <c r="C725" s="64"/>
      <c r="D725" s="64"/>
      <c r="E725" s="39"/>
      <c r="F725" s="39"/>
      <c r="G725" s="39"/>
      <c r="H725" s="39"/>
      <c r="I725" s="39"/>
      <c r="J725" s="39"/>
      <c r="K725" s="39"/>
      <c r="L725" s="39"/>
      <c r="M725" s="660"/>
      <c r="N725" s="343"/>
      <c r="O725" s="343"/>
      <c r="P725" s="343"/>
      <c r="Q725" s="343"/>
      <c r="R725" s="600"/>
      <c r="S725" s="600"/>
      <c r="T725" s="600"/>
      <c r="U725" s="600"/>
      <c r="V725" s="600"/>
      <c r="W725" s="600"/>
      <c r="X725" s="600"/>
      <c r="Y725" s="600"/>
      <c r="Z725" s="600"/>
      <c r="AA725" s="482"/>
      <c r="AB725" s="482"/>
      <c r="AC725" s="482"/>
      <c r="AD725" s="600">
        <v>714</v>
      </c>
      <c r="AE725" s="482"/>
      <c r="AF725" s="600"/>
      <c r="AG725" s="600"/>
      <c r="AH725" s="600"/>
      <c r="AI725" s="600"/>
      <c r="AJ725" s="600"/>
      <c r="AK725" s="600"/>
      <c r="AL725" s="600"/>
      <c r="AM725" s="600"/>
      <c r="AN725" s="482"/>
      <c r="AO725" s="600"/>
      <c r="AP725" s="600"/>
      <c r="AQ725" s="600"/>
      <c r="AR725" s="600"/>
      <c r="AS725" s="600"/>
      <c r="AT725" s="600"/>
      <c r="AU725" s="600"/>
      <c r="AV725" s="600"/>
      <c r="AW725" s="482"/>
      <c r="AX725" s="482"/>
      <c r="AY725" s="482"/>
      <c r="AZ725" s="482"/>
      <c r="BA725" s="343"/>
      <c r="BB725" s="343"/>
      <c r="BC725" s="343"/>
      <c r="BD725" s="343"/>
      <c r="BE725" s="343"/>
      <c r="BF725" s="343"/>
      <c r="BG725" s="343"/>
      <c r="BH725" s="343"/>
      <c r="BI725" s="343"/>
      <c r="BJ725" s="343"/>
      <c r="BK725" s="343"/>
      <c r="BL725" s="343"/>
      <c r="BM725" s="343"/>
      <c r="BN725" s="343"/>
      <c r="BO725" s="343"/>
      <c r="BP725" s="343"/>
      <c r="BQ725" s="343"/>
      <c r="BR725" s="343"/>
      <c r="BS725" s="343"/>
      <c r="BT725" s="343"/>
      <c r="BU725" s="343"/>
      <c r="BV725" s="343"/>
      <c r="BW725" s="343"/>
      <c r="BX725" s="343"/>
    </row>
    <row r="726" spans="1:76" s="25" customFormat="1">
      <c r="A726" s="343"/>
      <c r="B726" s="343"/>
      <c r="C726" s="64"/>
      <c r="D726" s="64"/>
      <c r="E726" s="39"/>
      <c r="F726" s="39"/>
      <c r="G726" s="39"/>
      <c r="H726" s="39"/>
      <c r="I726" s="39"/>
      <c r="J726" s="39"/>
      <c r="K726" s="39"/>
      <c r="L726" s="39"/>
      <c r="M726" s="660"/>
      <c r="N726" s="343"/>
      <c r="O726" s="343"/>
      <c r="P726" s="343"/>
      <c r="Q726" s="343"/>
      <c r="R726" s="600"/>
      <c r="S726" s="600"/>
      <c r="T726" s="600"/>
      <c r="U726" s="600"/>
      <c r="V726" s="600"/>
      <c r="W726" s="600"/>
      <c r="X726" s="600"/>
      <c r="Y726" s="600"/>
      <c r="Z726" s="600"/>
      <c r="AA726" s="482"/>
      <c r="AB726" s="482"/>
      <c r="AC726" s="482"/>
      <c r="AD726" s="600">
        <v>715</v>
      </c>
      <c r="AE726" s="482"/>
      <c r="AF726" s="600"/>
      <c r="AG726" s="600"/>
      <c r="AH726" s="600"/>
      <c r="AI726" s="600"/>
      <c r="AJ726" s="600"/>
      <c r="AK726" s="600"/>
      <c r="AL726" s="600"/>
      <c r="AM726" s="600"/>
      <c r="AN726" s="482"/>
      <c r="AO726" s="600"/>
      <c r="AP726" s="600"/>
      <c r="AQ726" s="600"/>
      <c r="AR726" s="600"/>
      <c r="AS726" s="600"/>
      <c r="AT726" s="600"/>
      <c r="AU726" s="600"/>
      <c r="AV726" s="600"/>
      <c r="AW726" s="482"/>
      <c r="AX726" s="482"/>
      <c r="AY726" s="482"/>
      <c r="AZ726" s="482"/>
      <c r="BA726" s="343"/>
      <c r="BB726" s="343"/>
      <c r="BC726" s="343"/>
      <c r="BD726" s="343"/>
      <c r="BE726" s="343"/>
      <c r="BF726" s="343"/>
      <c r="BG726" s="343"/>
      <c r="BH726" s="343"/>
      <c r="BI726" s="343"/>
      <c r="BJ726" s="343"/>
      <c r="BK726" s="343"/>
      <c r="BL726" s="343"/>
      <c r="BM726" s="343"/>
      <c r="BN726" s="343"/>
      <c r="BO726" s="343"/>
      <c r="BP726" s="343"/>
      <c r="BQ726" s="343"/>
      <c r="BR726" s="343"/>
      <c r="BS726" s="343"/>
      <c r="BT726" s="343"/>
      <c r="BU726" s="343"/>
      <c r="BV726" s="343"/>
      <c r="BW726" s="343"/>
      <c r="BX726" s="343"/>
    </row>
    <row r="727" spans="1:76" s="25" customFormat="1">
      <c r="A727" s="343"/>
      <c r="B727" s="343"/>
      <c r="C727" s="64"/>
      <c r="D727" s="64"/>
      <c r="E727" s="39"/>
      <c r="F727" s="39"/>
      <c r="G727" s="39"/>
      <c r="H727" s="39"/>
      <c r="I727" s="39"/>
      <c r="J727" s="39"/>
      <c r="K727" s="39"/>
      <c r="L727" s="39"/>
      <c r="M727" s="660"/>
      <c r="N727" s="343"/>
      <c r="O727" s="343"/>
      <c r="P727" s="343"/>
      <c r="Q727" s="343"/>
      <c r="R727" s="600"/>
      <c r="S727" s="600"/>
      <c r="T727" s="600"/>
      <c r="U727" s="600"/>
      <c r="V727" s="600"/>
      <c r="W727" s="600"/>
      <c r="X727" s="600"/>
      <c r="Y727" s="600"/>
      <c r="Z727" s="600"/>
      <c r="AA727" s="482"/>
      <c r="AB727" s="482"/>
      <c r="AC727" s="482"/>
      <c r="AD727" s="600">
        <v>716</v>
      </c>
      <c r="AE727" s="482"/>
      <c r="AF727" s="600"/>
      <c r="AG727" s="600"/>
      <c r="AH727" s="600"/>
      <c r="AI727" s="600"/>
      <c r="AJ727" s="600"/>
      <c r="AK727" s="600"/>
      <c r="AL727" s="600"/>
      <c r="AM727" s="600"/>
      <c r="AN727" s="482"/>
      <c r="AO727" s="600"/>
      <c r="AP727" s="600"/>
      <c r="AQ727" s="600"/>
      <c r="AR727" s="600"/>
      <c r="AS727" s="600"/>
      <c r="AT727" s="600"/>
      <c r="AU727" s="600"/>
      <c r="AV727" s="600"/>
      <c r="AW727" s="482"/>
      <c r="AX727" s="482"/>
      <c r="AY727" s="482"/>
      <c r="AZ727" s="482"/>
      <c r="BA727" s="343"/>
      <c r="BB727" s="343"/>
      <c r="BC727" s="343"/>
      <c r="BD727" s="343"/>
      <c r="BE727" s="343"/>
      <c r="BF727" s="343"/>
      <c r="BG727" s="343"/>
      <c r="BH727" s="343"/>
      <c r="BI727" s="343"/>
      <c r="BJ727" s="343"/>
      <c r="BK727" s="343"/>
      <c r="BL727" s="343"/>
      <c r="BM727" s="343"/>
      <c r="BN727" s="343"/>
      <c r="BO727" s="343"/>
      <c r="BP727" s="343"/>
      <c r="BQ727" s="343"/>
      <c r="BR727" s="343"/>
      <c r="BS727" s="343"/>
      <c r="BT727" s="343"/>
      <c r="BU727" s="343"/>
      <c r="BV727" s="343"/>
      <c r="BW727" s="343"/>
      <c r="BX727" s="343"/>
    </row>
    <row r="728" spans="1:76" s="25" customFormat="1">
      <c r="A728" s="343"/>
      <c r="B728" s="343"/>
      <c r="C728" s="64"/>
      <c r="D728" s="64"/>
      <c r="E728" s="39"/>
      <c r="F728" s="39"/>
      <c r="G728" s="39"/>
      <c r="H728" s="39"/>
      <c r="I728" s="39"/>
      <c r="J728" s="39"/>
      <c r="K728" s="39"/>
      <c r="L728" s="39"/>
      <c r="M728" s="660"/>
      <c r="N728" s="343"/>
      <c r="O728" s="343"/>
      <c r="P728" s="343"/>
      <c r="Q728" s="343"/>
      <c r="R728" s="600"/>
      <c r="S728" s="600"/>
      <c r="T728" s="600"/>
      <c r="U728" s="600"/>
      <c r="V728" s="600"/>
      <c r="W728" s="600"/>
      <c r="X728" s="600"/>
      <c r="Y728" s="600"/>
      <c r="Z728" s="600"/>
      <c r="AA728" s="482"/>
      <c r="AB728" s="482"/>
      <c r="AC728" s="482"/>
      <c r="AD728" s="600">
        <v>717</v>
      </c>
      <c r="AE728" s="482"/>
      <c r="AF728" s="600"/>
      <c r="AG728" s="600"/>
      <c r="AH728" s="600"/>
      <c r="AI728" s="600"/>
      <c r="AJ728" s="600"/>
      <c r="AK728" s="600"/>
      <c r="AL728" s="600"/>
      <c r="AM728" s="600"/>
      <c r="AN728" s="482"/>
      <c r="AO728" s="600"/>
      <c r="AP728" s="600"/>
      <c r="AQ728" s="600"/>
      <c r="AR728" s="600"/>
      <c r="AS728" s="600"/>
      <c r="AT728" s="600"/>
      <c r="AU728" s="600"/>
      <c r="AV728" s="600"/>
      <c r="AW728" s="482"/>
      <c r="AX728" s="482"/>
      <c r="AY728" s="482"/>
      <c r="AZ728" s="482"/>
      <c r="BA728" s="343"/>
      <c r="BB728" s="343"/>
      <c r="BC728" s="343"/>
      <c r="BD728" s="343"/>
      <c r="BE728" s="343"/>
      <c r="BF728" s="343"/>
      <c r="BG728" s="343"/>
      <c r="BH728" s="343"/>
      <c r="BI728" s="343"/>
      <c r="BJ728" s="343"/>
      <c r="BK728" s="343"/>
      <c r="BL728" s="343"/>
      <c r="BM728" s="343"/>
      <c r="BN728" s="343"/>
      <c r="BO728" s="343"/>
      <c r="BP728" s="343"/>
      <c r="BQ728" s="343"/>
      <c r="BR728" s="343"/>
      <c r="BS728" s="343"/>
      <c r="BT728" s="343"/>
      <c r="BU728" s="343"/>
      <c r="BV728" s="343"/>
      <c r="BW728" s="343"/>
      <c r="BX728" s="343"/>
    </row>
    <row r="729" spans="1:76" s="25" customFormat="1">
      <c r="A729" s="343"/>
      <c r="B729" s="343"/>
      <c r="C729" s="64"/>
      <c r="D729" s="64"/>
      <c r="E729" s="39"/>
      <c r="F729" s="39"/>
      <c r="G729" s="39"/>
      <c r="H729" s="39"/>
      <c r="I729" s="39"/>
      <c r="J729" s="39"/>
      <c r="K729" s="39"/>
      <c r="L729" s="39"/>
      <c r="M729" s="660"/>
      <c r="N729" s="343"/>
      <c r="O729" s="343"/>
      <c r="P729" s="343"/>
      <c r="Q729" s="343"/>
      <c r="R729" s="600"/>
      <c r="S729" s="600"/>
      <c r="T729" s="600"/>
      <c r="U729" s="600"/>
      <c r="V729" s="600"/>
      <c r="W729" s="600"/>
      <c r="X729" s="600"/>
      <c r="Y729" s="600"/>
      <c r="Z729" s="600"/>
      <c r="AA729" s="482"/>
      <c r="AB729" s="482"/>
      <c r="AC729" s="482"/>
      <c r="AD729" s="600">
        <v>718</v>
      </c>
      <c r="AE729" s="482"/>
      <c r="AF729" s="600"/>
      <c r="AG729" s="600"/>
      <c r="AH729" s="600"/>
      <c r="AI729" s="600"/>
      <c r="AJ729" s="600"/>
      <c r="AK729" s="600"/>
      <c r="AL729" s="600"/>
      <c r="AM729" s="600"/>
      <c r="AN729" s="482"/>
      <c r="AO729" s="600"/>
      <c r="AP729" s="600"/>
      <c r="AQ729" s="600"/>
      <c r="AR729" s="600"/>
      <c r="AS729" s="600"/>
      <c r="AT729" s="600"/>
      <c r="AU729" s="600"/>
      <c r="AV729" s="600"/>
      <c r="AW729" s="482"/>
      <c r="AX729" s="482"/>
      <c r="AY729" s="482"/>
      <c r="AZ729" s="482"/>
      <c r="BA729" s="343"/>
      <c r="BB729" s="343"/>
      <c r="BC729" s="343"/>
      <c r="BD729" s="343"/>
      <c r="BE729" s="343"/>
      <c r="BF729" s="343"/>
      <c r="BG729" s="343"/>
      <c r="BH729" s="343"/>
      <c r="BI729" s="343"/>
      <c r="BJ729" s="343"/>
      <c r="BK729" s="343"/>
      <c r="BL729" s="343"/>
      <c r="BM729" s="343"/>
      <c r="BN729" s="343"/>
      <c r="BO729" s="343"/>
      <c r="BP729" s="343"/>
      <c r="BQ729" s="343"/>
      <c r="BR729" s="343"/>
      <c r="BS729" s="343"/>
      <c r="BT729" s="343"/>
      <c r="BU729" s="343"/>
      <c r="BV729" s="343"/>
      <c r="BW729" s="343"/>
      <c r="BX729" s="343"/>
    </row>
    <row r="730" spans="1:76" s="25" customFormat="1">
      <c r="A730" s="343"/>
      <c r="B730" s="343"/>
      <c r="C730" s="64"/>
      <c r="D730" s="64"/>
      <c r="E730" s="39"/>
      <c r="F730" s="39"/>
      <c r="G730" s="39"/>
      <c r="H730" s="39"/>
      <c r="I730" s="39"/>
      <c r="J730" s="39"/>
      <c r="K730" s="39"/>
      <c r="L730" s="39"/>
      <c r="M730" s="660"/>
      <c r="N730" s="343"/>
      <c r="O730" s="343"/>
      <c r="P730" s="343"/>
      <c r="Q730" s="343"/>
      <c r="R730" s="600"/>
      <c r="S730" s="600"/>
      <c r="T730" s="600"/>
      <c r="U730" s="600"/>
      <c r="V730" s="600"/>
      <c r="W730" s="600"/>
      <c r="X730" s="600"/>
      <c r="Y730" s="600"/>
      <c r="Z730" s="600"/>
      <c r="AA730" s="482"/>
      <c r="AB730" s="482"/>
      <c r="AC730" s="482"/>
      <c r="AD730" s="600">
        <v>719</v>
      </c>
      <c r="AE730" s="482"/>
      <c r="AF730" s="600"/>
      <c r="AG730" s="600"/>
      <c r="AH730" s="600"/>
      <c r="AI730" s="600"/>
      <c r="AJ730" s="600"/>
      <c r="AK730" s="600"/>
      <c r="AL730" s="600"/>
      <c r="AM730" s="600"/>
      <c r="AN730" s="482"/>
      <c r="AO730" s="600"/>
      <c r="AP730" s="600"/>
      <c r="AQ730" s="600"/>
      <c r="AR730" s="600"/>
      <c r="AS730" s="600"/>
      <c r="AT730" s="600"/>
      <c r="AU730" s="600"/>
      <c r="AV730" s="600"/>
      <c r="AW730" s="482"/>
      <c r="AX730" s="482"/>
      <c r="AY730" s="482"/>
      <c r="AZ730" s="482"/>
      <c r="BA730" s="343"/>
      <c r="BB730" s="343"/>
      <c r="BC730" s="343"/>
      <c r="BD730" s="343"/>
      <c r="BE730" s="343"/>
      <c r="BF730" s="343"/>
      <c r="BG730" s="343"/>
      <c r="BH730" s="343"/>
      <c r="BI730" s="343"/>
      <c r="BJ730" s="343"/>
      <c r="BK730" s="343"/>
      <c r="BL730" s="343"/>
      <c r="BM730" s="343"/>
      <c r="BN730" s="343"/>
      <c r="BO730" s="343"/>
      <c r="BP730" s="343"/>
      <c r="BQ730" s="343"/>
      <c r="BR730" s="343"/>
      <c r="BS730" s="343"/>
      <c r="BT730" s="343"/>
      <c r="BU730" s="343"/>
      <c r="BV730" s="343"/>
      <c r="BW730" s="343"/>
      <c r="BX730" s="343"/>
    </row>
    <row r="731" spans="1:76" s="25" customFormat="1">
      <c r="A731" s="343"/>
      <c r="B731" s="343"/>
      <c r="C731" s="64"/>
      <c r="D731" s="64"/>
      <c r="E731" s="39"/>
      <c r="F731" s="39"/>
      <c r="G731" s="39"/>
      <c r="H731" s="39"/>
      <c r="I731" s="39"/>
      <c r="J731" s="39"/>
      <c r="K731" s="39"/>
      <c r="L731" s="39"/>
      <c r="M731" s="660"/>
      <c r="N731" s="343"/>
      <c r="O731" s="343"/>
      <c r="P731" s="343"/>
      <c r="Q731" s="343"/>
      <c r="R731" s="600"/>
      <c r="S731" s="600"/>
      <c r="T731" s="600"/>
      <c r="U731" s="600"/>
      <c r="V731" s="600"/>
      <c r="W731" s="600"/>
      <c r="X731" s="600"/>
      <c r="Y731" s="600"/>
      <c r="Z731" s="600"/>
      <c r="AA731" s="482"/>
      <c r="AB731" s="482"/>
      <c r="AC731" s="482"/>
      <c r="AD731" s="600">
        <v>720</v>
      </c>
      <c r="AE731" s="482"/>
      <c r="AF731" s="600"/>
      <c r="AG731" s="600"/>
      <c r="AH731" s="600"/>
      <c r="AI731" s="600"/>
      <c r="AJ731" s="600"/>
      <c r="AK731" s="600"/>
      <c r="AL731" s="600"/>
      <c r="AM731" s="600"/>
      <c r="AN731" s="482"/>
      <c r="AO731" s="600"/>
      <c r="AP731" s="600"/>
      <c r="AQ731" s="600"/>
      <c r="AR731" s="600"/>
      <c r="AS731" s="600"/>
      <c r="AT731" s="600"/>
      <c r="AU731" s="600"/>
      <c r="AV731" s="600"/>
      <c r="AW731" s="482"/>
      <c r="AX731" s="482"/>
      <c r="AY731" s="482"/>
      <c r="AZ731" s="482"/>
      <c r="BA731" s="343"/>
      <c r="BB731" s="343"/>
      <c r="BC731" s="343"/>
      <c r="BD731" s="343"/>
      <c r="BE731" s="343"/>
      <c r="BF731" s="343"/>
      <c r="BG731" s="343"/>
      <c r="BH731" s="343"/>
      <c r="BI731" s="343"/>
      <c r="BJ731" s="343"/>
      <c r="BK731" s="343"/>
      <c r="BL731" s="343"/>
      <c r="BM731" s="343"/>
      <c r="BN731" s="343"/>
      <c r="BO731" s="343"/>
      <c r="BP731" s="343"/>
      <c r="BQ731" s="343"/>
      <c r="BR731" s="343"/>
      <c r="BS731" s="343"/>
      <c r="BT731" s="343"/>
      <c r="BU731" s="343"/>
      <c r="BV731" s="343"/>
      <c r="BW731" s="343"/>
      <c r="BX731" s="343"/>
    </row>
    <row r="732" spans="1:76" s="25" customFormat="1">
      <c r="A732" s="343"/>
      <c r="B732" s="343"/>
      <c r="C732" s="64"/>
      <c r="D732" s="64"/>
      <c r="E732" s="39"/>
      <c r="F732" s="39"/>
      <c r="G732" s="39"/>
      <c r="H732" s="39"/>
      <c r="I732" s="39"/>
      <c r="J732" s="39"/>
      <c r="K732" s="39"/>
      <c r="L732" s="39"/>
      <c r="M732" s="660"/>
      <c r="N732" s="343"/>
      <c r="O732" s="343"/>
      <c r="P732" s="343"/>
      <c r="Q732" s="343"/>
      <c r="R732" s="600"/>
      <c r="S732" s="600"/>
      <c r="T732" s="600"/>
      <c r="U732" s="600"/>
      <c r="V732" s="600"/>
      <c r="W732" s="600"/>
      <c r="X732" s="600"/>
      <c r="Y732" s="600"/>
      <c r="Z732" s="600"/>
      <c r="AA732" s="482"/>
      <c r="AB732" s="482"/>
      <c r="AC732" s="482"/>
      <c r="AD732" s="600">
        <v>721</v>
      </c>
      <c r="AE732" s="482"/>
      <c r="AF732" s="600"/>
      <c r="AG732" s="600"/>
      <c r="AH732" s="600"/>
      <c r="AI732" s="600"/>
      <c r="AJ732" s="600"/>
      <c r="AK732" s="600"/>
      <c r="AL732" s="600"/>
      <c r="AM732" s="600"/>
      <c r="AN732" s="482"/>
      <c r="AO732" s="600"/>
      <c r="AP732" s="600"/>
      <c r="AQ732" s="600"/>
      <c r="AR732" s="600"/>
      <c r="AS732" s="600"/>
      <c r="AT732" s="600"/>
      <c r="AU732" s="600"/>
      <c r="AV732" s="600"/>
      <c r="AW732" s="482"/>
      <c r="AX732" s="482"/>
      <c r="AY732" s="482"/>
      <c r="AZ732" s="482"/>
      <c r="BA732" s="343"/>
      <c r="BB732" s="343"/>
      <c r="BC732" s="343"/>
      <c r="BD732" s="343"/>
      <c r="BE732" s="343"/>
      <c r="BF732" s="343"/>
      <c r="BG732" s="343"/>
      <c r="BH732" s="343"/>
      <c r="BI732" s="343"/>
      <c r="BJ732" s="343"/>
      <c r="BK732" s="343"/>
      <c r="BL732" s="343"/>
      <c r="BM732" s="343"/>
      <c r="BN732" s="343"/>
      <c r="BO732" s="343"/>
      <c r="BP732" s="343"/>
      <c r="BQ732" s="343"/>
      <c r="BR732" s="343"/>
      <c r="BS732" s="343"/>
      <c r="BT732" s="343"/>
      <c r="BU732" s="343"/>
      <c r="BV732" s="343"/>
      <c r="BW732" s="343"/>
      <c r="BX732" s="343"/>
    </row>
    <row r="733" spans="1:76" s="25" customFormat="1">
      <c r="A733" s="343"/>
      <c r="B733" s="343"/>
      <c r="C733" s="64"/>
      <c r="D733" s="64"/>
      <c r="E733" s="39"/>
      <c r="F733" s="39"/>
      <c r="G733" s="39"/>
      <c r="H733" s="39"/>
      <c r="I733" s="39"/>
      <c r="J733" s="39"/>
      <c r="K733" s="39"/>
      <c r="L733" s="39"/>
      <c r="M733" s="660"/>
      <c r="N733" s="343"/>
      <c r="O733" s="343"/>
      <c r="P733" s="343"/>
      <c r="Q733" s="343"/>
      <c r="R733" s="600"/>
      <c r="S733" s="600"/>
      <c r="T733" s="600"/>
      <c r="U733" s="600"/>
      <c r="V733" s="600"/>
      <c r="W733" s="600"/>
      <c r="X733" s="600"/>
      <c r="Y733" s="600"/>
      <c r="Z733" s="600"/>
      <c r="AA733" s="482"/>
      <c r="AB733" s="482"/>
      <c r="AC733" s="482"/>
      <c r="AD733" s="600">
        <v>722</v>
      </c>
      <c r="AE733" s="482"/>
      <c r="AF733" s="600"/>
      <c r="AG733" s="600"/>
      <c r="AH733" s="600"/>
      <c r="AI733" s="600"/>
      <c r="AJ733" s="600"/>
      <c r="AK733" s="600"/>
      <c r="AL733" s="600"/>
      <c r="AM733" s="600"/>
      <c r="AN733" s="482"/>
      <c r="AO733" s="600"/>
      <c r="AP733" s="600"/>
      <c r="AQ733" s="600"/>
      <c r="AR733" s="600"/>
      <c r="AS733" s="600"/>
      <c r="AT733" s="600"/>
      <c r="AU733" s="600"/>
      <c r="AV733" s="600"/>
      <c r="AW733" s="482"/>
      <c r="AX733" s="482"/>
      <c r="AY733" s="482"/>
      <c r="AZ733" s="482"/>
      <c r="BA733" s="343"/>
      <c r="BB733" s="343"/>
      <c r="BC733" s="343"/>
      <c r="BD733" s="343"/>
      <c r="BE733" s="343"/>
      <c r="BF733" s="343"/>
      <c r="BG733" s="343"/>
      <c r="BH733" s="343"/>
      <c r="BI733" s="343"/>
      <c r="BJ733" s="343"/>
      <c r="BK733" s="343"/>
      <c r="BL733" s="343"/>
      <c r="BM733" s="343"/>
      <c r="BN733" s="343"/>
      <c r="BO733" s="343"/>
      <c r="BP733" s="343"/>
      <c r="BQ733" s="343"/>
      <c r="BR733" s="343"/>
      <c r="BS733" s="343"/>
      <c r="BT733" s="343"/>
      <c r="BU733" s="343"/>
      <c r="BV733" s="343"/>
      <c r="BW733" s="343"/>
      <c r="BX733" s="343"/>
    </row>
    <row r="734" spans="1:76" s="25" customFormat="1">
      <c r="A734" s="343"/>
      <c r="B734" s="343"/>
      <c r="C734" s="64"/>
      <c r="D734" s="64"/>
      <c r="E734" s="39"/>
      <c r="F734" s="39"/>
      <c r="G734" s="39"/>
      <c r="H734" s="39"/>
      <c r="I734" s="39"/>
      <c r="J734" s="39"/>
      <c r="K734" s="39"/>
      <c r="L734" s="39"/>
      <c r="M734" s="660"/>
      <c r="N734" s="343"/>
      <c r="O734" s="343"/>
      <c r="P734" s="343"/>
      <c r="Q734" s="343"/>
      <c r="R734" s="600"/>
      <c r="S734" s="600"/>
      <c r="T734" s="600"/>
      <c r="U734" s="600"/>
      <c r="V734" s="600"/>
      <c r="W734" s="600"/>
      <c r="X734" s="600"/>
      <c r="Y734" s="600"/>
      <c r="Z734" s="600"/>
      <c r="AA734" s="482"/>
      <c r="AB734" s="482"/>
      <c r="AC734" s="482"/>
      <c r="AD734" s="600">
        <v>723</v>
      </c>
      <c r="AE734" s="482"/>
      <c r="AF734" s="600"/>
      <c r="AG734" s="600"/>
      <c r="AH734" s="600"/>
      <c r="AI734" s="600"/>
      <c r="AJ734" s="600"/>
      <c r="AK734" s="600"/>
      <c r="AL734" s="600"/>
      <c r="AM734" s="600"/>
      <c r="AN734" s="482"/>
      <c r="AO734" s="600"/>
      <c r="AP734" s="600"/>
      <c r="AQ734" s="600"/>
      <c r="AR734" s="600"/>
      <c r="AS734" s="600"/>
      <c r="AT734" s="600"/>
      <c r="AU734" s="600"/>
      <c r="AV734" s="600"/>
      <c r="AW734" s="482"/>
      <c r="AX734" s="482"/>
      <c r="AY734" s="482"/>
      <c r="AZ734" s="482"/>
      <c r="BA734" s="343"/>
      <c r="BB734" s="343"/>
      <c r="BC734" s="343"/>
      <c r="BD734" s="343"/>
      <c r="BE734" s="343"/>
      <c r="BF734" s="343"/>
      <c r="BG734" s="343"/>
      <c r="BH734" s="343"/>
      <c r="BI734" s="343"/>
      <c r="BJ734" s="343"/>
      <c r="BK734" s="343"/>
      <c r="BL734" s="343"/>
      <c r="BM734" s="343"/>
      <c r="BN734" s="343"/>
      <c r="BO734" s="343"/>
      <c r="BP734" s="343"/>
      <c r="BQ734" s="343"/>
      <c r="BR734" s="343"/>
      <c r="BS734" s="343"/>
      <c r="BT734" s="343"/>
      <c r="BU734" s="343"/>
      <c r="BV734" s="343"/>
      <c r="BW734" s="343"/>
      <c r="BX734" s="343"/>
    </row>
    <row r="735" spans="1:76" s="25" customFormat="1">
      <c r="A735" s="343"/>
      <c r="B735" s="343"/>
      <c r="C735" s="64"/>
      <c r="D735" s="64"/>
      <c r="E735" s="39"/>
      <c r="F735" s="39"/>
      <c r="G735" s="39"/>
      <c r="H735" s="39"/>
      <c r="I735" s="39"/>
      <c r="J735" s="39"/>
      <c r="K735" s="39"/>
      <c r="L735" s="39"/>
      <c r="M735" s="660"/>
      <c r="N735" s="343"/>
      <c r="O735" s="343"/>
      <c r="P735" s="343"/>
      <c r="Q735" s="343"/>
      <c r="R735" s="600"/>
      <c r="S735" s="600"/>
      <c r="T735" s="600"/>
      <c r="U735" s="600"/>
      <c r="V735" s="600"/>
      <c r="W735" s="600"/>
      <c r="X735" s="600"/>
      <c r="Y735" s="600"/>
      <c r="Z735" s="600"/>
      <c r="AA735" s="482"/>
      <c r="AB735" s="482"/>
      <c r="AC735" s="482"/>
      <c r="AD735" s="600">
        <v>724</v>
      </c>
      <c r="AE735" s="482"/>
      <c r="AF735" s="600"/>
      <c r="AG735" s="600"/>
      <c r="AH735" s="600"/>
      <c r="AI735" s="600"/>
      <c r="AJ735" s="600"/>
      <c r="AK735" s="600"/>
      <c r="AL735" s="600"/>
      <c r="AM735" s="600"/>
      <c r="AN735" s="482"/>
      <c r="AO735" s="600"/>
      <c r="AP735" s="600"/>
      <c r="AQ735" s="600"/>
      <c r="AR735" s="600"/>
      <c r="AS735" s="600"/>
      <c r="AT735" s="600"/>
      <c r="AU735" s="600"/>
      <c r="AV735" s="600"/>
      <c r="AW735" s="482"/>
      <c r="AX735" s="482"/>
      <c r="AY735" s="482"/>
      <c r="AZ735" s="482"/>
      <c r="BA735" s="343"/>
      <c r="BB735" s="343"/>
      <c r="BC735" s="343"/>
      <c r="BD735" s="343"/>
      <c r="BE735" s="343"/>
      <c r="BF735" s="343"/>
      <c r="BG735" s="343"/>
      <c r="BH735" s="343"/>
      <c r="BI735" s="343"/>
      <c r="BJ735" s="343"/>
      <c r="BK735" s="343"/>
      <c r="BL735" s="343"/>
      <c r="BM735" s="343"/>
      <c r="BN735" s="343"/>
      <c r="BO735" s="343"/>
      <c r="BP735" s="343"/>
      <c r="BQ735" s="343"/>
      <c r="BR735" s="343"/>
      <c r="BS735" s="343"/>
      <c r="BT735" s="343"/>
      <c r="BU735" s="343"/>
      <c r="BV735" s="343"/>
      <c r="BW735" s="343"/>
      <c r="BX735" s="343"/>
    </row>
    <row r="736" spans="1:76" s="25" customFormat="1">
      <c r="A736" s="343"/>
      <c r="B736" s="343"/>
      <c r="C736" s="64"/>
      <c r="D736" s="64"/>
      <c r="E736" s="39"/>
      <c r="F736" s="39"/>
      <c r="G736" s="39"/>
      <c r="H736" s="39"/>
      <c r="I736" s="39"/>
      <c r="J736" s="39"/>
      <c r="K736" s="39"/>
      <c r="L736" s="39"/>
      <c r="M736" s="660"/>
      <c r="N736" s="343"/>
      <c r="O736" s="343"/>
      <c r="P736" s="343"/>
      <c r="Q736" s="343"/>
      <c r="R736" s="600"/>
      <c r="S736" s="600"/>
      <c r="T736" s="600"/>
      <c r="U736" s="600"/>
      <c r="V736" s="600"/>
      <c r="W736" s="600"/>
      <c r="X736" s="600"/>
      <c r="Y736" s="600"/>
      <c r="Z736" s="600"/>
      <c r="AA736" s="482"/>
      <c r="AB736" s="482"/>
      <c r="AC736" s="482"/>
      <c r="AD736" s="600">
        <v>725</v>
      </c>
      <c r="AE736" s="482"/>
      <c r="AF736" s="600"/>
      <c r="AG736" s="600"/>
      <c r="AH736" s="600"/>
      <c r="AI736" s="600"/>
      <c r="AJ736" s="600"/>
      <c r="AK736" s="600"/>
      <c r="AL736" s="600"/>
      <c r="AM736" s="600"/>
      <c r="AN736" s="482"/>
      <c r="AO736" s="600"/>
      <c r="AP736" s="600"/>
      <c r="AQ736" s="600"/>
      <c r="AR736" s="600"/>
      <c r="AS736" s="600"/>
      <c r="AT736" s="600"/>
      <c r="AU736" s="600"/>
      <c r="AV736" s="600"/>
      <c r="AW736" s="482"/>
      <c r="AX736" s="482"/>
      <c r="AY736" s="482"/>
      <c r="AZ736" s="482"/>
      <c r="BA736" s="343"/>
      <c r="BB736" s="343"/>
      <c r="BC736" s="343"/>
      <c r="BD736" s="343"/>
      <c r="BE736" s="343"/>
      <c r="BF736" s="343"/>
      <c r="BG736" s="343"/>
      <c r="BH736" s="343"/>
      <c r="BI736" s="343"/>
      <c r="BJ736" s="343"/>
      <c r="BK736" s="343"/>
      <c r="BL736" s="343"/>
      <c r="BM736" s="343"/>
      <c r="BN736" s="343"/>
      <c r="BO736" s="343"/>
      <c r="BP736" s="343"/>
      <c r="BQ736" s="343"/>
      <c r="BR736" s="343"/>
      <c r="BS736" s="343"/>
      <c r="BT736" s="343"/>
      <c r="BU736" s="343"/>
      <c r="BV736" s="343"/>
      <c r="BW736" s="343"/>
      <c r="BX736" s="343"/>
    </row>
    <row r="737" spans="1:76" s="25" customFormat="1">
      <c r="A737" s="343"/>
      <c r="B737" s="343"/>
      <c r="C737" s="64"/>
      <c r="D737" s="64"/>
      <c r="E737" s="39"/>
      <c r="F737" s="39"/>
      <c r="G737" s="39"/>
      <c r="H737" s="39"/>
      <c r="I737" s="39"/>
      <c r="J737" s="39"/>
      <c r="K737" s="39"/>
      <c r="L737" s="39"/>
      <c r="M737" s="660"/>
      <c r="N737" s="343"/>
      <c r="O737" s="343"/>
      <c r="P737" s="343"/>
      <c r="Q737" s="343"/>
      <c r="R737" s="600"/>
      <c r="S737" s="600"/>
      <c r="T737" s="600"/>
      <c r="U737" s="600"/>
      <c r="V737" s="600"/>
      <c r="W737" s="600"/>
      <c r="X737" s="600"/>
      <c r="Y737" s="600"/>
      <c r="Z737" s="600"/>
      <c r="AA737" s="482"/>
      <c r="AB737" s="482"/>
      <c r="AC737" s="482"/>
      <c r="AD737" s="600">
        <v>726</v>
      </c>
      <c r="AE737" s="482"/>
      <c r="AF737" s="600"/>
      <c r="AG737" s="600"/>
      <c r="AH737" s="600"/>
      <c r="AI737" s="600"/>
      <c r="AJ737" s="600"/>
      <c r="AK737" s="600"/>
      <c r="AL737" s="600"/>
      <c r="AM737" s="600"/>
      <c r="AN737" s="482"/>
      <c r="AO737" s="600"/>
      <c r="AP737" s="600"/>
      <c r="AQ737" s="600"/>
      <c r="AR737" s="600"/>
      <c r="AS737" s="600"/>
      <c r="AT737" s="600"/>
      <c r="AU737" s="600"/>
      <c r="AV737" s="600"/>
      <c r="AW737" s="482"/>
      <c r="AX737" s="482"/>
      <c r="AY737" s="482"/>
      <c r="AZ737" s="482"/>
      <c r="BA737" s="343"/>
      <c r="BB737" s="343"/>
      <c r="BC737" s="343"/>
      <c r="BD737" s="343"/>
      <c r="BE737" s="343"/>
      <c r="BF737" s="343"/>
      <c r="BG737" s="343"/>
      <c r="BH737" s="343"/>
      <c r="BI737" s="343"/>
      <c r="BJ737" s="343"/>
      <c r="BK737" s="343"/>
      <c r="BL737" s="343"/>
      <c r="BM737" s="343"/>
      <c r="BN737" s="343"/>
      <c r="BO737" s="343"/>
      <c r="BP737" s="343"/>
      <c r="BQ737" s="343"/>
      <c r="BR737" s="343"/>
      <c r="BS737" s="343"/>
      <c r="BT737" s="343"/>
      <c r="BU737" s="343"/>
      <c r="BV737" s="343"/>
      <c r="BW737" s="343"/>
      <c r="BX737" s="343"/>
    </row>
    <row r="738" spans="1:76" s="25" customFormat="1">
      <c r="A738" s="343"/>
      <c r="B738" s="343"/>
      <c r="C738" s="64"/>
      <c r="D738" s="64"/>
      <c r="E738" s="39"/>
      <c r="F738" s="39"/>
      <c r="G738" s="39"/>
      <c r="H738" s="39"/>
      <c r="I738" s="39"/>
      <c r="J738" s="39"/>
      <c r="K738" s="39"/>
      <c r="L738" s="39"/>
      <c r="M738" s="660"/>
      <c r="N738" s="343"/>
      <c r="O738" s="343"/>
      <c r="P738" s="343"/>
      <c r="Q738" s="343"/>
      <c r="R738" s="600"/>
      <c r="S738" s="600"/>
      <c r="T738" s="600"/>
      <c r="U738" s="600"/>
      <c r="V738" s="600"/>
      <c r="W738" s="600"/>
      <c r="X738" s="600"/>
      <c r="Y738" s="600"/>
      <c r="Z738" s="600"/>
      <c r="AA738" s="482"/>
      <c r="AB738" s="482"/>
      <c r="AC738" s="482"/>
      <c r="AD738" s="600">
        <v>727</v>
      </c>
      <c r="AE738" s="482"/>
      <c r="AF738" s="600"/>
      <c r="AG738" s="600"/>
      <c r="AH738" s="600"/>
      <c r="AI738" s="600"/>
      <c r="AJ738" s="600"/>
      <c r="AK738" s="600"/>
      <c r="AL738" s="600"/>
      <c r="AM738" s="600"/>
      <c r="AN738" s="482"/>
      <c r="AO738" s="600"/>
      <c r="AP738" s="600"/>
      <c r="AQ738" s="600"/>
      <c r="AR738" s="600"/>
      <c r="AS738" s="600"/>
      <c r="AT738" s="600"/>
      <c r="AU738" s="600"/>
      <c r="AV738" s="600"/>
      <c r="AW738" s="482"/>
      <c r="AX738" s="482"/>
      <c r="AY738" s="482"/>
      <c r="AZ738" s="482"/>
      <c r="BA738" s="343"/>
      <c r="BB738" s="343"/>
      <c r="BC738" s="343"/>
      <c r="BD738" s="343"/>
      <c r="BE738" s="343"/>
      <c r="BF738" s="343"/>
      <c r="BG738" s="343"/>
      <c r="BH738" s="343"/>
      <c r="BI738" s="343"/>
      <c r="BJ738" s="343"/>
      <c r="BK738" s="343"/>
      <c r="BL738" s="343"/>
      <c r="BM738" s="343"/>
      <c r="BN738" s="343"/>
      <c r="BO738" s="343"/>
      <c r="BP738" s="343"/>
      <c r="BQ738" s="343"/>
      <c r="BR738" s="343"/>
      <c r="BS738" s="343"/>
      <c r="BT738" s="343"/>
      <c r="BU738" s="343"/>
      <c r="BV738" s="343"/>
      <c r="BW738" s="343"/>
      <c r="BX738" s="343"/>
    </row>
    <row r="739" spans="1:76" s="25" customFormat="1">
      <c r="A739" s="343"/>
      <c r="B739" s="343"/>
      <c r="C739" s="64"/>
      <c r="D739" s="64"/>
      <c r="E739" s="39"/>
      <c r="F739" s="39"/>
      <c r="G739" s="39"/>
      <c r="H739" s="39"/>
      <c r="I739" s="39"/>
      <c r="J739" s="39"/>
      <c r="K739" s="39"/>
      <c r="L739" s="39"/>
      <c r="M739" s="660"/>
      <c r="N739" s="343"/>
      <c r="O739" s="343"/>
      <c r="P739" s="343"/>
      <c r="Q739" s="343"/>
      <c r="R739" s="600"/>
      <c r="S739" s="600"/>
      <c r="T739" s="600"/>
      <c r="U739" s="600"/>
      <c r="V739" s="600"/>
      <c r="W739" s="600"/>
      <c r="X739" s="600"/>
      <c r="Y739" s="600"/>
      <c r="Z739" s="600"/>
      <c r="AA739" s="482"/>
      <c r="AB739" s="482"/>
      <c r="AC739" s="482"/>
      <c r="AD739" s="600">
        <v>728</v>
      </c>
      <c r="AE739" s="482"/>
      <c r="AF739" s="600"/>
      <c r="AG739" s="600"/>
      <c r="AH739" s="600"/>
      <c r="AI739" s="600"/>
      <c r="AJ739" s="600"/>
      <c r="AK739" s="600"/>
      <c r="AL739" s="600"/>
      <c r="AM739" s="600"/>
      <c r="AN739" s="482"/>
      <c r="AO739" s="600"/>
      <c r="AP739" s="600"/>
      <c r="AQ739" s="600"/>
      <c r="AR739" s="600"/>
      <c r="AS739" s="600"/>
      <c r="AT739" s="600"/>
      <c r="AU739" s="600"/>
      <c r="AV739" s="600"/>
      <c r="AW739" s="482"/>
      <c r="AX739" s="482"/>
      <c r="AY739" s="482"/>
      <c r="AZ739" s="482"/>
      <c r="BA739" s="343"/>
      <c r="BB739" s="343"/>
      <c r="BC739" s="343"/>
      <c r="BD739" s="343"/>
      <c r="BE739" s="343"/>
      <c r="BF739" s="343"/>
      <c r="BG739" s="343"/>
      <c r="BH739" s="343"/>
      <c r="BI739" s="343"/>
      <c r="BJ739" s="343"/>
      <c r="BK739" s="343"/>
      <c r="BL739" s="343"/>
      <c r="BM739" s="343"/>
      <c r="BN739" s="343"/>
      <c r="BO739" s="343"/>
      <c r="BP739" s="343"/>
      <c r="BQ739" s="343"/>
      <c r="BR739" s="343"/>
      <c r="BS739" s="343"/>
      <c r="BT739" s="343"/>
      <c r="BU739" s="343"/>
      <c r="BV739" s="343"/>
      <c r="BW739" s="343"/>
      <c r="BX739" s="343"/>
    </row>
    <row r="740" spans="1:76" s="25" customFormat="1">
      <c r="A740" s="343"/>
      <c r="B740" s="343"/>
      <c r="C740" s="64"/>
      <c r="D740" s="64"/>
      <c r="E740" s="39"/>
      <c r="F740" s="39"/>
      <c r="G740" s="39"/>
      <c r="H740" s="39"/>
      <c r="I740" s="39"/>
      <c r="J740" s="39"/>
      <c r="K740" s="39"/>
      <c r="L740" s="39"/>
      <c r="M740" s="660"/>
      <c r="N740" s="343"/>
      <c r="O740" s="343"/>
      <c r="P740" s="343"/>
      <c r="Q740" s="343"/>
      <c r="R740" s="600"/>
      <c r="S740" s="600"/>
      <c r="T740" s="600"/>
      <c r="U740" s="600"/>
      <c r="V740" s="600"/>
      <c r="W740" s="600"/>
      <c r="X740" s="600"/>
      <c r="Y740" s="600"/>
      <c r="Z740" s="600"/>
      <c r="AA740" s="482"/>
      <c r="AB740" s="482"/>
      <c r="AC740" s="482"/>
      <c r="AD740" s="600">
        <v>729</v>
      </c>
      <c r="AE740" s="482"/>
      <c r="AF740" s="600"/>
      <c r="AG740" s="600"/>
      <c r="AH740" s="600"/>
      <c r="AI740" s="600"/>
      <c r="AJ740" s="600"/>
      <c r="AK740" s="600"/>
      <c r="AL740" s="600"/>
      <c r="AM740" s="600"/>
      <c r="AN740" s="482"/>
      <c r="AO740" s="600"/>
      <c r="AP740" s="600"/>
      <c r="AQ740" s="600"/>
      <c r="AR740" s="600"/>
      <c r="AS740" s="600"/>
      <c r="AT740" s="600"/>
      <c r="AU740" s="600"/>
      <c r="AV740" s="600"/>
      <c r="AW740" s="482"/>
      <c r="AX740" s="482"/>
      <c r="AY740" s="482"/>
      <c r="AZ740" s="482"/>
      <c r="BA740" s="343"/>
      <c r="BB740" s="343"/>
      <c r="BC740" s="343"/>
      <c r="BD740" s="343"/>
      <c r="BE740" s="343"/>
      <c r="BF740" s="343"/>
      <c r="BG740" s="343"/>
      <c r="BH740" s="343"/>
      <c r="BI740" s="343"/>
      <c r="BJ740" s="343"/>
      <c r="BK740" s="343"/>
      <c r="BL740" s="343"/>
      <c r="BM740" s="343"/>
      <c r="BN740" s="343"/>
      <c r="BO740" s="343"/>
      <c r="BP740" s="343"/>
      <c r="BQ740" s="343"/>
      <c r="BR740" s="343"/>
      <c r="BS740" s="343"/>
      <c r="BT740" s="343"/>
      <c r="BU740" s="343"/>
      <c r="BV740" s="343"/>
      <c r="BW740" s="343"/>
      <c r="BX740" s="343"/>
    </row>
    <row r="741" spans="1:76" s="25" customFormat="1">
      <c r="A741" s="343"/>
      <c r="B741" s="343"/>
      <c r="C741" s="64"/>
      <c r="D741" s="64"/>
      <c r="E741" s="39"/>
      <c r="F741" s="39"/>
      <c r="G741" s="39"/>
      <c r="H741" s="39"/>
      <c r="I741" s="39"/>
      <c r="J741" s="39"/>
      <c r="K741" s="39"/>
      <c r="L741" s="39"/>
      <c r="M741" s="660"/>
      <c r="N741" s="343"/>
      <c r="O741" s="343"/>
      <c r="P741" s="343"/>
      <c r="Q741" s="343"/>
      <c r="R741" s="600"/>
      <c r="S741" s="600"/>
      <c r="T741" s="600"/>
      <c r="U741" s="600"/>
      <c r="V741" s="600"/>
      <c r="W741" s="600"/>
      <c r="X741" s="600"/>
      <c r="Y741" s="600"/>
      <c r="Z741" s="600"/>
      <c r="AA741" s="482"/>
      <c r="AB741" s="482"/>
      <c r="AC741" s="482"/>
      <c r="AD741" s="600">
        <v>730</v>
      </c>
      <c r="AE741" s="482"/>
      <c r="AF741" s="600"/>
      <c r="AG741" s="600"/>
      <c r="AH741" s="600"/>
      <c r="AI741" s="600"/>
      <c r="AJ741" s="600"/>
      <c r="AK741" s="600"/>
      <c r="AL741" s="600"/>
      <c r="AM741" s="600"/>
      <c r="AN741" s="482"/>
      <c r="AO741" s="600"/>
      <c r="AP741" s="600"/>
      <c r="AQ741" s="600"/>
      <c r="AR741" s="600"/>
      <c r="AS741" s="600"/>
      <c r="AT741" s="600"/>
      <c r="AU741" s="600"/>
      <c r="AV741" s="600"/>
      <c r="AW741" s="482"/>
      <c r="AX741" s="482"/>
      <c r="AY741" s="482"/>
      <c r="AZ741" s="482"/>
      <c r="BA741" s="343"/>
      <c r="BB741" s="343"/>
      <c r="BC741" s="343"/>
      <c r="BD741" s="343"/>
      <c r="BE741" s="343"/>
      <c r="BF741" s="343"/>
      <c r="BG741" s="343"/>
      <c r="BH741" s="343"/>
      <c r="BI741" s="343"/>
      <c r="BJ741" s="343"/>
      <c r="BK741" s="343"/>
      <c r="BL741" s="343"/>
      <c r="BM741" s="343"/>
      <c r="BN741" s="343"/>
      <c r="BO741" s="343"/>
      <c r="BP741" s="343"/>
      <c r="BQ741" s="343"/>
      <c r="BR741" s="343"/>
      <c r="BS741" s="343"/>
      <c r="BT741" s="343"/>
      <c r="BU741" s="343"/>
      <c r="BV741" s="343"/>
      <c r="BW741" s="343"/>
      <c r="BX741" s="343"/>
    </row>
    <row r="742" spans="1:76" s="25" customFormat="1">
      <c r="A742" s="343"/>
      <c r="B742" s="343"/>
      <c r="C742" s="64"/>
      <c r="D742" s="64"/>
      <c r="E742" s="39"/>
      <c r="F742" s="39"/>
      <c r="G742" s="39"/>
      <c r="H742" s="39"/>
      <c r="I742" s="39"/>
      <c r="J742" s="39"/>
      <c r="K742" s="39"/>
      <c r="L742" s="39"/>
      <c r="M742" s="660"/>
      <c r="N742" s="343"/>
      <c r="O742" s="343"/>
      <c r="P742" s="343"/>
      <c r="Q742" s="343"/>
      <c r="R742" s="600"/>
      <c r="S742" s="600"/>
      <c r="T742" s="600"/>
      <c r="U742" s="600"/>
      <c r="V742" s="600"/>
      <c r="W742" s="600"/>
      <c r="X742" s="600"/>
      <c r="Y742" s="600"/>
      <c r="Z742" s="600"/>
      <c r="AA742" s="482"/>
      <c r="AB742" s="482"/>
      <c r="AC742" s="482"/>
      <c r="AD742" s="600">
        <v>731</v>
      </c>
      <c r="AE742" s="482"/>
      <c r="AF742" s="600"/>
      <c r="AG742" s="600"/>
      <c r="AH742" s="600"/>
      <c r="AI742" s="600"/>
      <c r="AJ742" s="600"/>
      <c r="AK742" s="600"/>
      <c r="AL742" s="600"/>
      <c r="AM742" s="600"/>
      <c r="AN742" s="482"/>
      <c r="AO742" s="600"/>
      <c r="AP742" s="600"/>
      <c r="AQ742" s="600"/>
      <c r="AR742" s="600"/>
      <c r="AS742" s="600"/>
      <c r="AT742" s="600"/>
      <c r="AU742" s="600"/>
      <c r="AV742" s="600"/>
      <c r="AW742" s="482"/>
      <c r="AX742" s="482"/>
      <c r="AY742" s="482"/>
      <c r="AZ742" s="482"/>
      <c r="BA742" s="343"/>
      <c r="BB742" s="343"/>
      <c r="BC742" s="343"/>
      <c r="BD742" s="343"/>
      <c r="BE742" s="343"/>
      <c r="BF742" s="343"/>
      <c r="BG742" s="343"/>
      <c r="BH742" s="343"/>
      <c r="BI742" s="343"/>
      <c r="BJ742" s="343"/>
      <c r="BK742" s="343"/>
      <c r="BL742" s="343"/>
      <c r="BM742" s="343"/>
      <c r="BN742" s="343"/>
      <c r="BO742" s="343"/>
      <c r="BP742" s="343"/>
      <c r="BQ742" s="343"/>
      <c r="BR742" s="343"/>
      <c r="BS742" s="343"/>
      <c r="BT742" s="343"/>
      <c r="BU742" s="343"/>
      <c r="BV742" s="343"/>
      <c r="BW742" s="343"/>
      <c r="BX742" s="343"/>
    </row>
    <row r="743" spans="1:76" s="25" customFormat="1">
      <c r="A743" s="343"/>
      <c r="B743" s="343"/>
      <c r="C743" s="64"/>
      <c r="D743" s="64"/>
      <c r="E743" s="39"/>
      <c r="F743" s="39"/>
      <c r="G743" s="39"/>
      <c r="H743" s="39"/>
      <c r="I743" s="39"/>
      <c r="J743" s="39"/>
      <c r="K743" s="39"/>
      <c r="L743" s="39"/>
      <c r="M743" s="660"/>
      <c r="N743" s="343"/>
      <c r="O743" s="343"/>
      <c r="P743" s="343"/>
      <c r="Q743" s="343"/>
      <c r="R743" s="600"/>
      <c r="S743" s="600"/>
      <c r="T743" s="600"/>
      <c r="U743" s="600"/>
      <c r="V743" s="600"/>
      <c r="W743" s="600"/>
      <c r="X743" s="600"/>
      <c r="Y743" s="600"/>
      <c r="Z743" s="600"/>
      <c r="AA743" s="482"/>
      <c r="AB743" s="482"/>
      <c r="AC743" s="482"/>
      <c r="AD743" s="600">
        <v>732</v>
      </c>
      <c r="AE743" s="482"/>
      <c r="AF743" s="600"/>
      <c r="AG743" s="600"/>
      <c r="AH743" s="600"/>
      <c r="AI743" s="600"/>
      <c r="AJ743" s="600"/>
      <c r="AK743" s="600"/>
      <c r="AL743" s="600"/>
      <c r="AM743" s="600"/>
      <c r="AN743" s="482"/>
      <c r="AO743" s="600"/>
      <c r="AP743" s="600"/>
      <c r="AQ743" s="600"/>
      <c r="AR743" s="600"/>
      <c r="AS743" s="600"/>
      <c r="AT743" s="600"/>
      <c r="AU743" s="600"/>
      <c r="AV743" s="600"/>
      <c r="AW743" s="482"/>
      <c r="AX743" s="482"/>
      <c r="AY743" s="482"/>
      <c r="AZ743" s="482"/>
      <c r="BA743" s="343"/>
      <c r="BB743" s="343"/>
      <c r="BC743" s="343"/>
      <c r="BD743" s="343"/>
      <c r="BE743" s="343"/>
      <c r="BF743" s="343"/>
      <c r="BG743" s="343"/>
      <c r="BH743" s="343"/>
      <c r="BI743" s="343"/>
      <c r="BJ743" s="343"/>
      <c r="BK743" s="343"/>
      <c r="BL743" s="343"/>
      <c r="BM743" s="343"/>
      <c r="BN743" s="343"/>
      <c r="BO743" s="343"/>
      <c r="BP743" s="343"/>
      <c r="BQ743" s="343"/>
      <c r="BR743" s="343"/>
      <c r="BS743" s="343"/>
      <c r="BT743" s="343"/>
      <c r="BU743" s="343"/>
      <c r="BV743" s="343"/>
      <c r="BW743" s="343"/>
      <c r="BX743" s="343"/>
    </row>
    <row r="744" spans="1:76" s="25" customFormat="1">
      <c r="A744" s="343"/>
      <c r="B744" s="343"/>
      <c r="C744" s="64"/>
      <c r="D744" s="64"/>
      <c r="E744" s="39"/>
      <c r="F744" s="39"/>
      <c r="G744" s="39"/>
      <c r="H744" s="39"/>
      <c r="I744" s="39"/>
      <c r="J744" s="39"/>
      <c r="K744" s="39"/>
      <c r="L744" s="39"/>
      <c r="M744" s="660"/>
      <c r="N744" s="343"/>
      <c r="O744" s="343"/>
      <c r="P744" s="343"/>
      <c r="Q744" s="343"/>
      <c r="R744" s="600"/>
      <c r="S744" s="600"/>
      <c r="T744" s="600"/>
      <c r="U744" s="600"/>
      <c r="V744" s="600"/>
      <c r="W744" s="600"/>
      <c r="X744" s="600"/>
      <c r="Y744" s="600"/>
      <c r="Z744" s="600"/>
      <c r="AA744" s="482"/>
      <c r="AB744" s="482"/>
      <c r="AC744" s="482"/>
      <c r="AD744" s="600">
        <v>733</v>
      </c>
      <c r="AE744" s="482"/>
      <c r="AF744" s="600"/>
      <c r="AG744" s="600"/>
      <c r="AH744" s="600"/>
      <c r="AI744" s="600"/>
      <c r="AJ744" s="600"/>
      <c r="AK744" s="600"/>
      <c r="AL744" s="600"/>
      <c r="AM744" s="600"/>
      <c r="AN744" s="482"/>
      <c r="AO744" s="600"/>
      <c r="AP744" s="600"/>
      <c r="AQ744" s="600"/>
      <c r="AR744" s="600"/>
      <c r="AS744" s="600"/>
      <c r="AT744" s="600"/>
      <c r="AU744" s="600"/>
      <c r="AV744" s="600"/>
      <c r="AW744" s="482"/>
      <c r="AX744" s="482"/>
      <c r="AY744" s="482"/>
      <c r="AZ744" s="482"/>
      <c r="BA744" s="343"/>
      <c r="BB744" s="343"/>
      <c r="BC744" s="343"/>
      <c r="BD744" s="343"/>
      <c r="BE744" s="343"/>
      <c r="BF744" s="343"/>
      <c r="BG744" s="343"/>
      <c r="BH744" s="343"/>
      <c r="BI744" s="343"/>
      <c r="BJ744" s="343"/>
      <c r="BK744" s="343"/>
      <c r="BL744" s="343"/>
      <c r="BM744" s="343"/>
      <c r="BN744" s="343"/>
      <c r="BO744" s="343"/>
      <c r="BP744" s="343"/>
      <c r="BQ744" s="343"/>
      <c r="BR744" s="343"/>
      <c r="BS744" s="343"/>
      <c r="BT744" s="343"/>
      <c r="BU744" s="343"/>
      <c r="BV744" s="343"/>
      <c r="BW744" s="343"/>
      <c r="BX744" s="343"/>
    </row>
    <row r="745" spans="1:76" s="25" customFormat="1">
      <c r="A745" s="343"/>
      <c r="B745" s="343"/>
      <c r="C745" s="64"/>
      <c r="D745" s="64"/>
      <c r="E745" s="39"/>
      <c r="F745" s="39"/>
      <c r="G745" s="39"/>
      <c r="H745" s="39"/>
      <c r="I745" s="39"/>
      <c r="J745" s="39"/>
      <c r="K745" s="39"/>
      <c r="L745" s="39"/>
      <c r="M745" s="660"/>
      <c r="N745" s="343"/>
      <c r="O745" s="343"/>
      <c r="P745" s="343"/>
      <c r="Q745" s="343"/>
      <c r="R745" s="600"/>
      <c r="S745" s="600"/>
      <c r="T745" s="600"/>
      <c r="U745" s="600"/>
      <c r="V745" s="600"/>
      <c r="W745" s="600"/>
      <c r="X745" s="600"/>
      <c r="Y745" s="600"/>
      <c r="Z745" s="600"/>
      <c r="AA745" s="482"/>
      <c r="AB745" s="482"/>
      <c r="AC745" s="482"/>
      <c r="AD745" s="600">
        <v>734</v>
      </c>
      <c r="AE745" s="482"/>
      <c r="AF745" s="600"/>
      <c r="AG745" s="600"/>
      <c r="AH745" s="600"/>
      <c r="AI745" s="600"/>
      <c r="AJ745" s="600"/>
      <c r="AK745" s="600"/>
      <c r="AL745" s="600"/>
      <c r="AM745" s="600"/>
      <c r="AN745" s="482"/>
      <c r="AO745" s="600"/>
      <c r="AP745" s="600"/>
      <c r="AQ745" s="600"/>
      <c r="AR745" s="600"/>
      <c r="AS745" s="600"/>
      <c r="AT745" s="600"/>
      <c r="AU745" s="600"/>
      <c r="AV745" s="600"/>
      <c r="AW745" s="482"/>
      <c r="AX745" s="482"/>
      <c r="AY745" s="482"/>
      <c r="AZ745" s="482"/>
      <c r="BA745" s="343"/>
      <c r="BB745" s="343"/>
      <c r="BC745" s="343"/>
      <c r="BD745" s="343"/>
      <c r="BE745" s="343"/>
      <c r="BF745" s="343"/>
      <c r="BG745" s="343"/>
      <c r="BH745" s="343"/>
      <c r="BI745" s="343"/>
      <c r="BJ745" s="343"/>
      <c r="BK745" s="343"/>
      <c r="BL745" s="343"/>
      <c r="BM745" s="343"/>
      <c r="BN745" s="343"/>
      <c r="BO745" s="343"/>
      <c r="BP745" s="343"/>
      <c r="BQ745" s="343"/>
      <c r="BR745" s="343"/>
      <c r="BS745" s="343"/>
      <c r="BT745" s="343"/>
      <c r="BU745" s="343"/>
      <c r="BV745" s="343"/>
      <c r="BW745" s="343"/>
      <c r="BX745" s="343"/>
    </row>
    <row r="746" spans="1:76" s="25" customFormat="1">
      <c r="A746" s="343"/>
      <c r="B746" s="343"/>
      <c r="C746" s="64"/>
      <c r="D746" s="64"/>
      <c r="E746" s="39"/>
      <c r="F746" s="39"/>
      <c r="G746" s="39"/>
      <c r="H746" s="39"/>
      <c r="I746" s="39"/>
      <c r="J746" s="39"/>
      <c r="K746" s="39"/>
      <c r="L746" s="39"/>
      <c r="M746" s="660"/>
      <c r="N746" s="343"/>
      <c r="O746" s="343"/>
      <c r="P746" s="343"/>
      <c r="Q746" s="343"/>
      <c r="R746" s="600"/>
      <c r="S746" s="600"/>
      <c r="T746" s="600"/>
      <c r="U746" s="600"/>
      <c r="V746" s="600"/>
      <c r="W746" s="600"/>
      <c r="X746" s="600"/>
      <c r="Y746" s="600"/>
      <c r="Z746" s="600"/>
      <c r="AA746" s="482"/>
      <c r="AB746" s="482"/>
      <c r="AC746" s="482"/>
      <c r="AD746" s="600">
        <v>735</v>
      </c>
      <c r="AE746" s="482"/>
      <c r="AF746" s="600"/>
      <c r="AG746" s="600"/>
      <c r="AH746" s="600"/>
      <c r="AI746" s="600"/>
      <c r="AJ746" s="600"/>
      <c r="AK746" s="600"/>
      <c r="AL746" s="600"/>
      <c r="AM746" s="600"/>
      <c r="AN746" s="482"/>
      <c r="AO746" s="600"/>
      <c r="AP746" s="600"/>
      <c r="AQ746" s="600"/>
      <c r="AR746" s="600"/>
      <c r="AS746" s="600"/>
      <c r="AT746" s="600"/>
      <c r="AU746" s="600"/>
      <c r="AV746" s="600"/>
      <c r="AW746" s="482"/>
      <c r="AX746" s="482"/>
      <c r="AY746" s="482"/>
      <c r="AZ746" s="482"/>
      <c r="BA746" s="343"/>
      <c r="BB746" s="343"/>
      <c r="BC746" s="343"/>
      <c r="BD746" s="343"/>
      <c r="BE746" s="343"/>
      <c r="BF746" s="343"/>
      <c r="BG746" s="343"/>
      <c r="BH746" s="343"/>
      <c r="BI746" s="343"/>
      <c r="BJ746" s="343"/>
      <c r="BK746" s="343"/>
      <c r="BL746" s="343"/>
      <c r="BM746" s="343"/>
      <c r="BN746" s="343"/>
      <c r="BO746" s="343"/>
      <c r="BP746" s="343"/>
      <c r="BQ746" s="343"/>
      <c r="BR746" s="343"/>
      <c r="BS746" s="343"/>
      <c r="BT746" s="343"/>
      <c r="BU746" s="343"/>
      <c r="BV746" s="343"/>
      <c r="BW746" s="343"/>
      <c r="BX746" s="343"/>
    </row>
    <row r="747" spans="1:76" s="25" customFormat="1">
      <c r="A747" s="343"/>
      <c r="B747" s="343"/>
      <c r="C747" s="64"/>
      <c r="D747" s="64"/>
      <c r="E747" s="39"/>
      <c r="F747" s="39"/>
      <c r="G747" s="39"/>
      <c r="H747" s="39"/>
      <c r="I747" s="39"/>
      <c r="J747" s="39"/>
      <c r="K747" s="39"/>
      <c r="L747" s="39"/>
      <c r="M747" s="660"/>
      <c r="N747" s="343"/>
      <c r="O747" s="343"/>
      <c r="P747" s="343"/>
      <c r="Q747" s="343"/>
      <c r="R747" s="600"/>
      <c r="S747" s="600"/>
      <c r="T747" s="600"/>
      <c r="U747" s="600"/>
      <c r="V747" s="600"/>
      <c r="W747" s="600"/>
      <c r="X747" s="600"/>
      <c r="Y747" s="600"/>
      <c r="Z747" s="600"/>
      <c r="AA747" s="482"/>
      <c r="AB747" s="482"/>
      <c r="AC747" s="482"/>
      <c r="AD747" s="600">
        <v>736</v>
      </c>
      <c r="AE747" s="482"/>
      <c r="AF747" s="600"/>
      <c r="AG747" s="600"/>
      <c r="AH747" s="600"/>
      <c r="AI747" s="600"/>
      <c r="AJ747" s="600"/>
      <c r="AK747" s="600"/>
      <c r="AL747" s="600"/>
      <c r="AM747" s="600"/>
      <c r="AN747" s="482"/>
      <c r="AO747" s="600"/>
      <c r="AP747" s="600"/>
      <c r="AQ747" s="600"/>
      <c r="AR747" s="600"/>
      <c r="AS747" s="600"/>
      <c r="AT747" s="600"/>
      <c r="AU747" s="600"/>
      <c r="AV747" s="600"/>
      <c r="AW747" s="482"/>
      <c r="AX747" s="482"/>
      <c r="AY747" s="482"/>
      <c r="AZ747" s="482"/>
      <c r="BA747" s="343"/>
      <c r="BB747" s="343"/>
      <c r="BC747" s="343"/>
      <c r="BD747" s="343"/>
      <c r="BE747" s="343"/>
      <c r="BF747" s="343"/>
      <c r="BG747" s="343"/>
      <c r="BH747" s="343"/>
      <c r="BI747" s="343"/>
      <c r="BJ747" s="343"/>
      <c r="BK747" s="343"/>
      <c r="BL747" s="343"/>
      <c r="BM747" s="343"/>
      <c r="BN747" s="343"/>
      <c r="BO747" s="343"/>
      <c r="BP747" s="343"/>
      <c r="BQ747" s="343"/>
      <c r="BR747" s="343"/>
      <c r="BS747" s="343"/>
      <c r="BT747" s="343"/>
      <c r="BU747" s="343"/>
      <c r="BV747" s="343"/>
      <c r="BW747" s="343"/>
      <c r="BX747" s="343"/>
    </row>
    <row r="748" spans="1:76" s="25" customFormat="1">
      <c r="A748" s="343"/>
      <c r="B748" s="343"/>
      <c r="C748" s="64"/>
      <c r="D748" s="64"/>
      <c r="E748" s="39"/>
      <c r="F748" s="39"/>
      <c r="G748" s="39"/>
      <c r="H748" s="39"/>
      <c r="I748" s="39"/>
      <c r="J748" s="39"/>
      <c r="K748" s="39"/>
      <c r="L748" s="39"/>
      <c r="M748" s="660"/>
      <c r="N748" s="343"/>
      <c r="O748" s="343"/>
      <c r="P748" s="343"/>
      <c r="Q748" s="343"/>
      <c r="R748" s="600"/>
      <c r="S748" s="600"/>
      <c r="T748" s="600"/>
      <c r="U748" s="600"/>
      <c r="V748" s="600"/>
      <c r="W748" s="600"/>
      <c r="X748" s="600"/>
      <c r="Y748" s="600"/>
      <c r="Z748" s="600"/>
      <c r="AA748" s="482"/>
      <c r="AB748" s="482"/>
      <c r="AC748" s="482"/>
      <c r="AD748" s="600">
        <v>737</v>
      </c>
      <c r="AE748" s="482"/>
      <c r="AF748" s="600"/>
      <c r="AG748" s="600"/>
      <c r="AH748" s="600"/>
      <c r="AI748" s="600"/>
      <c r="AJ748" s="600"/>
      <c r="AK748" s="600"/>
      <c r="AL748" s="600"/>
      <c r="AM748" s="600"/>
      <c r="AN748" s="482"/>
      <c r="AO748" s="600"/>
      <c r="AP748" s="600"/>
      <c r="AQ748" s="600"/>
      <c r="AR748" s="600"/>
      <c r="AS748" s="600"/>
      <c r="AT748" s="600"/>
      <c r="AU748" s="600"/>
      <c r="AV748" s="600"/>
      <c r="AW748" s="482"/>
      <c r="AX748" s="482"/>
      <c r="AY748" s="482"/>
      <c r="AZ748" s="482"/>
      <c r="BA748" s="343"/>
      <c r="BB748" s="343"/>
      <c r="BC748" s="343"/>
      <c r="BD748" s="343"/>
      <c r="BE748" s="343"/>
      <c r="BF748" s="343"/>
      <c r="BG748" s="343"/>
      <c r="BH748" s="343"/>
      <c r="BI748" s="343"/>
      <c r="BJ748" s="343"/>
      <c r="BK748" s="343"/>
      <c r="BL748" s="343"/>
      <c r="BM748" s="343"/>
      <c r="BN748" s="343"/>
      <c r="BO748" s="343"/>
      <c r="BP748" s="343"/>
      <c r="BQ748" s="343"/>
      <c r="BR748" s="343"/>
      <c r="BS748" s="343"/>
      <c r="BT748" s="343"/>
      <c r="BU748" s="343"/>
      <c r="BV748" s="343"/>
      <c r="BW748" s="343"/>
      <c r="BX748" s="343"/>
    </row>
    <row r="749" spans="1:76" s="25" customFormat="1">
      <c r="A749" s="343"/>
      <c r="B749" s="343"/>
      <c r="C749" s="64"/>
      <c r="D749" s="64"/>
      <c r="E749" s="39"/>
      <c r="F749" s="39"/>
      <c r="G749" s="39"/>
      <c r="H749" s="39"/>
      <c r="I749" s="39"/>
      <c r="J749" s="39"/>
      <c r="K749" s="39"/>
      <c r="L749" s="39"/>
      <c r="M749" s="660"/>
      <c r="N749" s="343"/>
      <c r="O749" s="343"/>
      <c r="P749" s="343"/>
      <c r="Q749" s="343"/>
      <c r="R749" s="600"/>
      <c r="S749" s="600"/>
      <c r="T749" s="600"/>
      <c r="U749" s="600"/>
      <c r="V749" s="600"/>
      <c r="W749" s="600"/>
      <c r="X749" s="600"/>
      <c r="Y749" s="600"/>
      <c r="Z749" s="600"/>
      <c r="AA749" s="482"/>
      <c r="AB749" s="482"/>
      <c r="AC749" s="482"/>
      <c r="AD749" s="600">
        <v>738</v>
      </c>
      <c r="AE749" s="482"/>
      <c r="AF749" s="600"/>
      <c r="AG749" s="600"/>
      <c r="AH749" s="600"/>
      <c r="AI749" s="600"/>
      <c r="AJ749" s="600"/>
      <c r="AK749" s="600"/>
      <c r="AL749" s="600"/>
      <c r="AM749" s="600"/>
      <c r="AN749" s="482"/>
      <c r="AO749" s="600"/>
      <c r="AP749" s="600"/>
      <c r="AQ749" s="600"/>
      <c r="AR749" s="600"/>
      <c r="AS749" s="600"/>
      <c r="AT749" s="600"/>
      <c r="AU749" s="600"/>
      <c r="AV749" s="600"/>
      <c r="AW749" s="482"/>
      <c r="AX749" s="482"/>
      <c r="AY749" s="482"/>
      <c r="AZ749" s="482"/>
      <c r="BA749" s="343"/>
      <c r="BB749" s="343"/>
      <c r="BC749" s="343"/>
      <c r="BD749" s="343"/>
      <c r="BE749" s="343"/>
      <c r="BF749" s="343"/>
      <c r="BG749" s="343"/>
      <c r="BH749" s="343"/>
      <c r="BI749" s="343"/>
      <c r="BJ749" s="343"/>
      <c r="BK749" s="343"/>
      <c r="BL749" s="343"/>
      <c r="BM749" s="343"/>
      <c r="BN749" s="343"/>
      <c r="BO749" s="343"/>
      <c r="BP749" s="343"/>
      <c r="BQ749" s="343"/>
      <c r="BR749" s="343"/>
      <c r="BS749" s="343"/>
      <c r="BT749" s="343"/>
      <c r="BU749" s="343"/>
      <c r="BV749" s="343"/>
      <c r="BW749" s="343"/>
      <c r="BX749" s="343"/>
    </row>
    <row r="750" spans="1:76" s="25" customFormat="1">
      <c r="A750" s="343"/>
      <c r="B750" s="343"/>
      <c r="C750" s="64"/>
      <c r="D750" s="64"/>
      <c r="E750" s="39"/>
      <c r="F750" s="39"/>
      <c r="G750" s="39"/>
      <c r="H750" s="39"/>
      <c r="I750" s="39"/>
      <c r="J750" s="39"/>
      <c r="K750" s="39"/>
      <c r="L750" s="39"/>
      <c r="M750" s="660"/>
      <c r="N750" s="343"/>
      <c r="O750" s="343"/>
      <c r="P750" s="343"/>
      <c r="Q750" s="343"/>
      <c r="R750" s="600"/>
      <c r="S750" s="600"/>
      <c r="T750" s="600"/>
      <c r="U750" s="600"/>
      <c r="V750" s="600"/>
      <c r="W750" s="600"/>
      <c r="X750" s="600"/>
      <c r="Y750" s="600"/>
      <c r="Z750" s="600"/>
      <c r="AA750" s="482"/>
      <c r="AB750" s="482"/>
      <c r="AC750" s="482"/>
      <c r="AD750" s="600">
        <v>739</v>
      </c>
      <c r="AE750" s="482"/>
      <c r="AF750" s="600"/>
      <c r="AG750" s="600"/>
      <c r="AH750" s="600"/>
      <c r="AI750" s="600"/>
      <c r="AJ750" s="600"/>
      <c r="AK750" s="600"/>
      <c r="AL750" s="600"/>
      <c r="AM750" s="600"/>
      <c r="AN750" s="482"/>
      <c r="AO750" s="600"/>
      <c r="AP750" s="600"/>
      <c r="AQ750" s="600"/>
      <c r="AR750" s="600"/>
      <c r="AS750" s="600"/>
      <c r="AT750" s="600"/>
      <c r="AU750" s="600"/>
      <c r="AV750" s="600"/>
      <c r="AW750" s="482"/>
      <c r="AX750" s="482"/>
      <c r="AY750" s="482"/>
      <c r="AZ750" s="482"/>
      <c r="BA750" s="343"/>
      <c r="BB750" s="343"/>
      <c r="BC750" s="343"/>
      <c r="BD750" s="343"/>
      <c r="BE750" s="343"/>
      <c r="BF750" s="343"/>
      <c r="BG750" s="343"/>
      <c r="BH750" s="343"/>
      <c r="BI750" s="343"/>
      <c r="BJ750" s="343"/>
      <c r="BK750" s="343"/>
      <c r="BL750" s="343"/>
      <c r="BM750" s="343"/>
      <c r="BN750" s="343"/>
      <c r="BO750" s="343"/>
      <c r="BP750" s="343"/>
      <c r="BQ750" s="343"/>
      <c r="BR750" s="343"/>
      <c r="BS750" s="343"/>
      <c r="BT750" s="343"/>
      <c r="BU750" s="343"/>
      <c r="BV750" s="343"/>
      <c r="BW750" s="343"/>
      <c r="BX750" s="343"/>
    </row>
    <row r="751" spans="1:76" s="25" customFormat="1">
      <c r="A751" s="343"/>
      <c r="B751" s="343"/>
      <c r="C751" s="64"/>
      <c r="D751" s="64"/>
      <c r="E751" s="39"/>
      <c r="F751" s="39"/>
      <c r="G751" s="39"/>
      <c r="H751" s="39"/>
      <c r="I751" s="39"/>
      <c r="J751" s="39"/>
      <c r="K751" s="39"/>
      <c r="L751" s="39"/>
      <c r="M751" s="660"/>
      <c r="N751" s="343"/>
      <c r="O751" s="343"/>
      <c r="P751" s="343"/>
      <c r="Q751" s="343"/>
      <c r="R751" s="600"/>
      <c r="S751" s="600"/>
      <c r="T751" s="600"/>
      <c r="U751" s="600"/>
      <c r="V751" s="600"/>
      <c r="W751" s="600"/>
      <c r="X751" s="600"/>
      <c r="Y751" s="600"/>
      <c r="Z751" s="600"/>
      <c r="AA751" s="482"/>
      <c r="AB751" s="482"/>
      <c r="AC751" s="482"/>
      <c r="AD751" s="600">
        <v>740</v>
      </c>
      <c r="AE751" s="482"/>
      <c r="AF751" s="600"/>
      <c r="AG751" s="600"/>
      <c r="AH751" s="600"/>
      <c r="AI751" s="600"/>
      <c r="AJ751" s="600"/>
      <c r="AK751" s="600"/>
      <c r="AL751" s="600"/>
      <c r="AM751" s="600"/>
      <c r="AN751" s="482"/>
      <c r="AO751" s="600"/>
      <c r="AP751" s="600"/>
      <c r="AQ751" s="600"/>
      <c r="AR751" s="600"/>
      <c r="AS751" s="600"/>
      <c r="AT751" s="600"/>
      <c r="AU751" s="600"/>
      <c r="AV751" s="600"/>
      <c r="AW751" s="482"/>
      <c r="AX751" s="482"/>
      <c r="AY751" s="482"/>
      <c r="AZ751" s="482"/>
      <c r="BA751" s="343"/>
      <c r="BB751" s="343"/>
      <c r="BC751" s="343"/>
      <c r="BD751" s="343"/>
      <c r="BE751" s="343"/>
      <c r="BF751" s="343"/>
      <c r="BG751" s="343"/>
      <c r="BH751" s="343"/>
      <c r="BI751" s="343"/>
      <c r="BJ751" s="343"/>
      <c r="BK751" s="343"/>
      <c r="BL751" s="343"/>
      <c r="BM751" s="343"/>
      <c r="BN751" s="343"/>
      <c r="BO751" s="343"/>
      <c r="BP751" s="343"/>
      <c r="BQ751" s="343"/>
      <c r="BR751" s="343"/>
      <c r="BS751" s="343"/>
      <c r="BT751" s="343"/>
      <c r="BU751" s="343"/>
      <c r="BV751" s="343"/>
      <c r="BW751" s="343"/>
      <c r="BX751" s="343"/>
    </row>
    <row r="752" spans="1:76" s="25" customFormat="1">
      <c r="A752" s="343"/>
      <c r="B752" s="343"/>
      <c r="C752" s="64"/>
      <c r="D752" s="64"/>
      <c r="E752" s="39"/>
      <c r="F752" s="39"/>
      <c r="G752" s="39"/>
      <c r="H752" s="39"/>
      <c r="I752" s="39"/>
      <c r="J752" s="39"/>
      <c r="K752" s="39"/>
      <c r="L752" s="39"/>
      <c r="M752" s="660"/>
      <c r="N752" s="343"/>
      <c r="O752" s="343"/>
      <c r="P752" s="343"/>
      <c r="Q752" s="343"/>
      <c r="R752" s="600"/>
      <c r="S752" s="600"/>
      <c r="T752" s="600"/>
      <c r="U752" s="600"/>
      <c r="V752" s="600"/>
      <c r="W752" s="600"/>
      <c r="X752" s="600"/>
      <c r="Y752" s="600"/>
      <c r="Z752" s="600"/>
      <c r="AA752" s="482"/>
      <c r="AB752" s="482"/>
      <c r="AC752" s="482"/>
      <c r="AD752" s="600">
        <v>741</v>
      </c>
      <c r="AE752" s="482"/>
      <c r="AF752" s="600"/>
      <c r="AG752" s="600"/>
      <c r="AH752" s="600"/>
      <c r="AI752" s="600"/>
      <c r="AJ752" s="600"/>
      <c r="AK752" s="600"/>
      <c r="AL752" s="600"/>
      <c r="AM752" s="600"/>
      <c r="AN752" s="482"/>
      <c r="AO752" s="600"/>
      <c r="AP752" s="600"/>
      <c r="AQ752" s="600"/>
      <c r="AR752" s="600"/>
      <c r="AS752" s="600"/>
      <c r="AT752" s="600"/>
      <c r="AU752" s="600"/>
      <c r="AV752" s="600"/>
      <c r="AW752" s="482"/>
      <c r="AX752" s="482"/>
      <c r="AY752" s="482"/>
      <c r="AZ752" s="482"/>
      <c r="BA752" s="343"/>
      <c r="BB752" s="343"/>
      <c r="BC752" s="343"/>
      <c r="BD752" s="343"/>
      <c r="BE752" s="343"/>
      <c r="BF752" s="343"/>
      <c r="BG752" s="343"/>
      <c r="BH752" s="343"/>
      <c r="BI752" s="343"/>
      <c r="BJ752" s="343"/>
      <c r="BK752" s="343"/>
      <c r="BL752" s="343"/>
      <c r="BM752" s="343"/>
      <c r="BN752" s="343"/>
      <c r="BO752" s="343"/>
      <c r="BP752" s="343"/>
      <c r="BQ752" s="343"/>
      <c r="BR752" s="343"/>
      <c r="BS752" s="343"/>
      <c r="BT752" s="343"/>
      <c r="BU752" s="343"/>
      <c r="BV752" s="343"/>
      <c r="BW752" s="343"/>
      <c r="BX752" s="343"/>
    </row>
    <row r="753" spans="1:76" s="25" customFormat="1">
      <c r="A753" s="343"/>
      <c r="B753" s="343"/>
      <c r="C753" s="64"/>
      <c r="D753" s="64"/>
      <c r="E753" s="39"/>
      <c r="F753" s="39"/>
      <c r="G753" s="39"/>
      <c r="H753" s="39"/>
      <c r="I753" s="39"/>
      <c r="J753" s="39"/>
      <c r="K753" s="39"/>
      <c r="L753" s="39"/>
      <c r="M753" s="660"/>
      <c r="N753" s="343"/>
      <c r="O753" s="343"/>
      <c r="P753" s="343"/>
      <c r="Q753" s="343"/>
      <c r="R753" s="600"/>
      <c r="S753" s="600"/>
      <c r="T753" s="600"/>
      <c r="U753" s="600"/>
      <c r="V753" s="600"/>
      <c r="W753" s="600"/>
      <c r="X753" s="600"/>
      <c r="Y753" s="600"/>
      <c r="Z753" s="600"/>
      <c r="AA753" s="482"/>
      <c r="AB753" s="482"/>
      <c r="AC753" s="482"/>
      <c r="AD753" s="600">
        <v>742</v>
      </c>
      <c r="AE753" s="482"/>
      <c r="AF753" s="600"/>
      <c r="AG753" s="600"/>
      <c r="AH753" s="600"/>
      <c r="AI753" s="600"/>
      <c r="AJ753" s="600"/>
      <c r="AK753" s="600"/>
      <c r="AL753" s="600"/>
      <c r="AM753" s="600"/>
      <c r="AN753" s="482"/>
      <c r="AO753" s="600"/>
      <c r="AP753" s="600"/>
      <c r="AQ753" s="600"/>
      <c r="AR753" s="600"/>
      <c r="AS753" s="600"/>
      <c r="AT753" s="600"/>
      <c r="AU753" s="600"/>
      <c r="AV753" s="600"/>
      <c r="AW753" s="482"/>
      <c r="AX753" s="482"/>
      <c r="AY753" s="482"/>
      <c r="AZ753" s="482"/>
      <c r="BA753" s="343"/>
      <c r="BB753" s="343"/>
      <c r="BC753" s="343"/>
      <c r="BD753" s="343"/>
      <c r="BE753" s="343"/>
      <c r="BF753" s="343"/>
      <c r="BG753" s="343"/>
      <c r="BH753" s="343"/>
      <c r="BI753" s="343"/>
      <c r="BJ753" s="343"/>
      <c r="BK753" s="343"/>
      <c r="BL753" s="343"/>
      <c r="BM753" s="343"/>
      <c r="BN753" s="343"/>
      <c r="BO753" s="343"/>
      <c r="BP753" s="343"/>
      <c r="BQ753" s="343"/>
      <c r="BR753" s="343"/>
      <c r="BS753" s="343"/>
      <c r="BT753" s="343"/>
      <c r="BU753" s="343"/>
      <c r="BV753" s="343"/>
      <c r="BW753" s="343"/>
      <c r="BX753" s="343"/>
    </row>
    <row r="754" spans="1:76" s="25" customFormat="1">
      <c r="A754" s="343"/>
      <c r="B754" s="343"/>
      <c r="C754" s="64"/>
      <c r="D754" s="64"/>
      <c r="E754" s="39"/>
      <c r="F754" s="39"/>
      <c r="G754" s="39"/>
      <c r="H754" s="39"/>
      <c r="I754" s="39"/>
      <c r="J754" s="39"/>
      <c r="K754" s="39"/>
      <c r="L754" s="39"/>
      <c r="M754" s="660"/>
      <c r="N754" s="343"/>
      <c r="O754" s="343"/>
      <c r="P754" s="343"/>
      <c r="Q754" s="343"/>
      <c r="R754" s="600"/>
      <c r="S754" s="600"/>
      <c r="T754" s="600"/>
      <c r="U754" s="600"/>
      <c r="V754" s="600"/>
      <c r="W754" s="600"/>
      <c r="X754" s="600"/>
      <c r="Y754" s="600"/>
      <c r="Z754" s="600"/>
      <c r="AA754" s="482"/>
      <c r="AB754" s="482"/>
      <c r="AC754" s="482"/>
      <c r="AD754" s="600">
        <v>743</v>
      </c>
      <c r="AE754" s="482"/>
      <c r="AF754" s="600"/>
      <c r="AG754" s="600"/>
      <c r="AH754" s="600"/>
      <c r="AI754" s="600"/>
      <c r="AJ754" s="600"/>
      <c r="AK754" s="600"/>
      <c r="AL754" s="600"/>
      <c r="AM754" s="600"/>
      <c r="AN754" s="482"/>
      <c r="AO754" s="600"/>
      <c r="AP754" s="600"/>
      <c r="AQ754" s="600"/>
      <c r="AR754" s="600"/>
      <c r="AS754" s="600"/>
      <c r="AT754" s="600"/>
      <c r="AU754" s="600"/>
      <c r="AV754" s="600"/>
      <c r="AW754" s="482"/>
      <c r="AX754" s="482"/>
      <c r="AY754" s="482"/>
      <c r="AZ754" s="482"/>
      <c r="BA754" s="343"/>
      <c r="BB754" s="343"/>
      <c r="BC754" s="343"/>
      <c r="BD754" s="343"/>
      <c r="BE754" s="343"/>
      <c r="BF754" s="343"/>
      <c r="BG754" s="343"/>
      <c r="BH754" s="343"/>
      <c r="BI754" s="343"/>
      <c r="BJ754" s="343"/>
      <c r="BK754" s="343"/>
      <c r="BL754" s="343"/>
      <c r="BM754" s="343"/>
      <c r="BN754" s="343"/>
      <c r="BO754" s="343"/>
      <c r="BP754" s="343"/>
      <c r="BQ754" s="343"/>
      <c r="BR754" s="343"/>
      <c r="BS754" s="343"/>
      <c r="BT754" s="343"/>
      <c r="BU754" s="343"/>
      <c r="BV754" s="343"/>
      <c r="BW754" s="343"/>
      <c r="BX754" s="343"/>
    </row>
    <row r="755" spans="1:76" s="25" customFormat="1">
      <c r="A755" s="343"/>
      <c r="B755" s="343"/>
      <c r="C755" s="64"/>
      <c r="D755" s="64"/>
      <c r="E755" s="39"/>
      <c r="F755" s="39"/>
      <c r="G755" s="39"/>
      <c r="H755" s="39"/>
      <c r="I755" s="39"/>
      <c r="J755" s="39"/>
      <c r="K755" s="39"/>
      <c r="L755" s="39"/>
      <c r="M755" s="660"/>
      <c r="N755" s="343"/>
      <c r="O755" s="343"/>
      <c r="P755" s="343"/>
      <c r="Q755" s="343"/>
      <c r="R755" s="600"/>
      <c r="S755" s="600"/>
      <c r="T755" s="600"/>
      <c r="U755" s="600"/>
      <c r="V755" s="600"/>
      <c r="W755" s="600"/>
      <c r="X755" s="600"/>
      <c r="Y755" s="600"/>
      <c r="Z755" s="600"/>
      <c r="AA755" s="482"/>
      <c r="AB755" s="482"/>
      <c r="AC755" s="482"/>
      <c r="AD755" s="600">
        <v>744</v>
      </c>
      <c r="AE755" s="482"/>
      <c r="AF755" s="600"/>
      <c r="AG755" s="600"/>
      <c r="AH755" s="600"/>
      <c r="AI755" s="600"/>
      <c r="AJ755" s="600"/>
      <c r="AK755" s="600"/>
      <c r="AL755" s="600"/>
      <c r="AM755" s="600"/>
      <c r="AN755" s="482"/>
      <c r="AO755" s="600"/>
      <c r="AP755" s="600"/>
      <c r="AQ755" s="600"/>
      <c r="AR755" s="600"/>
      <c r="AS755" s="600"/>
      <c r="AT755" s="600"/>
      <c r="AU755" s="600"/>
      <c r="AV755" s="600"/>
      <c r="AW755" s="482"/>
      <c r="AX755" s="482"/>
      <c r="AY755" s="482"/>
      <c r="AZ755" s="482"/>
      <c r="BA755" s="343"/>
      <c r="BB755" s="343"/>
      <c r="BC755" s="343"/>
      <c r="BD755" s="343"/>
      <c r="BE755" s="343"/>
      <c r="BF755" s="343"/>
      <c r="BG755" s="343"/>
      <c r="BH755" s="343"/>
      <c r="BI755" s="343"/>
      <c r="BJ755" s="343"/>
      <c r="BK755" s="343"/>
      <c r="BL755" s="343"/>
      <c r="BM755" s="343"/>
      <c r="BN755" s="343"/>
      <c r="BO755" s="343"/>
      <c r="BP755" s="343"/>
      <c r="BQ755" s="343"/>
      <c r="BR755" s="343"/>
      <c r="BS755" s="343"/>
      <c r="BT755" s="343"/>
      <c r="BU755" s="343"/>
      <c r="BV755" s="343"/>
      <c r="BW755" s="343"/>
      <c r="BX755" s="343"/>
    </row>
    <row r="756" spans="1:76" s="25" customFormat="1">
      <c r="A756" s="343"/>
      <c r="B756" s="343"/>
      <c r="C756" s="64"/>
      <c r="D756" s="64"/>
      <c r="E756" s="39"/>
      <c r="F756" s="39"/>
      <c r="G756" s="39"/>
      <c r="H756" s="39"/>
      <c r="I756" s="39"/>
      <c r="J756" s="39"/>
      <c r="K756" s="39"/>
      <c r="L756" s="39"/>
      <c r="M756" s="660"/>
      <c r="N756" s="343"/>
      <c r="O756" s="343"/>
      <c r="P756" s="343"/>
      <c r="Q756" s="343"/>
      <c r="R756" s="600"/>
      <c r="S756" s="600"/>
      <c r="T756" s="600"/>
      <c r="U756" s="600"/>
      <c r="V756" s="600"/>
      <c r="W756" s="600"/>
      <c r="X756" s="600"/>
      <c r="Y756" s="600"/>
      <c r="Z756" s="600"/>
      <c r="AA756" s="482"/>
      <c r="AB756" s="482"/>
      <c r="AC756" s="482"/>
      <c r="AD756" s="600">
        <v>745</v>
      </c>
      <c r="AE756" s="482"/>
      <c r="AF756" s="600"/>
      <c r="AG756" s="600"/>
      <c r="AH756" s="600"/>
      <c r="AI756" s="600"/>
      <c r="AJ756" s="600"/>
      <c r="AK756" s="600"/>
      <c r="AL756" s="600"/>
      <c r="AM756" s="600"/>
      <c r="AN756" s="482"/>
      <c r="AO756" s="600"/>
      <c r="AP756" s="600"/>
      <c r="AQ756" s="600"/>
      <c r="AR756" s="600"/>
      <c r="AS756" s="600"/>
      <c r="AT756" s="600"/>
      <c r="AU756" s="600"/>
      <c r="AV756" s="600"/>
      <c r="AW756" s="482"/>
      <c r="AX756" s="482"/>
      <c r="AY756" s="482"/>
      <c r="AZ756" s="482"/>
      <c r="BA756" s="343"/>
      <c r="BB756" s="343"/>
      <c r="BC756" s="343"/>
      <c r="BD756" s="343"/>
      <c r="BE756" s="343"/>
      <c r="BF756" s="343"/>
      <c r="BG756" s="343"/>
      <c r="BH756" s="343"/>
      <c r="BI756" s="343"/>
      <c r="BJ756" s="343"/>
      <c r="BK756" s="343"/>
      <c r="BL756" s="343"/>
      <c r="BM756" s="343"/>
      <c r="BN756" s="343"/>
      <c r="BO756" s="343"/>
      <c r="BP756" s="343"/>
      <c r="BQ756" s="343"/>
      <c r="BR756" s="343"/>
      <c r="BS756" s="343"/>
      <c r="BT756" s="343"/>
      <c r="BU756" s="343"/>
      <c r="BV756" s="343"/>
      <c r="BW756" s="343"/>
      <c r="BX756" s="343"/>
    </row>
    <row r="757" spans="1:76" s="25" customFormat="1">
      <c r="A757" s="343"/>
      <c r="B757" s="343"/>
      <c r="C757" s="64"/>
      <c r="D757" s="64"/>
      <c r="E757" s="39"/>
      <c r="F757" s="39"/>
      <c r="G757" s="39"/>
      <c r="H757" s="39"/>
      <c r="I757" s="39"/>
      <c r="J757" s="39"/>
      <c r="K757" s="39"/>
      <c r="L757" s="39"/>
      <c r="M757" s="660"/>
      <c r="N757" s="343"/>
      <c r="O757" s="343"/>
      <c r="P757" s="343"/>
      <c r="Q757" s="343"/>
      <c r="R757" s="600"/>
      <c r="S757" s="600"/>
      <c r="T757" s="600"/>
      <c r="U757" s="600"/>
      <c r="V757" s="600"/>
      <c r="W757" s="600"/>
      <c r="X757" s="600"/>
      <c r="Y757" s="600"/>
      <c r="Z757" s="600"/>
      <c r="AA757" s="482"/>
      <c r="AB757" s="482"/>
      <c r="AC757" s="482"/>
      <c r="AD757" s="600">
        <v>746</v>
      </c>
      <c r="AE757" s="482"/>
      <c r="AF757" s="600"/>
      <c r="AG757" s="600"/>
      <c r="AH757" s="600"/>
      <c r="AI757" s="600"/>
      <c r="AJ757" s="600"/>
      <c r="AK757" s="600"/>
      <c r="AL757" s="600"/>
      <c r="AM757" s="600"/>
      <c r="AN757" s="482"/>
      <c r="AO757" s="600"/>
      <c r="AP757" s="600"/>
      <c r="AQ757" s="600"/>
      <c r="AR757" s="600"/>
      <c r="AS757" s="600"/>
      <c r="AT757" s="600"/>
      <c r="AU757" s="600"/>
      <c r="AV757" s="600"/>
      <c r="AW757" s="482"/>
      <c r="AX757" s="482"/>
      <c r="AY757" s="482"/>
      <c r="AZ757" s="482"/>
      <c r="BA757" s="343"/>
      <c r="BB757" s="343"/>
      <c r="BC757" s="343"/>
      <c r="BD757" s="343"/>
      <c r="BE757" s="343"/>
      <c r="BF757" s="343"/>
      <c r="BG757" s="343"/>
      <c r="BH757" s="343"/>
      <c r="BI757" s="343"/>
      <c r="BJ757" s="343"/>
      <c r="BK757" s="343"/>
      <c r="BL757" s="343"/>
      <c r="BM757" s="343"/>
      <c r="BN757" s="343"/>
      <c r="BO757" s="343"/>
      <c r="BP757" s="343"/>
      <c r="BQ757" s="343"/>
      <c r="BR757" s="343"/>
      <c r="BS757" s="343"/>
      <c r="BT757" s="343"/>
      <c r="BU757" s="343"/>
      <c r="BV757" s="343"/>
      <c r="BW757" s="343"/>
      <c r="BX757" s="343"/>
    </row>
    <row r="758" spans="1:76" s="25" customFormat="1">
      <c r="A758" s="343"/>
      <c r="B758" s="343"/>
      <c r="C758" s="64"/>
      <c r="D758" s="64"/>
      <c r="E758" s="39"/>
      <c r="F758" s="39"/>
      <c r="G758" s="39"/>
      <c r="H758" s="39"/>
      <c r="I758" s="39"/>
      <c r="J758" s="39"/>
      <c r="K758" s="39"/>
      <c r="L758" s="39"/>
      <c r="M758" s="660"/>
      <c r="N758" s="343"/>
      <c r="O758" s="343"/>
      <c r="P758" s="343"/>
      <c r="Q758" s="343"/>
      <c r="R758" s="600"/>
      <c r="S758" s="600"/>
      <c r="T758" s="600"/>
      <c r="U758" s="600"/>
      <c r="V758" s="600"/>
      <c r="W758" s="600"/>
      <c r="X758" s="600"/>
      <c r="Y758" s="600"/>
      <c r="Z758" s="600"/>
      <c r="AA758" s="482"/>
      <c r="AB758" s="482"/>
      <c r="AC758" s="482"/>
      <c r="AD758" s="600">
        <v>747</v>
      </c>
      <c r="AE758" s="482"/>
      <c r="AF758" s="600"/>
      <c r="AG758" s="600"/>
      <c r="AH758" s="600"/>
      <c r="AI758" s="600"/>
      <c r="AJ758" s="600"/>
      <c r="AK758" s="600"/>
      <c r="AL758" s="600"/>
      <c r="AM758" s="600"/>
      <c r="AN758" s="482"/>
      <c r="AO758" s="600"/>
      <c r="AP758" s="600"/>
      <c r="AQ758" s="600"/>
      <c r="AR758" s="600"/>
      <c r="AS758" s="600"/>
      <c r="AT758" s="600"/>
      <c r="AU758" s="600"/>
      <c r="AV758" s="600"/>
      <c r="AW758" s="482"/>
      <c r="AX758" s="482"/>
      <c r="AY758" s="482"/>
      <c r="AZ758" s="482"/>
      <c r="BA758" s="343"/>
      <c r="BB758" s="343"/>
      <c r="BC758" s="343"/>
      <c r="BD758" s="343"/>
      <c r="BE758" s="343"/>
      <c r="BF758" s="343"/>
      <c r="BG758" s="343"/>
      <c r="BH758" s="343"/>
      <c r="BI758" s="343"/>
      <c r="BJ758" s="343"/>
      <c r="BK758" s="343"/>
      <c r="BL758" s="343"/>
      <c r="BM758" s="343"/>
      <c r="BN758" s="343"/>
      <c r="BO758" s="343"/>
      <c r="BP758" s="343"/>
      <c r="BQ758" s="343"/>
      <c r="BR758" s="343"/>
      <c r="BS758" s="343"/>
      <c r="BT758" s="343"/>
      <c r="BU758" s="343"/>
      <c r="BV758" s="343"/>
      <c r="BW758" s="343"/>
      <c r="BX758" s="343"/>
    </row>
    <row r="759" spans="1:76" s="25" customFormat="1">
      <c r="A759" s="343"/>
      <c r="B759" s="343"/>
      <c r="C759" s="64"/>
      <c r="D759" s="64"/>
      <c r="E759" s="39"/>
      <c r="F759" s="39"/>
      <c r="G759" s="39"/>
      <c r="H759" s="39"/>
      <c r="I759" s="39"/>
      <c r="J759" s="39"/>
      <c r="K759" s="39"/>
      <c r="L759" s="39"/>
      <c r="M759" s="660"/>
      <c r="N759" s="343"/>
      <c r="O759" s="343"/>
      <c r="P759" s="343"/>
      <c r="Q759" s="343"/>
      <c r="R759" s="600"/>
      <c r="S759" s="600"/>
      <c r="T759" s="600"/>
      <c r="U759" s="600"/>
      <c r="V759" s="600"/>
      <c r="W759" s="600"/>
      <c r="X759" s="600"/>
      <c r="Y759" s="600"/>
      <c r="Z759" s="600"/>
      <c r="AA759" s="482"/>
      <c r="AB759" s="482"/>
      <c r="AC759" s="482"/>
      <c r="AD759" s="600">
        <v>748</v>
      </c>
      <c r="AE759" s="482"/>
      <c r="AF759" s="600"/>
      <c r="AG759" s="600"/>
      <c r="AH759" s="600"/>
      <c r="AI759" s="600"/>
      <c r="AJ759" s="600"/>
      <c r="AK759" s="600"/>
      <c r="AL759" s="600"/>
      <c r="AM759" s="600"/>
      <c r="AN759" s="482"/>
      <c r="AO759" s="600"/>
      <c r="AP759" s="600"/>
      <c r="AQ759" s="600"/>
      <c r="AR759" s="600"/>
      <c r="AS759" s="600"/>
      <c r="AT759" s="600"/>
      <c r="AU759" s="600"/>
      <c r="AV759" s="600"/>
      <c r="AW759" s="482"/>
      <c r="AX759" s="482"/>
      <c r="AY759" s="482"/>
      <c r="AZ759" s="482"/>
      <c r="BA759" s="343"/>
      <c r="BB759" s="343"/>
      <c r="BC759" s="343"/>
      <c r="BD759" s="343"/>
      <c r="BE759" s="343"/>
      <c r="BF759" s="343"/>
      <c r="BG759" s="343"/>
      <c r="BH759" s="343"/>
      <c r="BI759" s="343"/>
      <c r="BJ759" s="343"/>
      <c r="BK759" s="343"/>
      <c r="BL759" s="343"/>
      <c r="BM759" s="343"/>
      <c r="BN759" s="343"/>
      <c r="BO759" s="343"/>
      <c r="BP759" s="343"/>
      <c r="BQ759" s="343"/>
      <c r="BR759" s="343"/>
      <c r="BS759" s="343"/>
      <c r="BT759" s="343"/>
      <c r="BU759" s="343"/>
      <c r="BV759" s="343"/>
      <c r="BW759" s="343"/>
      <c r="BX759" s="343"/>
    </row>
    <row r="760" spans="1:76" s="25" customFormat="1">
      <c r="A760" s="343"/>
      <c r="B760" s="343"/>
      <c r="C760" s="64"/>
      <c r="D760" s="64"/>
      <c r="E760" s="39"/>
      <c r="F760" s="39"/>
      <c r="G760" s="39"/>
      <c r="H760" s="39"/>
      <c r="I760" s="39"/>
      <c r="J760" s="39"/>
      <c r="K760" s="39"/>
      <c r="L760" s="39"/>
      <c r="M760" s="660"/>
      <c r="N760" s="343"/>
      <c r="O760" s="343"/>
      <c r="P760" s="343"/>
      <c r="Q760" s="343"/>
      <c r="R760" s="600"/>
      <c r="S760" s="600"/>
      <c r="T760" s="600"/>
      <c r="U760" s="600"/>
      <c r="V760" s="600"/>
      <c r="W760" s="600"/>
      <c r="X760" s="600"/>
      <c r="Y760" s="600"/>
      <c r="Z760" s="600"/>
      <c r="AA760" s="482"/>
      <c r="AB760" s="482"/>
      <c r="AC760" s="482"/>
      <c r="AD760" s="600">
        <v>749</v>
      </c>
      <c r="AE760" s="482"/>
      <c r="AF760" s="600"/>
      <c r="AG760" s="600"/>
      <c r="AH760" s="600"/>
      <c r="AI760" s="600"/>
      <c r="AJ760" s="600"/>
      <c r="AK760" s="600"/>
      <c r="AL760" s="600"/>
      <c r="AM760" s="600"/>
      <c r="AN760" s="482"/>
      <c r="AO760" s="600"/>
      <c r="AP760" s="600"/>
      <c r="AQ760" s="600"/>
      <c r="AR760" s="600"/>
      <c r="AS760" s="600"/>
      <c r="AT760" s="600"/>
      <c r="AU760" s="600"/>
      <c r="AV760" s="600"/>
      <c r="AW760" s="482"/>
      <c r="AX760" s="482"/>
      <c r="AY760" s="482"/>
      <c r="AZ760" s="482"/>
      <c r="BA760" s="343"/>
      <c r="BB760" s="343"/>
      <c r="BC760" s="343"/>
      <c r="BD760" s="343"/>
      <c r="BE760" s="343"/>
      <c r="BF760" s="343"/>
      <c r="BG760" s="343"/>
      <c r="BH760" s="343"/>
      <c r="BI760" s="343"/>
      <c r="BJ760" s="343"/>
      <c r="BK760" s="343"/>
      <c r="BL760" s="343"/>
      <c r="BM760" s="343"/>
      <c r="BN760" s="343"/>
      <c r="BO760" s="343"/>
      <c r="BP760" s="343"/>
      <c r="BQ760" s="343"/>
      <c r="BR760" s="343"/>
      <c r="BS760" s="343"/>
      <c r="BT760" s="343"/>
      <c r="BU760" s="343"/>
      <c r="BV760" s="343"/>
      <c r="BW760" s="343"/>
      <c r="BX760" s="343"/>
    </row>
    <row r="761" spans="1:76" s="25" customFormat="1">
      <c r="A761" s="343"/>
      <c r="B761" s="343"/>
      <c r="C761" s="64"/>
      <c r="D761" s="64"/>
      <c r="E761" s="39"/>
      <c r="F761" s="39"/>
      <c r="G761" s="39"/>
      <c r="H761" s="39"/>
      <c r="I761" s="39"/>
      <c r="J761" s="39"/>
      <c r="K761" s="39"/>
      <c r="L761" s="39"/>
      <c r="M761" s="660"/>
      <c r="N761" s="343"/>
      <c r="O761" s="343"/>
      <c r="P761" s="343"/>
      <c r="Q761" s="343"/>
      <c r="R761" s="600"/>
      <c r="S761" s="600"/>
      <c r="T761" s="600"/>
      <c r="U761" s="600"/>
      <c r="V761" s="600"/>
      <c r="W761" s="600"/>
      <c r="X761" s="600"/>
      <c r="Y761" s="600"/>
      <c r="Z761" s="600"/>
      <c r="AA761" s="482"/>
      <c r="AB761" s="482"/>
      <c r="AC761" s="482"/>
      <c r="AD761" s="600">
        <v>750</v>
      </c>
      <c r="AE761" s="482"/>
      <c r="AF761" s="600"/>
      <c r="AG761" s="600"/>
      <c r="AH761" s="600"/>
      <c r="AI761" s="600"/>
      <c r="AJ761" s="600"/>
      <c r="AK761" s="600"/>
      <c r="AL761" s="600"/>
      <c r="AM761" s="600"/>
      <c r="AN761" s="482"/>
      <c r="AO761" s="600"/>
      <c r="AP761" s="600"/>
      <c r="AQ761" s="600"/>
      <c r="AR761" s="600"/>
      <c r="AS761" s="600"/>
      <c r="AT761" s="600"/>
      <c r="AU761" s="600"/>
      <c r="AV761" s="600"/>
      <c r="AW761" s="482"/>
      <c r="AX761" s="482"/>
      <c r="AY761" s="482"/>
      <c r="AZ761" s="482"/>
      <c r="BA761" s="343"/>
      <c r="BB761" s="343"/>
      <c r="BC761" s="343"/>
      <c r="BD761" s="343"/>
      <c r="BE761" s="343"/>
      <c r="BF761" s="343"/>
      <c r="BG761" s="343"/>
      <c r="BH761" s="343"/>
      <c r="BI761" s="343"/>
      <c r="BJ761" s="343"/>
      <c r="BK761" s="343"/>
      <c r="BL761" s="343"/>
      <c r="BM761" s="343"/>
      <c r="BN761" s="343"/>
      <c r="BO761" s="343"/>
      <c r="BP761" s="343"/>
      <c r="BQ761" s="343"/>
      <c r="BR761" s="343"/>
      <c r="BS761" s="343"/>
      <c r="BT761" s="343"/>
      <c r="BU761" s="343"/>
      <c r="BV761" s="343"/>
      <c r="BW761" s="343"/>
      <c r="BX761" s="343"/>
    </row>
    <row r="762" spans="1:76" s="25" customFormat="1">
      <c r="A762" s="343"/>
      <c r="B762" s="343"/>
      <c r="C762" s="64"/>
      <c r="D762" s="64"/>
      <c r="E762" s="39"/>
      <c r="F762" s="39"/>
      <c r="G762" s="39"/>
      <c r="H762" s="39"/>
      <c r="I762" s="39"/>
      <c r="J762" s="39"/>
      <c r="K762" s="39"/>
      <c r="L762" s="39"/>
      <c r="M762" s="660"/>
      <c r="N762" s="343"/>
      <c r="O762" s="343"/>
      <c r="P762" s="343"/>
      <c r="Q762" s="343"/>
      <c r="R762" s="600"/>
      <c r="S762" s="600"/>
      <c r="T762" s="600"/>
      <c r="U762" s="600"/>
      <c r="V762" s="600"/>
      <c r="W762" s="600"/>
      <c r="X762" s="600"/>
      <c r="Y762" s="600"/>
      <c r="Z762" s="600"/>
      <c r="AA762" s="482"/>
      <c r="AB762" s="482"/>
      <c r="AC762" s="482"/>
      <c r="AD762" s="600">
        <v>751</v>
      </c>
      <c r="AE762" s="482"/>
      <c r="AF762" s="600"/>
      <c r="AG762" s="600"/>
      <c r="AH762" s="600"/>
      <c r="AI762" s="600"/>
      <c r="AJ762" s="600"/>
      <c r="AK762" s="600"/>
      <c r="AL762" s="600"/>
      <c r="AM762" s="600"/>
      <c r="AN762" s="482"/>
      <c r="AO762" s="600"/>
      <c r="AP762" s="600"/>
      <c r="AQ762" s="600"/>
      <c r="AR762" s="600"/>
      <c r="AS762" s="600"/>
      <c r="AT762" s="600"/>
      <c r="AU762" s="600"/>
      <c r="AV762" s="600"/>
      <c r="AW762" s="482"/>
      <c r="AX762" s="482"/>
      <c r="AY762" s="482"/>
      <c r="AZ762" s="482"/>
      <c r="BA762" s="343"/>
      <c r="BB762" s="343"/>
      <c r="BC762" s="343"/>
      <c r="BD762" s="343"/>
      <c r="BE762" s="343"/>
      <c r="BF762" s="343"/>
      <c r="BG762" s="343"/>
      <c r="BH762" s="343"/>
      <c r="BI762" s="343"/>
      <c r="BJ762" s="343"/>
      <c r="BK762" s="343"/>
      <c r="BL762" s="343"/>
      <c r="BM762" s="343"/>
      <c r="BN762" s="343"/>
      <c r="BO762" s="343"/>
      <c r="BP762" s="343"/>
      <c r="BQ762" s="343"/>
      <c r="BR762" s="343"/>
      <c r="BS762" s="343"/>
      <c r="BT762" s="343"/>
      <c r="BU762" s="343"/>
      <c r="BV762" s="343"/>
      <c r="BW762" s="343"/>
      <c r="BX762" s="343"/>
    </row>
    <row r="763" spans="1:76" s="25" customFormat="1">
      <c r="A763" s="343"/>
      <c r="B763" s="343"/>
      <c r="C763" s="64"/>
      <c r="D763" s="64"/>
      <c r="E763" s="39"/>
      <c r="F763" s="39"/>
      <c r="G763" s="39"/>
      <c r="H763" s="39"/>
      <c r="I763" s="39"/>
      <c r="J763" s="39"/>
      <c r="K763" s="39"/>
      <c r="L763" s="39"/>
      <c r="M763" s="660"/>
      <c r="N763" s="343"/>
      <c r="O763" s="343"/>
      <c r="P763" s="343"/>
      <c r="Q763" s="343"/>
      <c r="R763" s="600"/>
      <c r="S763" s="600"/>
      <c r="T763" s="600"/>
      <c r="U763" s="600"/>
      <c r="V763" s="600"/>
      <c r="W763" s="600"/>
      <c r="X763" s="600"/>
      <c r="Y763" s="600"/>
      <c r="Z763" s="600"/>
      <c r="AA763" s="482"/>
      <c r="AB763" s="482"/>
      <c r="AC763" s="482"/>
      <c r="AD763" s="600">
        <v>752</v>
      </c>
      <c r="AE763" s="482"/>
      <c r="AF763" s="600"/>
      <c r="AG763" s="600"/>
      <c r="AH763" s="600"/>
      <c r="AI763" s="600"/>
      <c r="AJ763" s="600"/>
      <c r="AK763" s="600"/>
      <c r="AL763" s="600"/>
      <c r="AM763" s="600"/>
      <c r="AN763" s="482"/>
      <c r="AO763" s="600"/>
      <c r="AP763" s="600"/>
      <c r="AQ763" s="600"/>
      <c r="AR763" s="600"/>
      <c r="AS763" s="600"/>
      <c r="AT763" s="600"/>
      <c r="AU763" s="600"/>
      <c r="AV763" s="600"/>
      <c r="AW763" s="482"/>
      <c r="AX763" s="482"/>
      <c r="AY763" s="482"/>
      <c r="AZ763" s="482"/>
      <c r="BA763" s="343"/>
      <c r="BB763" s="343"/>
      <c r="BC763" s="343"/>
      <c r="BD763" s="343"/>
      <c r="BE763" s="343"/>
      <c r="BF763" s="343"/>
      <c r="BG763" s="343"/>
      <c r="BH763" s="343"/>
      <c r="BI763" s="343"/>
      <c r="BJ763" s="343"/>
      <c r="BK763" s="343"/>
      <c r="BL763" s="343"/>
      <c r="BM763" s="343"/>
      <c r="BN763" s="343"/>
      <c r="BO763" s="343"/>
      <c r="BP763" s="343"/>
      <c r="BQ763" s="343"/>
      <c r="BR763" s="343"/>
      <c r="BS763" s="343"/>
      <c r="BT763" s="343"/>
      <c r="BU763" s="343"/>
      <c r="BV763" s="343"/>
      <c r="BW763" s="343"/>
      <c r="BX763" s="343"/>
    </row>
    <row r="764" spans="1:76" s="25" customFormat="1">
      <c r="A764" s="343"/>
      <c r="B764" s="343"/>
      <c r="C764" s="64"/>
      <c r="D764" s="64"/>
      <c r="E764" s="39"/>
      <c r="F764" s="39"/>
      <c r="G764" s="39"/>
      <c r="H764" s="39"/>
      <c r="I764" s="39"/>
      <c r="J764" s="39"/>
      <c r="K764" s="39"/>
      <c r="L764" s="39"/>
      <c r="M764" s="660"/>
      <c r="N764" s="343"/>
      <c r="O764" s="343"/>
      <c r="P764" s="343"/>
      <c r="Q764" s="343"/>
      <c r="R764" s="600"/>
      <c r="S764" s="600"/>
      <c r="T764" s="600"/>
      <c r="U764" s="600"/>
      <c r="V764" s="600"/>
      <c r="W764" s="600"/>
      <c r="X764" s="600"/>
      <c r="Y764" s="600"/>
      <c r="Z764" s="600"/>
      <c r="AA764" s="482"/>
      <c r="AB764" s="482"/>
      <c r="AC764" s="482"/>
      <c r="AD764" s="600">
        <v>753</v>
      </c>
      <c r="AE764" s="482"/>
      <c r="AF764" s="600"/>
      <c r="AG764" s="600"/>
      <c r="AH764" s="600"/>
      <c r="AI764" s="600"/>
      <c r="AJ764" s="600"/>
      <c r="AK764" s="600"/>
      <c r="AL764" s="600"/>
      <c r="AM764" s="600"/>
      <c r="AN764" s="482"/>
      <c r="AO764" s="600"/>
      <c r="AP764" s="600"/>
      <c r="AQ764" s="600"/>
      <c r="AR764" s="600"/>
      <c r="AS764" s="600"/>
      <c r="AT764" s="600"/>
      <c r="AU764" s="600"/>
      <c r="AV764" s="600"/>
      <c r="AW764" s="482"/>
      <c r="AX764" s="482"/>
      <c r="AY764" s="482"/>
      <c r="AZ764" s="482"/>
      <c r="BA764" s="343"/>
      <c r="BB764" s="343"/>
      <c r="BC764" s="343"/>
      <c r="BD764" s="343"/>
      <c r="BE764" s="343"/>
      <c r="BF764" s="343"/>
      <c r="BG764" s="343"/>
      <c r="BH764" s="343"/>
      <c r="BI764" s="343"/>
      <c r="BJ764" s="343"/>
      <c r="BK764" s="343"/>
      <c r="BL764" s="343"/>
      <c r="BM764" s="343"/>
      <c r="BN764" s="343"/>
      <c r="BO764" s="343"/>
      <c r="BP764" s="343"/>
      <c r="BQ764" s="343"/>
      <c r="BR764" s="343"/>
      <c r="BS764" s="343"/>
      <c r="BT764" s="343"/>
      <c r="BU764" s="343"/>
      <c r="BV764" s="343"/>
      <c r="BW764" s="343"/>
      <c r="BX764" s="343"/>
    </row>
    <row r="765" spans="1:76" s="25" customFormat="1">
      <c r="A765" s="343"/>
      <c r="B765" s="343"/>
      <c r="C765" s="64"/>
      <c r="D765" s="64"/>
      <c r="E765" s="39"/>
      <c r="F765" s="39"/>
      <c r="G765" s="39"/>
      <c r="H765" s="39"/>
      <c r="I765" s="39"/>
      <c r="J765" s="39"/>
      <c r="K765" s="39"/>
      <c r="L765" s="39"/>
      <c r="M765" s="660"/>
      <c r="N765" s="343"/>
      <c r="O765" s="343"/>
      <c r="P765" s="343"/>
      <c r="Q765" s="343"/>
      <c r="R765" s="600"/>
      <c r="S765" s="600"/>
      <c r="T765" s="600"/>
      <c r="U765" s="600"/>
      <c r="V765" s="600"/>
      <c r="W765" s="600"/>
      <c r="X765" s="600"/>
      <c r="Y765" s="600"/>
      <c r="Z765" s="600"/>
      <c r="AA765" s="482"/>
      <c r="AB765" s="482"/>
      <c r="AC765" s="482"/>
      <c r="AD765" s="600">
        <v>754</v>
      </c>
      <c r="AE765" s="482"/>
      <c r="AF765" s="600"/>
      <c r="AG765" s="600"/>
      <c r="AH765" s="600"/>
      <c r="AI765" s="600"/>
      <c r="AJ765" s="600"/>
      <c r="AK765" s="600"/>
      <c r="AL765" s="600"/>
      <c r="AM765" s="600"/>
      <c r="AN765" s="482"/>
      <c r="AO765" s="600"/>
      <c r="AP765" s="600"/>
      <c r="AQ765" s="600"/>
      <c r="AR765" s="600"/>
      <c r="AS765" s="600"/>
      <c r="AT765" s="600"/>
      <c r="AU765" s="600"/>
      <c r="AV765" s="600"/>
      <c r="AW765" s="482"/>
      <c r="AX765" s="482"/>
      <c r="AY765" s="482"/>
      <c r="AZ765" s="482"/>
      <c r="BA765" s="343"/>
      <c r="BB765" s="343"/>
      <c r="BC765" s="343"/>
      <c r="BD765" s="343"/>
      <c r="BE765" s="343"/>
      <c r="BF765" s="343"/>
      <c r="BG765" s="343"/>
      <c r="BH765" s="343"/>
      <c r="BI765" s="343"/>
      <c r="BJ765" s="343"/>
      <c r="BK765" s="343"/>
      <c r="BL765" s="343"/>
      <c r="BM765" s="343"/>
      <c r="BN765" s="343"/>
      <c r="BO765" s="343"/>
      <c r="BP765" s="343"/>
      <c r="BQ765" s="343"/>
      <c r="BR765" s="343"/>
      <c r="BS765" s="343"/>
      <c r="BT765" s="343"/>
      <c r="BU765" s="343"/>
      <c r="BV765" s="343"/>
      <c r="BW765" s="343"/>
      <c r="BX765" s="343"/>
    </row>
    <row r="766" spans="1:76" s="25" customFormat="1">
      <c r="A766" s="343"/>
      <c r="B766" s="343"/>
      <c r="C766" s="64"/>
      <c r="D766" s="64"/>
      <c r="E766" s="39"/>
      <c r="F766" s="39"/>
      <c r="G766" s="39"/>
      <c r="H766" s="39"/>
      <c r="I766" s="39"/>
      <c r="J766" s="39"/>
      <c r="K766" s="39"/>
      <c r="L766" s="39"/>
      <c r="M766" s="660"/>
      <c r="N766" s="343"/>
      <c r="O766" s="343"/>
      <c r="P766" s="343"/>
      <c r="Q766" s="343"/>
      <c r="R766" s="600"/>
      <c r="S766" s="600"/>
      <c r="T766" s="600"/>
      <c r="U766" s="600"/>
      <c r="V766" s="600"/>
      <c r="W766" s="600"/>
      <c r="X766" s="600"/>
      <c r="Y766" s="600"/>
      <c r="Z766" s="600"/>
      <c r="AA766" s="482"/>
      <c r="AB766" s="482"/>
      <c r="AC766" s="482"/>
      <c r="AD766" s="600">
        <v>755</v>
      </c>
      <c r="AE766" s="482"/>
      <c r="AF766" s="600"/>
      <c r="AG766" s="600"/>
      <c r="AH766" s="600"/>
      <c r="AI766" s="600"/>
      <c r="AJ766" s="600"/>
      <c r="AK766" s="600"/>
      <c r="AL766" s="600"/>
      <c r="AM766" s="600"/>
      <c r="AN766" s="482"/>
      <c r="AO766" s="600"/>
      <c r="AP766" s="600"/>
      <c r="AQ766" s="600"/>
      <c r="AR766" s="600"/>
      <c r="AS766" s="600"/>
      <c r="AT766" s="600"/>
      <c r="AU766" s="600"/>
      <c r="AV766" s="600"/>
      <c r="AW766" s="482"/>
      <c r="AX766" s="482"/>
      <c r="AY766" s="482"/>
      <c r="AZ766" s="482"/>
      <c r="BA766" s="343"/>
      <c r="BB766" s="343"/>
      <c r="BC766" s="343"/>
      <c r="BD766" s="343"/>
      <c r="BE766" s="343"/>
      <c r="BF766" s="343"/>
      <c r="BG766" s="343"/>
      <c r="BH766" s="343"/>
      <c r="BI766" s="343"/>
      <c r="BJ766" s="343"/>
      <c r="BK766" s="343"/>
      <c r="BL766" s="343"/>
      <c r="BM766" s="343"/>
      <c r="BN766" s="343"/>
      <c r="BO766" s="343"/>
      <c r="BP766" s="343"/>
      <c r="BQ766" s="343"/>
      <c r="BR766" s="343"/>
      <c r="BS766" s="343"/>
      <c r="BT766" s="343"/>
      <c r="BU766" s="343"/>
      <c r="BV766" s="343"/>
      <c r="BW766" s="343"/>
      <c r="BX766" s="343"/>
    </row>
    <row r="767" spans="1:76" s="25" customFormat="1">
      <c r="A767" s="343"/>
      <c r="B767" s="343"/>
      <c r="C767" s="64"/>
      <c r="D767" s="64"/>
      <c r="E767" s="39"/>
      <c r="F767" s="39"/>
      <c r="G767" s="39"/>
      <c r="H767" s="39"/>
      <c r="I767" s="39"/>
      <c r="J767" s="39"/>
      <c r="K767" s="39"/>
      <c r="L767" s="39"/>
      <c r="M767" s="660"/>
      <c r="N767" s="343"/>
      <c r="O767" s="343"/>
      <c r="P767" s="343"/>
      <c r="Q767" s="343"/>
      <c r="R767" s="600"/>
      <c r="S767" s="600"/>
      <c r="T767" s="600"/>
      <c r="U767" s="600"/>
      <c r="V767" s="600"/>
      <c r="W767" s="600"/>
      <c r="X767" s="600"/>
      <c r="Y767" s="600"/>
      <c r="Z767" s="600"/>
      <c r="AA767" s="482"/>
      <c r="AB767" s="482"/>
      <c r="AC767" s="482"/>
      <c r="AD767" s="600">
        <v>756</v>
      </c>
      <c r="AE767" s="482"/>
      <c r="AF767" s="600"/>
      <c r="AG767" s="600"/>
      <c r="AH767" s="600"/>
      <c r="AI767" s="600"/>
      <c r="AJ767" s="600"/>
      <c r="AK767" s="600"/>
      <c r="AL767" s="600"/>
      <c r="AM767" s="600"/>
      <c r="AN767" s="482"/>
      <c r="AO767" s="600"/>
      <c r="AP767" s="600"/>
      <c r="AQ767" s="600"/>
      <c r="AR767" s="600"/>
      <c r="AS767" s="600"/>
      <c r="AT767" s="600"/>
      <c r="AU767" s="600"/>
      <c r="AV767" s="600"/>
      <c r="AW767" s="482"/>
      <c r="AX767" s="482"/>
      <c r="AY767" s="482"/>
      <c r="AZ767" s="482"/>
      <c r="BA767" s="343"/>
      <c r="BB767" s="343"/>
      <c r="BC767" s="343"/>
      <c r="BD767" s="343"/>
      <c r="BE767" s="343"/>
      <c r="BF767" s="343"/>
      <c r="BG767" s="343"/>
      <c r="BH767" s="343"/>
      <c r="BI767" s="343"/>
      <c r="BJ767" s="343"/>
      <c r="BK767" s="343"/>
      <c r="BL767" s="343"/>
      <c r="BM767" s="343"/>
      <c r="BN767" s="343"/>
      <c r="BO767" s="343"/>
      <c r="BP767" s="343"/>
      <c r="BQ767" s="343"/>
      <c r="BR767" s="343"/>
      <c r="BS767" s="343"/>
      <c r="BT767" s="343"/>
      <c r="BU767" s="343"/>
      <c r="BV767" s="343"/>
      <c r="BW767" s="343"/>
      <c r="BX767" s="343"/>
    </row>
    <row r="768" spans="1:76" s="25" customFormat="1">
      <c r="A768" s="343"/>
      <c r="B768" s="343"/>
      <c r="C768" s="64"/>
      <c r="D768" s="64"/>
      <c r="E768" s="39"/>
      <c r="F768" s="39"/>
      <c r="G768" s="39"/>
      <c r="H768" s="39"/>
      <c r="I768" s="39"/>
      <c r="J768" s="39"/>
      <c r="K768" s="39"/>
      <c r="L768" s="39"/>
      <c r="M768" s="660"/>
      <c r="N768" s="343"/>
      <c r="O768" s="343"/>
      <c r="P768" s="343"/>
      <c r="Q768" s="343"/>
      <c r="R768" s="600"/>
      <c r="S768" s="600"/>
      <c r="T768" s="600"/>
      <c r="U768" s="600"/>
      <c r="V768" s="600"/>
      <c r="W768" s="600"/>
      <c r="X768" s="600"/>
      <c r="Y768" s="600"/>
      <c r="Z768" s="600"/>
      <c r="AA768" s="482"/>
      <c r="AB768" s="482"/>
      <c r="AC768" s="482"/>
      <c r="AD768" s="600">
        <v>757</v>
      </c>
      <c r="AE768" s="482"/>
      <c r="AF768" s="600"/>
      <c r="AG768" s="600"/>
      <c r="AH768" s="600"/>
      <c r="AI768" s="600"/>
      <c r="AJ768" s="600"/>
      <c r="AK768" s="600"/>
      <c r="AL768" s="600"/>
      <c r="AM768" s="600"/>
      <c r="AN768" s="482"/>
      <c r="AO768" s="600"/>
      <c r="AP768" s="600"/>
      <c r="AQ768" s="600"/>
      <c r="AR768" s="600"/>
      <c r="AS768" s="600"/>
      <c r="AT768" s="600"/>
      <c r="AU768" s="600"/>
      <c r="AV768" s="600"/>
      <c r="AW768" s="482"/>
      <c r="AX768" s="482"/>
      <c r="AY768" s="482"/>
      <c r="AZ768" s="482"/>
      <c r="BA768" s="343"/>
      <c r="BB768" s="343"/>
      <c r="BC768" s="343"/>
      <c r="BD768" s="343"/>
      <c r="BE768" s="343"/>
      <c r="BF768" s="343"/>
      <c r="BG768" s="343"/>
      <c r="BH768" s="343"/>
      <c r="BI768" s="343"/>
      <c r="BJ768" s="343"/>
      <c r="BK768" s="343"/>
      <c r="BL768" s="343"/>
      <c r="BM768" s="343"/>
      <c r="BN768" s="343"/>
      <c r="BO768" s="343"/>
      <c r="BP768" s="343"/>
      <c r="BQ768" s="343"/>
      <c r="BR768" s="343"/>
      <c r="BS768" s="343"/>
      <c r="BT768" s="343"/>
      <c r="BU768" s="343"/>
      <c r="BV768" s="343"/>
      <c r="BW768" s="343"/>
      <c r="BX768" s="343"/>
    </row>
    <row r="769" spans="1:76" s="25" customFormat="1">
      <c r="A769" s="343"/>
      <c r="B769" s="343"/>
      <c r="C769" s="64"/>
      <c r="D769" s="64"/>
      <c r="E769" s="39"/>
      <c r="F769" s="39"/>
      <c r="G769" s="39"/>
      <c r="H769" s="39"/>
      <c r="I769" s="39"/>
      <c r="J769" s="39"/>
      <c r="K769" s="39"/>
      <c r="L769" s="39"/>
      <c r="M769" s="660"/>
      <c r="N769" s="343"/>
      <c r="O769" s="343"/>
      <c r="P769" s="343"/>
      <c r="Q769" s="343"/>
      <c r="R769" s="600"/>
      <c r="S769" s="600"/>
      <c r="T769" s="600"/>
      <c r="U769" s="600"/>
      <c r="V769" s="600"/>
      <c r="W769" s="600"/>
      <c r="X769" s="600"/>
      <c r="Y769" s="600"/>
      <c r="Z769" s="600"/>
      <c r="AA769" s="482"/>
      <c r="AB769" s="482"/>
      <c r="AC769" s="482"/>
      <c r="AD769" s="600">
        <v>758</v>
      </c>
      <c r="AE769" s="482"/>
      <c r="AF769" s="600"/>
      <c r="AG769" s="600"/>
      <c r="AH769" s="600"/>
      <c r="AI769" s="600"/>
      <c r="AJ769" s="600"/>
      <c r="AK769" s="600"/>
      <c r="AL769" s="600"/>
      <c r="AM769" s="600"/>
      <c r="AN769" s="482"/>
      <c r="AO769" s="600"/>
      <c r="AP769" s="600"/>
      <c r="AQ769" s="600"/>
      <c r="AR769" s="600"/>
      <c r="AS769" s="600"/>
      <c r="AT769" s="600"/>
      <c r="AU769" s="600"/>
      <c r="AV769" s="600"/>
      <c r="AW769" s="482"/>
      <c r="AX769" s="482"/>
      <c r="AY769" s="482"/>
      <c r="AZ769" s="482"/>
      <c r="BA769" s="343"/>
      <c r="BB769" s="343"/>
      <c r="BC769" s="343"/>
      <c r="BD769" s="343"/>
      <c r="BE769" s="343"/>
      <c r="BF769" s="343"/>
      <c r="BG769" s="343"/>
      <c r="BH769" s="343"/>
      <c r="BI769" s="343"/>
      <c r="BJ769" s="343"/>
      <c r="BK769" s="343"/>
      <c r="BL769" s="343"/>
      <c r="BM769" s="343"/>
      <c r="BN769" s="343"/>
      <c r="BO769" s="343"/>
      <c r="BP769" s="343"/>
      <c r="BQ769" s="343"/>
      <c r="BR769" s="343"/>
      <c r="BS769" s="343"/>
      <c r="BT769" s="343"/>
      <c r="BU769" s="343"/>
      <c r="BV769" s="343"/>
      <c r="BW769" s="343"/>
      <c r="BX769" s="343"/>
    </row>
    <row r="770" spans="1:76" s="25" customFormat="1">
      <c r="A770" s="343"/>
      <c r="B770" s="343"/>
      <c r="C770" s="64"/>
      <c r="D770" s="64"/>
      <c r="E770" s="39"/>
      <c r="F770" s="39"/>
      <c r="G770" s="39"/>
      <c r="H770" s="39"/>
      <c r="I770" s="39"/>
      <c r="J770" s="39"/>
      <c r="K770" s="39"/>
      <c r="L770" s="39"/>
      <c r="M770" s="660"/>
      <c r="N770" s="343"/>
      <c r="O770" s="343"/>
      <c r="P770" s="343"/>
      <c r="Q770" s="343"/>
      <c r="R770" s="600"/>
      <c r="S770" s="600"/>
      <c r="T770" s="600"/>
      <c r="U770" s="600"/>
      <c r="V770" s="600"/>
      <c r="W770" s="600"/>
      <c r="X770" s="600"/>
      <c r="Y770" s="600"/>
      <c r="Z770" s="600"/>
      <c r="AA770" s="482"/>
      <c r="AB770" s="482"/>
      <c r="AC770" s="482"/>
      <c r="AD770" s="600">
        <v>759</v>
      </c>
      <c r="AE770" s="482"/>
      <c r="AF770" s="600"/>
      <c r="AG770" s="600"/>
      <c r="AH770" s="600"/>
      <c r="AI770" s="600"/>
      <c r="AJ770" s="600"/>
      <c r="AK770" s="600"/>
      <c r="AL770" s="600"/>
      <c r="AM770" s="600"/>
      <c r="AN770" s="482"/>
      <c r="AO770" s="600"/>
      <c r="AP770" s="600"/>
      <c r="AQ770" s="600"/>
      <c r="AR770" s="600"/>
      <c r="AS770" s="600"/>
      <c r="AT770" s="600"/>
      <c r="AU770" s="600"/>
      <c r="AV770" s="600"/>
      <c r="AW770" s="482"/>
      <c r="AX770" s="482"/>
      <c r="AY770" s="482"/>
      <c r="AZ770" s="482"/>
      <c r="BA770" s="343"/>
      <c r="BB770" s="343"/>
      <c r="BC770" s="343"/>
      <c r="BD770" s="343"/>
      <c r="BE770" s="343"/>
      <c r="BF770" s="343"/>
      <c r="BG770" s="343"/>
      <c r="BH770" s="343"/>
      <c r="BI770" s="343"/>
      <c r="BJ770" s="343"/>
      <c r="BK770" s="343"/>
      <c r="BL770" s="343"/>
      <c r="BM770" s="343"/>
      <c r="BN770" s="343"/>
      <c r="BO770" s="343"/>
      <c r="BP770" s="343"/>
      <c r="BQ770" s="343"/>
      <c r="BR770" s="343"/>
      <c r="BS770" s="343"/>
      <c r="BT770" s="343"/>
      <c r="BU770" s="343"/>
      <c r="BV770" s="343"/>
      <c r="BW770" s="343"/>
      <c r="BX770" s="343"/>
    </row>
    <row r="771" spans="1:76" s="25" customFormat="1">
      <c r="A771" s="343"/>
      <c r="B771" s="343"/>
      <c r="C771" s="64"/>
      <c r="D771" s="64"/>
      <c r="E771" s="39"/>
      <c r="F771" s="39"/>
      <c r="G771" s="39"/>
      <c r="H771" s="39"/>
      <c r="I771" s="39"/>
      <c r="J771" s="39"/>
      <c r="K771" s="39"/>
      <c r="L771" s="39"/>
      <c r="M771" s="660"/>
      <c r="N771" s="343"/>
      <c r="O771" s="343"/>
      <c r="P771" s="343"/>
      <c r="Q771" s="343"/>
      <c r="R771" s="600"/>
      <c r="S771" s="600"/>
      <c r="T771" s="600"/>
      <c r="U771" s="600"/>
      <c r="V771" s="600"/>
      <c r="W771" s="600"/>
      <c r="X771" s="600"/>
      <c r="Y771" s="600"/>
      <c r="Z771" s="600"/>
      <c r="AA771" s="482"/>
      <c r="AB771" s="482"/>
      <c r="AC771" s="482"/>
      <c r="AD771" s="600">
        <v>760</v>
      </c>
      <c r="AE771" s="482"/>
      <c r="AF771" s="600"/>
      <c r="AG771" s="600"/>
      <c r="AH771" s="600"/>
      <c r="AI771" s="600"/>
      <c r="AJ771" s="600"/>
      <c r="AK771" s="600"/>
      <c r="AL771" s="600"/>
      <c r="AM771" s="600"/>
      <c r="AN771" s="482"/>
      <c r="AO771" s="600"/>
      <c r="AP771" s="600"/>
      <c r="AQ771" s="600"/>
      <c r="AR771" s="600"/>
      <c r="AS771" s="600"/>
      <c r="AT771" s="600"/>
      <c r="AU771" s="600"/>
      <c r="AV771" s="600"/>
      <c r="AW771" s="482"/>
      <c r="AX771" s="482"/>
      <c r="AY771" s="482"/>
      <c r="AZ771" s="482"/>
      <c r="BA771" s="343"/>
      <c r="BB771" s="343"/>
      <c r="BC771" s="343"/>
      <c r="BD771" s="343"/>
      <c r="BE771" s="343"/>
      <c r="BF771" s="343"/>
      <c r="BG771" s="343"/>
      <c r="BH771" s="343"/>
      <c r="BI771" s="343"/>
      <c r="BJ771" s="343"/>
      <c r="BK771" s="343"/>
      <c r="BL771" s="343"/>
      <c r="BM771" s="343"/>
      <c r="BN771" s="343"/>
      <c r="BO771" s="343"/>
      <c r="BP771" s="343"/>
      <c r="BQ771" s="343"/>
      <c r="BR771" s="343"/>
      <c r="BS771" s="343"/>
      <c r="BT771" s="343"/>
      <c r="BU771" s="343"/>
      <c r="BV771" s="343"/>
      <c r="BW771" s="343"/>
      <c r="BX771" s="343"/>
    </row>
    <row r="772" spans="1:76" s="25" customFormat="1">
      <c r="A772" s="343"/>
      <c r="B772" s="343"/>
      <c r="C772" s="64"/>
      <c r="D772" s="64"/>
      <c r="E772" s="39"/>
      <c r="F772" s="39"/>
      <c r="G772" s="39"/>
      <c r="H772" s="39"/>
      <c r="I772" s="39"/>
      <c r="J772" s="39"/>
      <c r="K772" s="39"/>
      <c r="L772" s="39"/>
      <c r="M772" s="660"/>
      <c r="N772" s="343"/>
      <c r="O772" s="343"/>
      <c r="P772" s="343"/>
      <c r="Q772" s="343"/>
      <c r="R772" s="600"/>
      <c r="S772" s="600"/>
      <c r="T772" s="600"/>
      <c r="U772" s="600"/>
      <c r="V772" s="600"/>
      <c r="W772" s="600"/>
      <c r="X772" s="600"/>
      <c r="Y772" s="600"/>
      <c r="Z772" s="600"/>
      <c r="AA772" s="482"/>
      <c r="AB772" s="482"/>
      <c r="AC772" s="482"/>
      <c r="AD772" s="600">
        <v>761</v>
      </c>
      <c r="AE772" s="482"/>
      <c r="AF772" s="600"/>
      <c r="AG772" s="600"/>
      <c r="AH772" s="600"/>
      <c r="AI772" s="600"/>
      <c r="AJ772" s="600"/>
      <c r="AK772" s="600"/>
      <c r="AL772" s="600"/>
      <c r="AM772" s="600"/>
      <c r="AN772" s="482"/>
      <c r="AO772" s="600"/>
      <c r="AP772" s="600"/>
      <c r="AQ772" s="600"/>
      <c r="AR772" s="600"/>
      <c r="AS772" s="600"/>
      <c r="AT772" s="600"/>
      <c r="AU772" s="600"/>
      <c r="AV772" s="600"/>
      <c r="AW772" s="482"/>
      <c r="AX772" s="482"/>
      <c r="AY772" s="482"/>
      <c r="AZ772" s="482"/>
      <c r="BA772" s="343"/>
      <c r="BB772" s="343"/>
      <c r="BC772" s="343"/>
      <c r="BD772" s="343"/>
      <c r="BE772" s="343"/>
      <c r="BF772" s="343"/>
      <c r="BG772" s="343"/>
      <c r="BH772" s="343"/>
      <c r="BI772" s="343"/>
      <c r="BJ772" s="343"/>
      <c r="BK772" s="343"/>
      <c r="BL772" s="343"/>
      <c r="BM772" s="343"/>
      <c r="BN772" s="343"/>
      <c r="BO772" s="343"/>
      <c r="BP772" s="343"/>
      <c r="BQ772" s="343"/>
      <c r="BR772" s="343"/>
      <c r="BS772" s="343"/>
      <c r="BT772" s="343"/>
      <c r="BU772" s="343"/>
      <c r="BV772" s="343"/>
      <c r="BW772" s="343"/>
      <c r="BX772" s="343"/>
    </row>
    <row r="773" spans="1:76" s="25" customFormat="1">
      <c r="A773" s="343"/>
      <c r="B773" s="343"/>
      <c r="C773" s="64"/>
      <c r="D773" s="64"/>
      <c r="E773" s="39"/>
      <c r="F773" s="39"/>
      <c r="G773" s="39"/>
      <c r="H773" s="39"/>
      <c r="I773" s="39"/>
      <c r="J773" s="39"/>
      <c r="K773" s="39"/>
      <c r="L773" s="39"/>
      <c r="M773" s="660"/>
      <c r="N773" s="343"/>
      <c r="O773" s="343"/>
      <c r="P773" s="343"/>
      <c r="Q773" s="343"/>
      <c r="R773" s="600"/>
      <c r="S773" s="600"/>
      <c r="T773" s="600"/>
      <c r="U773" s="600"/>
      <c r="V773" s="600"/>
      <c r="W773" s="600"/>
      <c r="X773" s="600"/>
      <c r="Y773" s="600"/>
      <c r="Z773" s="600"/>
      <c r="AA773" s="482"/>
      <c r="AB773" s="482"/>
      <c r="AC773" s="482"/>
      <c r="AD773" s="600">
        <v>762</v>
      </c>
      <c r="AE773" s="482"/>
      <c r="AF773" s="600"/>
      <c r="AG773" s="600"/>
      <c r="AH773" s="600"/>
      <c r="AI773" s="600"/>
      <c r="AJ773" s="600"/>
      <c r="AK773" s="600"/>
      <c r="AL773" s="600"/>
      <c r="AM773" s="600"/>
      <c r="AN773" s="482"/>
      <c r="AO773" s="600"/>
      <c r="AP773" s="600"/>
      <c r="AQ773" s="600"/>
      <c r="AR773" s="600"/>
      <c r="AS773" s="600"/>
      <c r="AT773" s="600"/>
      <c r="AU773" s="600"/>
      <c r="AV773" s="600"/>
      <c r="AW773" s="482"/>
      <c r="AX773" s="482"/>
      <c r="AY773" s="482"/>
      <c r="AZ773" s="482"/>
      <c r="BA773" s="343"/>
      <c r="BB773" s="343"/>
      <c r="BC773" s="343"/>
      <c r="BD773" s="343"/>
      <c r="BE773" s="343"/>
      <c r="BF773" s="343"/>
      <c r="BG773" s="343"/>
      <c r="BH773" s="343"/>
      <c r="BI773" s="343"/>
      <c r="BJ773" s="343"/>
      <c r="BK773" s="343"/>
      <c r="BL773" s="343"/>
      <c r="BM773" s="343"/>
      <c r="BN773" s="343"/>
      <c r="BO773" s="343"/>
      <c r="BP773" s="343"/>
      <c r="BQ773" s="343"/>
      <c r="BR773" s="343"/>
      <c r="BS773" s="343"/>
      <c r="BT773" s="343"/>
      <c r="BU773" s="343"/>
      <c r="BV773" s="343"/>
      <c r="BW773" s="343"/>
      <c r="BX773" s="343"/>
    </row>
    <row r="774" spans="1:76" s="25" customFormat="1">
      <c r="A774" s="343"/>
      <c r="B774" s="343"/>
      <c r="C774" s="64"/>
      <c r="D774" s="64"/>
      <c r="E774" s="39"/>
      <c r="F774" s="39"/>
      <c r="G774" s="39"/>
      <c r="H774" s="39"/>
      <c r="I774" s="39"/>
      <c r="J774" s="39"/>
      <c r="K774" s="39"/>
      <c r="L774" s="39"/>
      <c r="M774" s="660"/>
      <c r="N774" s="343"/>
      <c r="O774" s="343"/>
      <c r="P774" s="343"/>
      <c r="Q774" s="343"/>
      <c r="R774" s="600"/>
      <c r="S774" s="600"/>
      <c r="T774" s="600"/>
      <c r="U774" s="600"/>
      <c r="V774" s="600"/>
      <c r="W774" s="600"/>
      <c r="X774" s="600"/>
      <c r="Y774" s="600"/>
      <c r="Z774" s="600"/>
      <c r="AA774" s="482"/>
      <c r="AB774" s="482"/>
      <c r="AC774" s="482"/>
      <c r="AD774" s="600">
        <v>763</v>
      </c>
      <c r="AE774" s="482"/>
      <c r="AF774" s="600"/>
      <c r="AG774" s="600"/>
      <c r="AH774" s="600"/>
      <c r="AI774" s="600"/>
      <c r="AJ774" s="600"/>
      <c r="AK774" s="600"/>
      <c r="AL774" s="600"/>
      <c r="AM774" s="600"/>
      <c r="AN774" s="482"/>
      <c r="AO774" s="600"/>
      <c r="AP774" s="600"/>
      <c r="AQ774" s="600"/>
      <c r="AR774" s="600"/>
      <c r="AS774" s="600"/>
      <c r="AT774" s="600"/>
      <c r="AU774" s="600"/>
      <c r="AV774" s="600"/>
      <c r="AW774" s="482"/>
      <c r="AX774" s="482"/>
      <c r="AY774" s="482"/>
      <c r="AZ774" s="482"/>
      <c r="BA774" s="343"/>
      <c r="BB774" s="343"/>
      <c r="BC774" s="343"/>
      <c r="BD774" s="343"/>
      <c r="BE774" s="343"/>
      <c r="BF774" s="343"/>
      <c r="BG774" s="343"/>
      <c r="BH774" s="343"/>
      <c r="BI774" s="343"/>
      <c r="BJ774" s="343"/>
      <c r="BK774" s="343"/>
      <c r="BL774" s="343"/>
      <c r="BM774" s="343"/>
      <c r="BN774" s="343"/>
      <c r="BO774" s="343"/>
      <c r="BP774" s="343"/>
      <c r="BQ774" s="343"/>
      <c r="BR774" s="343"/>
      <c r="BS774" s="343"/>
      <c r="BT774" s="343"/>
      <c r="BU774" s="343"/>
      <c r="BV774" s="343"/>
      <c r="BW774" s="343"/>
      <c r="BX774" s="343"/>
    </row>
    <row r="775" spans="1:76" s="25" customFormat="1">
      <c r="A775" s="343"/>
      <c r="B775" s="343"/>
      <c r="C775" s="64"/>
      <c r="D775" s="64"/>
      <c r="E775" s="39"/>
      <c r="F775" s="39"/>
      <c r="G775" s="39"/>
      <c r="H775" s="39"/>
      <c r="I775" s="39"/>
      <c r="J775" s="39"/>
      <c r="K775" s="39"/>
      <c r="L775" s="39"/>
      <c r="M775" s="660"/>
      <c r="N775" s="343"/>
      <c r="O775" s="343"/>
      <c r="P775" s="343"/>
      <c r="Q775" s="343"/>
      <c r="R775" s="600"/>
      <c r="S775" s="600"/>
      <c r="T775" s="600"/>
      <c r="U775" s="600"/>
      <c r="V775" s="600"/>
      <c r="W775" s="600"/>
      <c r="X775" s="600"/>
      <c r="Y775" s="600"/>
      <c r="Z775" s="600"/>
      <c r="AA775" s="482"/>
      <c r="AB775" s="482"/>
      <c r="AC775" s="482"/>
      <c r="AD775" s="600">
        <v>764</v>
      </c>
      <c r="AE775" s="482"/>
      <c r="AF775" s="600"/>
      <c r="AG775" s="600"/>
      <c r="AH775" s="600"/>
      <c r="AI775" s="600"/>
      <c r="AJ775" s="600"/>
      <c r="AK775" s="600"/>
      <c r="AL775" s="600"/>
      <c r="AM775" s="600"/>
      <c r="AN775" s="482"/>
      <c r="AO775" s="600"/>
      <c r="AP775" s="600"/>
      <c r="AQ775" s="600"/>
      <c r="AR775" s="600"/>
      <c r="AS775" s="600"/>
      <c r="AT775" s="600"/>
      <c r="AU775" s="600"/>
      <c r="AV775" s="600"/>
      <c r="AW775" s="482"/>
      <c r="AX775" s="482"/>
      <c r="AY775" s="482"/>
      <c r="AZ775" s="482"/>
      <c r="BA775" s="343"/>
      <c r="BB775" s="343"/>
      <c r="BC775" s="343"/>
      <c r="BD775" s="343"/>
      <c r="BE775" s="343"/>
      <c r="BF775" s="343"/>
      <c r="BG775" s="343"/>
      <c r="BH775" s="343"/>
      <c r="BI775" s="343"/>
      <c r="BJ775" s="343"/>
      <c r="BK775" s="343"/>
      <c r="BL775" s="343"/>
      <c r="BM775" s="343"/>
      <c r="BN775" s="343"/>
      <c r="BO775" s="343"/>
      <c r="BP775" s="343"/>
      <c r="BQ775" s="343"/>
      <c r="BR775" s="343"/>
      <c r="BS775" s="343"/>
      <c r="BT775" s="343"/>
      <c r="BU775" s="343"/>
      <c r="BV775" s="343"/>
      <c r="BW775" s="343"/>
      <c r="BX775" s="343"/>
    </row>
    <row r="776" spans="1:76" s="25" customFormat="1">
      <c r="A776" s="343"/>
      <c r="B776" s="343"/>
      <c r="C776" s="64"/>
      <c r="D776" s="64"/>
      <c r="E776" s="39"/>
      <c r="F776" s="39"/>
      <c r="G776" s="39"/>
      <c r="H776" s="39"/>
      <c r="I776" s="39"/>
      <c r="J776" s="39"/>
      <c r="K776" s="39"/>
      <c r="L776" s="39"/>
      <c r="M776" s="660"/>
      <c r="N776" s="343"/>
      <c r="O776" s="343"/>
      <c r="P776" s="343"/>
      <c r="Q776" s="343"/>
      <c r="R776" s="600"/>
      <c r="S776" s="600"/>
      <c r="T776" s="600"/>
      <c r="U776" s="600"/>
      <c r="V776" s="600"/>
      <c r="W776" s="600"/>
      <c r="X776" s="600"/>
      <c r="Y776" s="600"/>
      <c r="Z776" s="600"/>
      <c r="AA776" s="482"/>
      <c r="AB776" s="482"/>
      <c r="AC776" s="482"/>
      <c r="AD776" s="600">
        <v>765</v>
      </c>
      <c r="AE776" s="482"/>
      <c r="AF776" s="600"/>
      <c r="AG776" s="600"/>
      <c r="AH776" s="600"/>
      <c r="AI776" s="600"/>
      <c r="AJ776" s="600"/>
      <c r="AK776" s="600"/>
      <c r="AL776" s="600"/>
      <c r="AM776" s="600"/>
      <c r="AN776" s="482"/>
      <c r="AO776" s="600"/>
      <c r="AP776" s="600"/>
      <c r="AQ776" s="600"/>
      <c r="AR776" s="600"/>
      <c r="AS776" s="600"/>
      <c r="AT776" s="600"/>
      <c r="AU776" s="600"/>
      <c r="AV776" s="600"/>
      <c r="AW776" s="482"/>
      <c r="AX776" s="482"/>
      <c r="AY776" s="482"/>
      <c r="AZ776" s="482"/>
      <c r="BA776" s="343"/>
      <c r="BB776" s="343"/>
      <c r="BC776" s="343"/>
      <c r="BD776" s="343"/>
      <c r="BE776" s="343"/>
      <c r="BF776" s="343"/>
      <c r="BG776" s="343"/>
      <c r="BH776" s="343"/>
      <c r="BI776" s="343"/>
      <c r="BJ776" s="343"/>
      <c r="BK776" s="343"/>
      <c r="BL776" s="343"/>
      <c r="BM776" s="343"/>
      <c r="BN776" s="343"/>
      <c r="BO776" s="343"/>
      <c r="BP776" s="343"/>
      <c r="BQ776" s="343"/>
      <c r="BR776" s="343"/>
      <c r="BS776" s="343"/>
      <c r="BT776" s="343"/>
      <c r="BU776" s="343"/>
      <c r="BV776" s="343"/>
      <c r="BW776" s="343"/>
      <c r="BX776" s="343"/>
    </row>
    <row r="777" spans="1:76" s="25" customFormat="1">
      <c r="A777" s="343"/>
      <c r="B777" s="343"/>
      <c r="C777" s="64"/>
      <c r="D777" s="64"/>
      <c r="E777" s="39"/>
      <c r="F777" s="39"/>
      <c r="G777" s="39"/>
      <c r="H777" s="39"/>
      <c r="I777" s="39"/>
      <c r="J777" s="39"/>
      <c r="K777" s="39"/>
      <c r="L777" s="39"/>
      <c r="M777" s="660"/>
      <c r="N777" s="343"/>
      <c r="O777" s="343"/>
      <c r="P777" s="343"/>
      <c r="Q777" s="343"/>
      <c r="R777" s="600"/>
      <c r="S777" s="600"/>
      <c r="T777" s="600"/>
      <c r="U777" s="600"/>
      <c r="V777" s="600"/>
      <c r="W777" s="600"/>
      <c r="X777" s="600"/>
      <c r="Y777" s="600"/>
      <c r="Z777" s="600"/>
      <c r="AA777" s="482"/>
      <c r="AB777" s="482"/>
      <c r="AC777" s="482"/>
      <c r="AD777" s="600">
        <v>766</v>
      </c>
      <c r="AE777" s="482"/>
      <c r="AF777" s="600"/>
      <c r="AG777" s="600"/>
      <c r="AH777" s="600"/>
      <c r="AI777" s="600"/>
      <c r="AJ777" s="600"/>
      <c r="AK777" s="600"/>
      <c r="AL777" s="600"/>
      <c r="AM777" s="600"/>
      <c r="AN777" s="482"/>
      <c r="AO777" s="600"/>
      <c r="AP777" s="600"/>
      <c r="AQ777" s="600"/>
      <c r="AR777" s="600"/>
      <c r="AS777" s="600"/>
      <c r="AT777" s="600"/>
      <c r="AU777" s="600"/>
      <c r="AV777" s="600"/>
      <c r="AW777" s="482"/>
      <c r="AX777" s="482"/>
      <c r="AY777" s="482"/>
      <c r="AZ777" s="482"/>
      <c r="BA777" s="343"/>
      <c r="BB777" s="343"/>
      <c r="BC777" s="343"/>
      <c r="BD777" s="343"/>
      <c r="BE777" s="343"/>
      <c r="BF777" s="343"/>
      <c r="BG777" s="343"/>
      <c r="BH777" s="343"/>
      <c r="BI777" s="343"/>
      <c r="BJ777" s="343"/>
      <c r="BK777" s="343"/>
      <c r="BL777" s="343"/>
      <c r="BM777" s="343"/>
      <c r="BN777" s="343"/>
      <c r="BO777" s="343"/>
      <c r="BP777" s="343"/>
      <c r="BQ777" s="343"/>
      <c r="BR777" s="343"/>
      <c r="BS777" s="343"/>
      <c r="BT777" s="343"/>
      <c r="BU777" s="343"/>
      <c r="BV777" s="343"/>
      <c r="BW777" s="343"/>
      <c r="BX777" s="343"/>
    </row>
    <row r="778" spans="1:76" s="25" customFormat="1">
      <c r="A778" s="343"/>
      <c r="B778" s="343"/>
      <c r="C778" s="64"/>
      <c r="D778" s="64"/>
      <c r="E778" s="39"/>
      <c r="F778" s="39"/>
      <c r="G778" s="39"/>
      <c r="H778" s="39"/>
      <c r="I778" s="39"/>
      <c r="J778" s="39"/>
      <c r="K778" s="39"/>
      <c r="L778" s="39"/>
      <c r="M778" s="660"/>
      <c r="N778" s="343"/>
      <c r="O778" s="343"/>
      <c r="P778" s="343"/>
      <c r="Q778" s="343"/>
      <c r="R778" s="600"/>
      <c r="S778" s="600"/>
      <c r="T778" s="600"/>
      <c r="U778" s="600"/>
      <c r="V778" s="600"/>
      <c r="W778" s="600"/>
      <c r="X778" s="600"/>
      <c r="Y778" s="600"/>
      <c r="Z778" s="600"/>
      <c r="AA778" s="482"/>
      <c r="AB778" s="482"/>
      <c r="AC778" s="482"/>
      <c r="AD778" s="600">
        <v>767</v>
      </c>
      <c r="AE778" s="482"/>
      <c r="AF778" s="600"/>
      <c r="AG778" s="600"/>
      <c r="AH778" s="600"/>
      <c r="AI778" s="600"/>
      <c r="AJ778" s="600"/>
      <c r="AK778" s="600"/>
      <c r="AL778" s="600"/>
      <c r="AM778" s="600"/>
      <c r="AN778" s="482"/>
      <c r="AO778" s="600"/>
      <c r="AP778" s="600"/>
      <c r="AQ778" s="600"/>
      <c r="AR778" s="600"/>
      <c r="AS778" s="600"/>
      <c r="AT778" s="600"/>
      <c r="AU778" s="600"/>
      <c r="AV778" s="600"/>
      <c r="AW778" s="482"/>
      <c r="AX778" s="482"/>
      <c r="AY778" s="482"/>
      <c r="AZ778" s="482"/>
      <c r="BA778" s="343"/>
      <c r="BB778" s="343"/>
      <c r="BC778" s="343"/>
      <c r="BD778" s="343"/>
      <c r="BE778" s="343"/>
      <c r="BF778" s="343"/>
      <c r="BG778" s="343"/>
      <c r="BH778" s="343"/>
      <c r="BI778" s="343"/>
      <c r="BJ778" s="343"/>
      <c r="BK778" s="343"/>
      <c r="BL778" s="343"/>
      <c r="BM778" s="343"/>
      <c r="BN778" s="343"/>
      <c r="BO778" s="343"/>
      <c r="BP778" s="343"/>
      <c r="BQ778" s="343"/>
      <c r="BR778" s="343"/>
      <c r="BS778" s="343"/>
      <c r="BT778" s="343"/>
      <c r="BU778" s="343"/>
      <c r="BV778" s="343"/>
      <c r="BW778" s="343"/>
      <c r="BX778" s="343"/>
    </row>
    <row r="779" spans="1:76" s="25" customFormat="1">
      <c r="A779" s="343"/>
      <c r="B779" s="343"/>
      <c r="C779" s="64"/>
      <c r="D779" s="64"/>
      <c r="E779" s="39"/>
      <c r="F779" s="39"/>
      <c r="G779" s="39"/>
      <c r="H779" s="39"/>
      <c r="I779" s="39"/>
      <c r="J779" s="39"/>
      <c r="K779" s="39"/>
      <c r="L779" s="39"/>
      <c r="M779" s="660"/>
      <c r="N779" s="343"/>
      <c r="O779" s="343"/>
      <c r="P779" s="343"/>
      <c r="Q779" s="343"/>
      <c r="R779" s="600"/>
      <c r="S779" s="600"/>
      <c r="T779" s="600"/>
      <c r="U779" s="600"/>
      <c r="V779" s="600"/>
      <c r="W779" s="600"/>
      <c r="X779" s="600"/>
      <c r="Y779" s="600"/>
      <c r="Z779" s="600"/>
      <c r="AA779" s="482"/>
      <c r="AB779" s="482"/>
      <c r="AC779" s="482"/>
      <c r="AD779" s="600">
        <v>768</v>
      </c>
      <c r="AE779" s="482"/>
      <c r="AF779" s="600"/>
      <c r="AG779" s="600"/>
      <c r="AH779" s="600"/>
      <c r="AI779" s="600"/>
      <c r="AJ779" s="600"/>
      <c r="AK779" s="600"/>
      <c r="AL779" s="600"/>
      <c r="AM779" s="600"/>
      <c r="AN779" s="482"/>
      <c r="AO779" s="600"/>
      <c r="AP779" s="600"/>
      <c r="AQ779" s="600"/>
      <c r="AR779" s="600"/>
      <c r="AS779" s="600"/>
      <c r="AT779" s="600"/>
      <c r="AU779" s="600"/>
      <c r="AV779" s="600"/>
      <c r="AW779" s="482"/>
      <c r="AX779" s="482"/>
      <c r="AY779" s="482"/>
      <c r="AZ779" s="482"/>
      <c r="BA779" s="343"/>
      <c r="BB779" s="343"/>
      <c r="BC779" s="343"/>
      <c r="BD779" s="343"/>
      <c r="BE779" s="343"/>
      <c r="BF779" s="343"/>
      <c r="BG779" s="343"/>
      <c r="BH779" s="343"/>
      <c r="BI779" s="343"/>
      <c r="BJ779" s="343"/>
      <c r="BK779" s="343"/>
      <c r="BL779" s="343"/>
      <c r="BM779" s="343"/>
      <c r="BN779" s="343"/>
      <c r="BO779" s="343"/>
      <c r="BP779" s="343"/>
      <c r="BQ779" s="343"/>
      <c r="BR779" s="343"/>
      <c r="BS779" s="343"/>
      <c r="BT779" s="343"/>
      <c r="BU779" s="343"/>
      <c r="BV779" s="343"/>
      <c r="BW779" s="343"/>
      <c r="BX779" s="343"/>
    </row>
    <row r="780" spans="1:76">
      <c r="E780" s="39"/>
      <c r="F780" s="39"/>
      <c r="G780" s="39"/>
      <c r="H780" s="39"/>
      <c r="I780" s="39"/>
      <c r="J780" s="39"/>
      <c r="K780" s="39"/>
      <c r="L780" s="39"/>
      <c r="M780" s="660"/>
      <c r="R780" s="600"/>
      <c r="S780" s="600"/>
      <c r="T780" s="600"/>
      <c r="U780" s="600"/>
      <c r="V780" s="600"/>
      <c r="W780" s="600"/>
      <c r="X780" s="600"/>
      <c r="Y780" s="600"/>
      <c r="Z780" s="600"/>
      <c r="AD780" s="600">
        <v>769</v>
      </c>
      <c r="AF780" s="600"/>
      <c r="AG780" s="600"/>
      <c r="AH780" s="600"/>
      <c r="AI780" s="600"/>
      <c r="AJ780" s="600"/>
      <c r="AK780" s="600"/>
      <c r="AL780" s="600"/>
      <c r="AM780" s="600"/>
      <c r="AO780" s="600"/>
      <c r="AP780" s="600"/>
      <c r="AQ780" s="600"/>
      <c r="AR780" s="600"/>
      <c r="AS780" s="600"/>
      <c r="AT780" s="600"/>
      <c r="AU780" s="600"/>
      <c r="AV780" s="600"/>
    </row>
    <row r="781" spans="1:76">
      <c r="E781" s="39"/>
      <c r="F781" s="39"/>
      <c r="G781" s="39"/>
      <c r="H781" s="39"/>
      <c r="I781" s="39"/>
      <c r="J781" s="39"/>
      <c r="K781" s="39"/>
      <c r="L781" s="39"/>
      <c r="M781" s="660"/>
      <c r="R781" s="600"/>
      <c r="S781" s="600"/>
      <c r="T781" s="600"/>
      <c r="U781" s="600"/>
      <c r="V781" s="600"/>
      <c r="W781" s="600"/>
      <c r="X781" s="600"/>
      <c r="Y781" s="600"/>
      <c r="Z781" s="600"/>
      <c r="AD781" s="600">
        <v>770</v>
      </c>
      <c r="AF781" s="600"/>
      <c r="AG781" s="600"/>
      <c r="AH781" s="600"/>
      <c r="AI781" s="600"/>
      <c r="AJ781" s="600"/>
      <c r="AK781" s="600"/>
      <c r="AL781" s="600"/>
      <c r="AM781" s="600"/>
      <c r="AO781" s="600"/>
      <c r="AP781" s="600"/>
      <c r="AQ781" s="600"/>
      <c r="AR781" s="600"/>
      <c r="AS781" s="600"/>
      <c r="AT781" s="600"/>
      <c r="AU781" s="600"/>
      <c r="AV781" s="600"/>
    </row>
    <row r="782" spans="1:76">
      <c r="E782" s="39"/>
      <c r="F782" s="39"/>
      <c r="G782" s="39"/>
      <c r="H782" s="39"/>
      <c r="I782" s="39"/>
      <c r="J782" s="39"/>
      <c r="K782" s="39"/>
      <c r="L782" s="39"/>
      <c r="M782" s="660"/>
      <c r="R782" s="600"/>
      <c r="S782" s="600"/>
      <c r="T782" s="600"/>
      <c r="U782" s="600"/>
      <c r="V782" s="600"/>
      <c r="W782" s="600"/>
      <c r="X782" s="600"/>
      <c r="Y782" s="600"/>
      <c r="Z782" s="600"/>
      <c r="AD782" s="600">
        <v>771</v>
      </c>
      <c r="AF782" s="600"/>
      <c r="AG782" s="600"/>
      <c r="AH782" s="600"/>
      <c r="AI782" s="600"/>
      <c r="AJ782" s="600"/>
      <c r="AK782" s="600"/>
      <c r="AL782" s="600"/>
      <c r="AM782" s="600"/>
      <c r="AO782" s="600"/>
      <c r="AP782" s="600"/>
      <c r="AQ782" s="600"/>
      <c r="AR782" s="600"/>
      <c r="AS782" s="600"/>
      <c r="AT782" s="600"/>
      <c r="AU782" s="600"/>
      <c r="AV782" s="600"/>
    </row>
    <row r="783" spans="1:76">
      <c r="E783" s="39"/>
      <c r="F783" s="39"/>
      <c r="G783" s="39"/>
      <c r="H783" s="39"/>
      <c r="I783" s="39"/>
      <c r="J783" s="39"/>
      <c r="K783" s="39"/>
      <c r="L783" s="39"/>
      <c r="M783" s="660"/>
      <c r="R783" s="600"/>
      <c r="S783" s="600"/>
      <c r="T783" s="600"/>
      <c r="U783" s="600"/>
      <c r="V783" s="600"/>
      <c r="W783" s="600"/>
      <c r="X783" s="600"/>
      <c r="Y783" s="600"/>
      <c r="Z783" s="600"/>
      <c r="AD783" s="600">
        <v>772</v>
      </c>
      <c r="AF783" s="600"/>
      <c r="AG783" s="600"/>
      <c r="AH783" s="600"/>
      <c r="AI783" s="600"/>
      <c r="AJ783" s="600"/>
      <c r="AK783" s="600"/>
      <c r="AL783" s="600"/>
      <c r="AM783" s="600"/>
      <c r="AO783" s="600"/>
      <c r="AP783" s="600"/>
      <c r="AQ783" s="600"/>
      <c r="AR783" s="600"/>
      <c r="AS783" s="600"/>
      <c r="AT783" s="600"/>
      <c r="AU783" s="600"/>
      <c r="AV783" s="600"/>
    </row>
    <row r="784" spans="1:76">
      <c r="E784" s="39"/>
      <c r="F784" s="39"/>
      <c r="G784" s="39"/>
      <c r="H784" s="39"/>
      <c r="I784" s="39"/>
      <c r="J784" s="39"/>
      <c r="K784" s="39"/>
      <c r="L784" s="39"/>
      <c r="M784" s="660"/>
      <c r="R784" s="600"/>
      <c r="S784" s="600"/>
      <c r="T784" s="600"/>
      <c r="U784" s="600"/>
      <c r="V784" s="600"/>
      <c r="W784" s="600"/>
      <c r="X784" s="600"/>
      <c r="Y784" s="600"/>
      <c r="Z784" s="600"/>
      <c r="AD784" s="600">
        <v>773</v>
      </c>
      <c r="AF784" s="600"/>
      <c r="AG784" s="600"/>
      <c r="AH784" s="600"/>
      <c r="AI784" s="600"/>
      <c r="AJ784" s="600"/>
      <c r="AK784" s="600"/>
      <c r="AL784" s="600"/>
      <c r="AM784" s="600"/>
      <c r="AO784" s="600"/>
      <c r="AP784" s="600"/>
      <c r="AQ784" s="600"/>
      <c r="AR784" s="600"/>
      <c r="AS784" s="600"/>
      <c r="AT784" s="600"/>
      <c r="AU784" s="600"/>
      <c r="AV784" s="600"/>
    </row>
    <row r="785" spans="5:48">
      <c r="E785" s="39"/>
      <c r="F785" s="39"/>
      <c r="G785" s="39"/>
      <c r="H785" s="39"/>
      <c r="I785" s="39"/>
      <c r="J785" s="39"/>
      <c r="K785" s="39"/>
      <c r="L785" s="39"/>
      <c r="M785" s="660"/>
      <c r="R785" s="600"/>
      <c r="S785" s="600"/>
      <c r="T785" s="600"/>
      <c r="U785" s="600"/>
      <c r="V785" s="600"/>
      <c r="W785" s="600"/>
      <c r="X785" s="600"/>
      <c r="Y785" s="600"/>
      <c r="Z785" s="600"/>
      <c r="AD785" s="600">
        <v>774</v>
      </c>
      <c r="AF785" s="600"/>
      <c r="AG785" s="600"/>
      <c r="AH785" s="600"/>
      <c r="AI785" s="600"/>
      <c r="AJ785" s="600"/>
      <c r="AK785" s="600"/>
      <c r="AL785" s="600"/>
      <c r="AM785" s="600"/>
      <c r="AO785" s="600"/>
      <c r="AP785" s="600"/>
      <c r="AQ785" s="600"/>
      <c r="AR785" s="600"/>
      <c r="AS785" s="600"/>
      <c r="AT785" s="600"/>
      <c r="AU785" s="600"/>
      <c r="AV785" s="600"/>
    </row>
    <row r="786" spans="5:48">
      <c r="E786" s="39"/>
      <c r="F786" s="39"/>
      <c r="G786" s="39"/>
      <c r="H786" s="39"/>
      <c r="I786" s="39"/>
      <c r="J786" s="39"/>
      <c r="K786" s="39"/>
      <c r="L786" s="39"/>
      <c r="M786" s="660"/>
      <c r="R786" s="600"/>
      <c r="S786" s="600"/>
      <c r="T786" s="600"/>
      <c r="U786" s="600"/>
      <c r="V786" s="600"/>
      <c r="W786" s="600"/>
      <c r="X786" s="600"/>
      <c r="Y786" s="600"/>
      <c r="Z786" s="600"/>
      <c r="AD786" s="600">
        <v>775</v>
      </c>
      <c r="AF786" s="600"/>
      <c r="AG786" s="600"/>
      <c r="AH786" s="600"/>
      <c r="AI786" s="600"/>
      <c r="AJ786" s="600"/>
      <c r="AK786" s="600"/>
      <c r="AL786" s="600"/>
      <c r="AM786" s="600"/>
      <c r="AO786" s="600"/>
      <c r="AP786" s="600"/>
      <c r="AQ786" s="600"/>
      <c r="AR786" s="600"/>
      <c r="AS786" s="600"/>
      <c r="AT786" s="600"/>
      <c r="AU786" s="600"/>
      <c r="AV786" s="600"/>
    </row>
    <row r="787" spans="5:48">
      <c r="E787" s="39"/>
      <c r="F787" s="39"/>
      <c r="G787" s="39"/>
      <c r="H787" s="39"/>
      <c r="I787" s="39"/>
      <c r="J787" s="39"/>
      <c r="K787" s="39"/>
      <c r="L787" s="39"/>
      <c r="M787" s="660"/>
      <c r="R787" s="600"/>
      <c r="S787" s="600"/>
      <c r="T787" s="600"/>
      <c r="U787" s="600"/>
      <c r="V787" s="600"/>
      <c r="W787" s="600"/>
      <c r="X787" s="600"/>
      <c r="Y787" s="600"/>
      <c r="Z787" s="600"/>
      <c r="AD787" s="600">
        <v>776</v>
      </c>
      <c r="AF787" s="600"/>
      <c r="AG787" s="600"/>
      <c r="AH787" s="600"/>
      <c r="AI787" s="600"/>
      <c r="AJ787" s="600"/>
      <c r="AK787" s="600"/>
      <c r="AL787" s="600"/>
      <c r="AM787" s="600"/>
      <c r="AO787" s="600"/>
      <c r="AP787" s="600"/>
      <c r="AQ787" s="600"/>
      <c r="AR787" s="600"/>
      <c r="AS787" s="600"/>
      <c r="AT787" s="600"/>
      <c r="AU787" s="600"/>
      <c r="AV787" s="600"/>
    </row>
    <row r="788" spans="5:48">
      <c r="E788" s="39"/>
      <c r="F788" s="39"/>
      <c r="G788" s="39"/>
      <c r="H788" s="39"/>
      <c r="I788" s="39"/>
      <c r="J788" s="39"/>
      <c r="K788" s="39"/>
      <c r="L788" s="39"/>
      <c r="M788" s="660"/>
      <c r="R788" s="600"/>
      <c r="S788" s="600"/>
      <c r="T788" s="600"/>
      <c r="U788" s="600"/>
      <c r="V788" s="600"/>
      <c r="W788" s="600"/>
      <c r="X788" s="600"/>
      <c r="Y788" s="600"/>
      <c r="Z788" s="600"/>
      <c r="AD788" s="600">
        <v>777</v>
      </c>
      <c r="AF788" s="600"/>
      <c r="AG788" s="600"/>
      <c r="AH788" s="600"/>
      <c r="AI788" s="600"/>
      <c r="AJ788" s="600"/>
      <c r="AK788" s="600"/>
      <c r="AL788" s="600"/>
      <c r="AM788" s="600"/>
      <c r="AO788" s="600"/>
      <c r="AP788" s="600"/>
      <c r="AQ788" s="600"/>
      <c r="AR788" s="600"/>
      <c r="AS788" s="600"/>
      <c r="AT788" s="600"/>
      <c r="AU788" s="600"/>
      <c r="AV788" s="600"/>
    </row>
    <row r="789" spans="5:48">
      <c r="E789" s="39"/>
      <c r="F789" s="39"/>
      <c r="G789" s="39"/>
      <c r="H789" s="39"/>
      <c r="I789" s="39"/>
      <c r="J789" s="39"/>
      <c r="K789" s="39"/>
      <c r="L789" s="39"/>
      <c r="M789" s="660"/>
      <c r="R789" s="600"/>
      <c r="S789" s="600"/>
      <c r="T789" s="600"/>
      <c r="U789" s="600"/>
      <c r="V789" s="600"/>
      <c r="W789" s="600"/>
      <c r="X789" s="600"/>
      <c r="Y789" s="600"/>
      <c r="Z789" s="600"/>
      <c r="AD789" s="600">
        <v>778</v>
      </c>
      <c r="AF789" s="600"/>
      <c r="AG789" s="600"/>
      <c r="AH789" s="600"/>
      <c r="AI789" s="600"/>
      <c r="AJ789" s="600"/>
      <c r="AK789" s="600"/>
      <c r="AL789" s="600"/>
      <c r="AM789" s="600"/>
      <c r="AO789" s="600"/>
      <c r="AP789" s="600"/>
      <c r="AQ789" s="600"/>
      <c r="AR789" s="600"/>
      <c r="AS789" s="600"/>
      <c r="AT789" s="600"/>
      <c r="AU789" s="600"/>
      <c r="AV789" s="600"/>
    </row>
    <row r="790" spans="5:48">
      <c r="E790" s="39"/>
      <c r="F790" s="39"/>
      <c r="G790" s="39"/>
      <c r="H790" s="39"/>
      <c r="I790" s="39"/>
      <c r="J790" s="39"/>
      <c r="K790" s="39"/>
      <c r="L790" s="39"/>
      <c r="M790" s="660"/>
      <c r="R790" s="600"/>
      <c r="S790" s="600"/>
      <c r="T790" s="600"/>
      <c r="U790" s="600"/>
      <c r="V790" s="600"/>
      <c r="W790" s="600"/>
      <c r="X790" s="600"/>
      <c r="Y790" s="600"/>
      <c r="Z790" s="600"/>
      <c r="AD790" s="600">
        <v>779</v>
      </c>
      <c r="AF790" s="600"/>
      <c r="AG790" s="600"/>
      <c r="AH790" s="600"/>
      <c r="AI790" s="600"/>
      <c r="AJ790" s="600"/>
      <c r="AK790" s="600"/>
      <c r="AL790" s="600"/>
      <c r="AM790" s="600"/>
      <c r="AO790" s="600"/>
      <c r="AP790" s="600"/>
      <c r="AQ790" s="600"/>
      <c r="AR790" s="600"/>
      <c r="AS790" s="600"/>
      <c r="AT790" s="600"/>
      <c r="AU790" s="600"/>
      <c r="AV790" s="600"/>
    </row>
    <row r="791" spans="5:48">
      <c r="E791" s="39"/>
      <c r="F791" s="39"/>
      <c r="G791" s="39"/>
      <c r="H791" s="39"/>
      <c r="I791" s="39"/>
      <c r="J791" s="39"/>
      <c r="K791" s="39"/>
      <c r="L791" s="39"/>
      <c r="M791" s="660"/>
      <c r="R791" s="600"/>
      <c r="S791" s="600"/>
      <c r="T791" s="600"/>
      <c r="U791" s="600"/>
      <c r="V791" s="600"/>
      <c r="W791" s="600"/>
      <c r="X791" s="600"/>
      <c r="Y791" s="600"/>
      <c r="Z791" s="600"/>
      <c r="AD791" s="600">
        <v>780</v>
      </c>
      <c r="AF791" s="600"/>
      <c r="AG791" s="600"/>
      <c r="AH791" s="600"/>
      <c r="AI791" s="600"/>
      <c r="AJ791" s="600"/>
      <c r="AK791" s="600"/>
      <c r="AL791" s="600"/>
      <c r="AM791" s="600"/>
      <c r="AO791" s="600"/>
      <c r="AP791" s="600"/>
      <c r="AQ791" s="600"/>
      <c r="AR791" s="600"/>
      <c r="AS791" s="600"/>
      <c r="AT791" s="600"/>
      <c r="AU791" s="600"/>
      <c r="AV791" s="600"/>
    </row>
    <row r="792" spans="5:48">
      <c r="E792" s="39"/>
      <c r="F792" s="39"/>
      <c r="G792" s="39"/>
      <c r="H792" s="39"/>
      <c r="I792" s="39"/>
      <c r="J792" s="39"/>
      <c r="K792" s="39"/>
      <c r="L792" s="39"/>
      <c r="M792" s="660"/>
      <c r="R792" s="600"/>
      <c r="S792" s="600"/>
      <c r="T792" s="600"/>
      <c r="U792" s="600"/>
      <c r="V792" s="600"/>
      <c r="W792" s="600"/>
      <c r="X792" s="600"/>
      <c r="Y792" s="600"/>
      <c r="Z792" s="600"/>
      <c r="AD792" s="600">
        <v>781</v>
      </c>
      <c r="AF792" s="600"/>
      <c r="AG792" s="600"/>
      <c r="AH792" s="600"/>
      <c r="AI792" s="600"/>
      <c r="AJ792" s="600"/>
      <c r="AK792" s="600"/>
      <c r="AL792" s="600"/>
      <c r="AM792" s="600"/>
      <c r="AO792" s="600"/>
      <c r="AP792" s="600"/>
      <c r="AQ792" s="600"/>
      <c r="AR792" s="600"/>
      <c r="AS792" s="600"/>
      <c r="AT792" s="600"/>
      <c r="AU792" s="600"/>
      <c r="AV792" s="600"/>
    </row>
    <row r="793" spans="5:48">
      <c r="E793" s="39"/>
      <c r="F793" s="39"/>
      <c r="G793" s="39"/>
      <c r="H793" s="39"/>
      <c r="I793" s="39"/>
      <c r="J793" s="39"/>
      <c r="K793" s="39"/>
      <c r="L793" s="39"/>
      <c r="M793" s="660"/>
      <c r="R793" s="600"/>
      <c r="S793" s="600"/>
      <c r="T793" s="600"/>
      <c r="U793" s="600"/>
      <c r="V793" s="600"/>
      <c r="W793" s="600"/>
      <c r="X793" s="600"/>
      <c r="Y793" s="600"/>
      <c r="Z793" s="600"/>
      <c r="AD793" s="600">
        <v>782</v>
      </c>
      <c r="AF793" s="600"/>
      <c r="AG793" s="600"/>
      <c r="AH793" s="600"/>
      <c r="AI793" s="600"/>
      <c r="AJ793" s="600"/>
      <c r="AK793" s="600"/>
      <c r="AL793" s="600"/>
      <c r="AM793" s="600"/>
      <c r="AO793" s="600"/>
      <c r="AP793" s="600"/>
      <c r="AQ793" s="600"/>
      <c r="AR793" s="600"/>
      <c r="AS793" s="600"/>
      <c r="AT793" s="600"/>
      <c r="AU793" s="600"/>
      <c r="AV793" s="600"/>
    </row>
    <row r="794" spans="5:48">
      <c r="E794" s="39"/>
      <c r="F794" s="39"/>
      <c r="G794" s="39"/>
      <c r="H794" s="39"/>
      <c r="I794" s="39"/>
      <c r="J794" s="39"/>
      <c r="K794" s="39"/>
      <c r="L794" s="39"/>
      <c r="M794" s="660"/>
      <c r="R794" s="600"/>
      <c r="S794" s="600"/>
      <c r="T794" s="600"/>
      <c r="U794" s="600"/>
      <c r="V794" s="600"/>
      <c r="W794" s="600"/>
      <c r="X794" s="600"/>
      <c r="Y794" s="600"/>
      <c r="Z794" s="600"/>
      <c r="AD794" s="600">
        <v>783</v>
      </c>
      <c r="AF794" s="600"/>
      <c r="AG794" s="600"/>
      <c r="AH794" s="600"/>
      <c r="AI794" s="600"/>
      <c r="AJ794" s="600"/>
      <c r="AK794" s="600"/>
      <c r="AL794" s="600"/>
      <c r="AM794" s="600"/>
      <c r="AO794" s="600"/>
      <c r="AP794" s="600"/>
      <c r="AQ794" s="600"/>
      <c r="AR794" s="600"/>
      <c r="AS794" s="600"/>
      <c r="AT794" s="600"/>
      <c r="AU794" s="600"/>
      <c r="AV794" s="600"/>
    </row>
    <row r="795" spans="5:48">
      <c r="E795" s="39"/>
      <c r="F795" s="39"/>
      <c r="G795" s="39"/>
      <c r="H795" s="39"/>
      <c r="I795" s="39"/>
      <c r="J795" s="39"/>
      <c r="K795" s="39"/>
      <c r="L795" s="39"/>
      <c r="M795" s="660"/>
      <c r="R795" s="600"/>
      <c r="S795" s="600"/>
      <c r="T795" s="600"/>
      <c r="U795" s="600"/>
      <c r="V795" s="600"/>
      <c r="W795" s="600"/>
      <c r="X795" s="600"/>
      <c r="Y795" s="600"/>
      <c r="Z795" s="600"/>
      <c r="AD795" s="600">
        <v>784</v>
      </c>
      <c r="AF795" s="600"/>
      <c r="AG795" s="600"/>
      <c r="AH795" s="600"/>
      <c r="AI795" s="600"/>
      <c r="AJ795" s="600"/>
      <c r="AK795" s="600"/>
      <c r="AL795" s="600"/>
      <c r="AM795" s="600"/>
      <c r="AO795" s="600"/>
      <c r="AP795" s="600"/>
      <c r="AQ795" s="600"/>
      <c r="AR795" s="600"/>
      <c r="AS795" s="600"/>
      <c r="AT795" s="600"/>
      <c r="AU795" s="600"/>
      <c r="AV795" s="600"/>
    </row>
    <row r="796" spans="5:48">
      <c r="E796" s="39"/>
      <c r="F796" s="39"/>
      <c r="G796" s="39"/>
      <c r="H796" s="39"/>
      <c r="I796" s="39"/>
      <c r="J796" s="39"/>
      <c r="K796" s="39"/>
      <c r="L796" s="39"/>
      <c r="M796" s="660"/>
      <c r="R796" s="600"/>
      <c r="S796" s="600"/>
      <c r="T796" s="600"/>
      <c r="U796" s="600"/>
      <c r="V796" s="600"/>
      <c r="W796" s="600"/>
      <c r="X796" s="600"/>
      <c r="Y796" s="600"/>
      <c r="Z796" s="600"/>
      <c r="AD796" s="600">
        <v>785</v>
      </c>
      <c r="AF796" s="600"/>
      <c r="AG796" s="600"/>
      <c r="AH796" s="600"/>
      <c r="AI796" s="600"/>
      <c r="AJ796" s="600"/>
      <c r="AK796" s="600"/>
      <c r="AL796" s="600"/>
      <c r="AM796" s="600"/>
      <c r="AO796" s="600"/>
      <c r="AP796" s="600"/>
      <c r="AQ796" s="600"/>
      <c r="AR796" s="600"/>
      <c r="AS796" s="600"/>
      <c r="AT796" s="600"/>
      <c r="AU796" s="600"/>
      <c r="AV796" s="600"/>
    </row>
    <row r="797" spans="5:48">
      <c r="E797" s="39"/>
      <c r="F797" s="39"/>
      <c r="G797" s="39"/>
      <c r="H797" s="39"/>
      <c r="I797" s="39"/>
      <c r="J797" s="39"/>
      <c r="K797" s="39"/>
      <c r="L797" s="39"/>
      <c r="M797" s="660"/>
      <c r="R797" s="600"/>
      <c r="S797" s="600"/>
      <c r="T797" s="600"/>
      <c r="U797" s="600"/>
      <c r="V797" s="600"/>
      <c r="W797" s="600"/>
      <c r="X797" s="600"/>
      <c r="Y797" s="600"/>
      <c r="Z797" s="600"/>
      <c r="AD797" s="600">
        <v>786</v>
      </c>
      <c r="AF797" s="600"/>
      <c r="AG797" s="600"/>
      <c r="AH797" s="600"/>
      <c r="AI797" s="600"/>
      <c r="AJ797" s="600"/>
      <c r="AK797" s="600"/>
      <c r="AL797" s="600"/>
      <c r="AM797" s="600"/>
      <c r="AO797" s="600"/>
      <c r="AP797" s="600"/>
      <c r="AQ797" s="600"/>
      <c r="AR797" s="600"/>
      <c r="AS797" s="600"/>
      <c r="AT797" s="600"/>
      <c r="AU797" s="600"/>
      <c r="AV797" s="600"/>
    </row>
    <row r="798" spans="5:48">
      <c r="E798" s="39"/>
      <c r="F798" s="39"/>
      <c r="G798" s="39"/>
      <c r="H798" s="39"/>
      <c r="I798" s="39"/>
      <c r="J798" s="39"/>
      <c r="K798" s="39"/>
      <c r="L798" s="39"/>
      <c r="M798" s="660"/>
      <c r="R798" s="600"/>
      <c r="S798" s="600"/>
      <c r="T798" s="600"/>
      <c r="U798" s="600"/>
      <c r="V798" s="600"/>
      <c r="W798" s="600"/>
      <c r="X798" s="600"/>
      <c r="Y798" s="600"/>
      <c r="Z798" s="600"/>
      <c r="AD798" s="600">
        <v>787</v>
      </c>
      <c r="AF798" s="600"/>
      <c r="AG798" s="600"/>
      <c r="AH798" s="600"/>
      <c r="AI798" s="600"/>
      <c r="AJ798" s="600"/>
      <c r="AK798" s="600"/>
      <c r="AL798" s="600"/>
      <c r="AM798" s="600"/>
      <c r="AO798" s="600"/>
      <c r="AP798" s="600"/>
      <c r="AQ798" s="600"/>
      <c r="AR798" s="600"/>
      <c r="AS798" s="600"/>
      <c r="AT798" s="600"/>
      <c r="AU798" s="600"/>
      <c r="AV798" s="600"/>
    </row>
    <row r="799" spans="5:48">
      <c r="E799" s="39"/>
      <c r="F799" s="39"/>
      <c r="G799" s="39"/>
      <c r="H799" s="39"/>
      <c r="I799" s="39"/>
      <c r="J799" s="39"/>
      <c r="K799" s="39"/>
      <c r="L799" s="39"/>
      <c r="M799" s="660"/>
      <c r="R799" s="600"/>
      <c r="S799" s="600"/>
      <c r="T799" s="600"/>
      <c r="U799" s="600"/>
      <c r="V799" s="600"/>
      <c r="W799" s="600"/>
      <c r="X799" s="600"/>
      <c r="Y799" s="600"/>
      <c r="Z799" s="600"/>
      <c r="AD799" s="600">
        <v>788</v>
      </c>
      <c r="AF799" s="600"/>
      <c r="AG799" s="600"/>
      <c r="AH799" s="600"/>
      <c r="AI799" s="600"/>
      <c r="AJ799" s="600"/>
      <c r="AK799" s="600"/>
      <c r="AL799" s="600"/>
      <c r="AM799" s="600"/>
      <c r="AO799" s="600"/>
      <c r="AP799" s="600"/>
      <c r="AQ799" s="600"/>
      <c r="AR799" s="600"/>
      <c r="AS799" s="600"/>
      <c r="AT799" s="600"/>
      <c r="AU799" s="600"/>
      <c r="AV799" s="600"/>
    </row>
    <row r="800" spans="5:48">
      <c r="E800" s="39"/>
      <c r="F800" s="39"/>
      <c r="G800" s="39"/>
      <c r="H800" s="39"/>
      <c r="I800" s="39"/>
      <c r="J800" s="39"/>
      <c r="K800" s="39"/>
      <c r="L800" s="39"/>
      <c r="M800" s="660"/>
      <c r="R800" s="600"/>
      <c r="S800" s="600"/>
      <c r="T800" s="600"/>
      <c r="U800" s="600"/>
      <c r="V800" s="600"/>
      <c r="W800" s="600"/>
      <c r="X800" s="600"/>
      <c r="Y800" s="600"/>
      <c r="Z800" s="600"/>
      <c r="AD800" s="600">
        <v>789</v>
      </c>
      <c r="AF800" s="600"/>
      <c r="AG800" s="600"/>
      <c r="AH800" s="600"/>
      <c r="AI800" s="600"/>
      <c r="AJ800" s="600"/>
      <c r="AK800" s="600"/>
      <c r="AL800" s="600"/>
      <c r="AM800" s="600"/>
      <c r="AO800" s="600"/>
      <c r="AP800" s="600"/>
      <c r="AQ800" s="600"/>
      <c r="AR800" s="600"/>
      <c r="AS800" s="600"/>
      <c r="AT800" s="600"/>
      <c r="AU800" s="600"/>
      <c r="AV800" s="600"/>
    </row>
    <row r="801" spans="5:48">
      <c r="E801" s="39"/>
      <c r="F801" s="39"/>
      <c r="G801" s="39"/>
      <c r="H801" s="39"/>
      <c r="I801" s="39"/>
      <c r="J801" s="39"/>
      <c r="K801" s="39"/>
      <c r="L801" s="39"/>
      <c r="M801" s="660"/>
      <c r="R801" s="600"/>
      <c r="S801" s="600"/>
      <c r="T801" s="600"/>
      <c r="U801" s="600"/>
      <c r="V801" s="600"/>
      <c r="W801" s="600"/>
      <c r="X801" s="600"/>
      <c r="Y801" s="600"/>
      <c r="Z801" s="600"/>
      <c r="AD801" s="600">
        <v>790</v>
      </c>
      <c r="AF801" s="600"/>
      <c r="AG801" s="600"/>
      <c r="AH801" s="600"/>
      <c r="AI801" s="600"/>
      <c r="AJ801" s="600"/>
      <c r="AK801" s="600"/>
      <c r="AL801" s="600"/>
      <c r="AM801" s="600"/>
      <c r="AO801" s="600"/>
      <c r="AP801" s="600"/>
      <c r="AQ801" s="600"/>
      <c r="AR801" s="600"/>
      <c r="AS801" s="600"/>
      <c r="AT801" s="600"/>
      <c r="AU801" s="600"/>
      <c r="AV801" s="600"/>
    </row>
    <row r="802" spans="5:48">
      <c r="E802" s="39"/>
      <c r="F802" s="39"/>
      <c r="G802" s="39"/>
      <c r="H802" s="39"/>
      <c r="I802" s="39"/>
      <c r="J802" s="39"/>
      <c r="K802" s="39"/>
      <c r="L802" s="39"/>
      <c r="M802" s="660"/>
      <c r="R802" s="600"/>
      <c r="S802" s="600"/>
      <c r="T802" s="600"/>
      <c r="U802" s="600"/>
      <c r="V802" s="600"/>
      <c r="W802" s="600"/>
      <c r="X802" s="600"/>
      <c r="Y802" s="600"/>
      <c r="Z802" s="600"/>
      <c r="AD802" s="600">
        <v>791</v>
      </c>
      <c r="AF802" s="600"/>
      <c r="AG802" s="600"/>
      <c r="AH802" s="600"/>
      <c r="AI802" s="600"/>
      <c r="AJ802" s="600"/>
      <c r="AK802" s="600"/>
      <c r="AL802" s="600"/>
      <c r="AM802" s="600"/>
      <c r="AO802" s="600"/>
      <c r="AP802" s="600"/>
      <c r="AQ802" s="600"/>
      <c r="AR802" s="600"/>
      <c r="AS802" s="600"/>
      <c r="AT802" s="600"/>
      <c r="AU802" s="600"/>
      <c r="AV802" s="600"/>
    </row>
    <row r="803" spans="5:48">
      <c r="E803" s="39"/>
      <c r="F803" s="39"/>
      <c r="G803" s="39"/>
      <c r="H803" s="39"/>
      <c r="I803" s="39"/>
      <c r="J803" s="39"/>
      <c r="K803" s="39"/>
      <c r="L803" s="39"/>
      <c r="M803" s="660"/>
      <c r="R803" s="600"/>
      <c r="S803" s="600"/>
      <c r="T803" s="600"/>
      <c r="U803" s="600"/>
      <c r="V803" s="600"/>
      <c r="W803" s="600"/>
      <c r="X803" s="600"/>
      <c r="Y803" s="600"/>
      <c r="Z803" s="600"/>
      <c r="AD803" s="600">
        <v>792</v>
      </c>
      <c r="AF803" s="600"/>
      <c r="AG803" s="600"/>
      <c r="AH803" s="600"/>
      <c r="AI803" s="600"/>
      <c r="AJ803" s="600"/>
      <c r="AK803" s="600"/>
      <c r="AL803" s="600"/>
      <c r="AM803" s="600"/>
      <c r="AO803" s="600"/>
      <c r="AP803" s="600"/>
      <c r="AQ803" s="600"/>
      <c r="AR803" s="600"/>
      <c r="AS803" s="600"/>
      <c r="AT803" s="600"/>
      <c r="AU803" s="600"/>
      <c r="AV803" s="600"/>
    </row>
    <row r="804" spans="5:48">
      <c r="E804" s="39"/>
      <c r="F804" s="39"/>
      <c r="G804" s="39"/>
      <c r="H804" s="39"/>
      <c r="I804" s="39"/>
      <c r="J804" s="39"/>
      <c r="K804" s="39"/>
      <c r="L804" s="39"/>
      <c r="M804" s="660"/>
      <c r="R804" s="600"/>
      <c r="S804" s="600"/>
      <c r="T804" s="600"/>
      <c r="U804" s="600"/>
      <c r="V804" s="600"/>
      <c r="W804" s="600"/>
      <c r="X804" s="600"/>
      <c r="Y804" s="600"/>
      <c r="Z804" s="600"/>
      <c r="AD804" s="600">
        <v>793</v>
      </c>
      <c r="AF804" s="600"/>
      <c r="AG804" s="600"/>
      <c r="AH804" s="600"/>
      <c r="AI804" s="600"/>
      <c r="AJ804" s="600"/>
      <c r="AK804" s="600"/>
      <c r="AL804" s="600"/>
      <c r="AM804" s="600"/>
      <c r="AO804" s="600"/>
      <c r="AP804" s="600"/>
      <c r="AQ804" s="600"/>
      <c r="AR804" s="600"/>
      <c r="AS804" s="600"/>
      <c r="AT804" s="600"/>
      <c r="AU804" s="600"/>
      <c r="AV804" s="600"/>
    </row>
    <row r="805" spans="5:48">
      <c r="E805" s="39"/>
      <c r="F805" s="39"/>
      <c r="G805" s="39"/>
      <c r="H805" s="39"/>
      <c r="I805" s="39"/>
      <c r="J805" s="39"/>
      <c r="K805" s="39"/>
      <c r="L805" s="39"/>
      <c r="M805" s="660"/>
      <c r="R805" s="600"/>
      <c r="S805" s="600"/>
      <c r="T805" s="600"/>
      <c r="U805" s="600"/>
      <c r="V805" s="600"/>
      <c r="W805" s="600"/>
      <c r="X805" s="600"/>
      <c r="Y805" s="600"/>
      <c r="Z805" s="600"/>
      <c r="AD805" s="600">
        <v>794</v>
      </c>
      <c r="AF805" s="600"/>
      <c r="AG805" s="600"/>
      <c r="AH805" s="600"/>
      <c r="AI805" s="600"/>
      <c r="AJ805" s="600"/>
      <c r="AK805" s="600"/>
      <c r="AL805" s="600"/>
      <c r="AM805" s="600"/>
      <c r="AO805" s="600"/>
      <c r="AP805" s="600"/>
      <c r="AQ805" s="600"/>
      <c r="AR805" s="600"/>
      <c r="AS805" s="600"/>
      <c r="AT805" s="600"/>
      <c r="AU805" s="600"/>
      <c r="AV805" s="600"/>
    </row>
    <row r="806" spans="5:48">
      <c r="E806" s="39"/>
      <c r="F806" s="39"/>
      <c r="G806" s="39"/>
      <c r="H806" s="39"/>
      <c r="I806" s="39"/>
      <c r="J806" s="39"/>
      <c r="K806" s="39"/>
      <c r="L806" s="39"/>
      <c r="M806" s="660"/>
      <c r="R806" s="600"/>
      <c r="S806" s="600"/>
      <c r="T806" s="600"/>
      <c r="U806" s="600"/>
      <c r="V806" s="600"/>
      <c r="W806" s="600"/>
      <c r="X806" s="600"/>
      <c r="Y806" s="600"/>
      <c r="Z806" s="600"/>
      <c r="AD806" s="600">
        <v>795</v>
      </c>
      <c r="AF806" s="600"/>
      <c r="AG806" s="600"/>
      <c r="AH806" s="600"/>
      <c r="AI806" s="600"/>
      <c r="AJ806" s="600"/>
      <c r="AK806" s="600"/>
      <c r="AL806" s="600"/>
      <c r="AM806" s="600"/>
      <c r="AO806" s="600"/>
      <c r="AP806" s="600"/>
      <c r="AQ806" s="600"/>
      <c r="AR806" s="600"/>
      <c r="AS806" s="600"/>
      <c r="AT806" s="600"/>
      <c r="AU806" s="600"/>
      <c r="AV806" s="600"/>
    </row>
    <row r="807" spans="5:48">
      <c r="E807" s="39"/>
      <c r="F807" s="39"/>
      <c r="G807" s="39"/>
      <c r="H807" s="39"/>
      <c r="I807" s="39"/>
      <c r="J807" s="39"/>
      <c r="K807" s="39"/>
      <c r="L807" s="39"/>
      <c r="M807" s="660"/>
      <c r="R807" s="600"/>
      <c r="S807" s="600"/>
      <c r="T807" s="600"/>
      <c r="U807" s="600"/>
      <c r="V807" s="600"/>
      <c r="W807" s="600"/>
      <c r="X807" s="600"/>
      <c r="Y807" s="600"/>
      <c r="Z807" s="600"/>
      <c r="AD807" s="600">
        <v>796</v>
      </c>
      <c r="AF807" s="600"/>
      <c r="AG807" s="600"/>
      <c r="AH807" s="600"/>
      <c r="AI807" s="600"/>
      <c r="AJ807" s="600"/>
      <c r="AK807" s="600"/>
      <c r="AL807" s="600"/>
      <c r="AM807" s="600"/>
      <c r="AO807" s="600"/>
      <c r="AP807" s="600"/>
      <c r="AQ807" s="600"/>
      <c r="AR807" s="600"/>
      <c r="AS807" s="600"/>
      <c r="AT807" s="600"/>
      <c r="AU807" s="600"/>
      <c r="AV807" s="600"/>
    </row>
    <row r="808" spans="5:48">
      <c r="E808" s="39"/>
      <c r="F808" s="39"/>
      <c r="G808" s="39"/>
      <c r="H808" s="39"/>
      <c r="I808" s="39"/>
      <c r="J808" s="39"/>
      <c r="K808" s="39"/>
      <c r="L808" s="39"/>
      <c r="M808" s="660"/>
      <c r="R808" s="600"/>
      <c r="S808" s="600"/>
      <c r="T808" s="600"/>
      <c r="U808" s="600"/>
      <c r="V808" s="600"/>
      <c r="W808" s="600"/>
      <c r="X808" s="600"/>
      <c r="Y808" s="600"/>
      <c r="Z808" s="600"/>
      <c r="AD808" s="600">
        <v>797</v>
      </c>
      <c r="AF808" s="600"/>
      <c r="AG808" s="600"/>
      <c r="AH808" s="600"/>
      <c r="AI808" s="600"/>
      <c r="AJ808" s="600"/>
      <c r="AK808" s="600"/>
      <c r="AL808" s="600"/>
      <c r="AM808" s="600"/>
      <c r="AO808" s="600"/>
      <c r="AP808" s="600"/>
      <c r="AQ808" s="600"/>
      <c r="AR808" s="600"/>
      <c r="AS808" s="600"/>
      <c r="AT808" s="600"/>
      <c r="AU808" s="600"/>
      <c r="AV808" s="600"/>
    </row>
    <row r="809" spans="5:48">
      <c r="E809" s="39"/>
      <c r="F809" s="39"/>
      <c r="G809" s="39"/>
      <c r="H809" s="39"/>
      <c r="I809" s="39"/>
      <c r="J809" s="39"/>
      <c r="K809" s="39"/>
      <c r="L809" s="39"/>
      <c r="M809" s="660"/>
      <c r="R809" s="600"/>
      <c r="S809" s="600"/>
      <c r="T809" s="600"/>
      <c r="U809" s="600"/>
      <c r="V809" s="600"/>
      <c r="W809" s="600"/>
      <c r="X809" s="600"/>
      <c r="Y809" s="600"/>
      <c r="Z809" s="600"/>
      <c r="AD809" s="600">
        <v>798</v>
      </c>
      <c r="AF809" s="600"/>
      <c r="AG809" s="600"/>
      <c r="AH809" s="600"/>
      <c r="AI809" s="600"/>
      <c r="AJ809" s="600"/>
      <c r="AK809" s="600"/>
      <c r="AL809" s="600"/>
      <c r="AM809" s="600"/>
      <c r="AO809" s="600"/>
      <c r="AP809" s="600"/>
      <c r="AQ809" s="600"/>
      <c r="AR809" s="600"/>
      <c r="AS809" s="600"/>
      <c r="AT809" s="600"/>
      <c r="AU809" s="600"/>
      <c r="AV809" s="600"/>
    </row>
    <row r="810" spans="5:48">
      <c r="E810" s="39"/>
      <c r="F810" s="39"/>
      <c r="G810" s="39"/>
      <c r="H810" s="39"/>
      <c r="I810" s="39"/>
      <c r="J810" s="39"/>
      <c r="K810" s="39"/>
      <c r="L810" s="39"/>
      <c r="M810" s="660"/>
      <c r="R810" s="600"/>
      <c r="S810" s="600"/>
      <c r="T810" s="600"/>
      <c r="U810" s="600"/>
      <c r="V810" s="600"/>
      <c r="W810" s="600"/>
      <c r="X810" s="600"/>
      <c r="Y810" s="600"/>
      <c r="Z810" s="600"/>
      <c r="AD810" s="600">
        <v>799</v>
      </c>
      <c r="AF810" s="600"/>
      <c r="AG810" s="600"/>
      <c r="AH810" s="600"/>
      <c r="AI810" s="600"/>
      <c r="AJ810" s="600"/>
      <c r="AK810" s="600"/>
      <c r="AL810" s="600"/>
      <c r="AM810" s="600"/>
      <c r="AO810" s="600"/>
      <c r="AP810" s="600"/>
      <c r="AQ810" s="600"/>
      <c r="AR810" s="600"/>
      <c r="AS810" s="600"/>
      <c r="AT810" s="600"/>
      <c r="AU810" s="600"/>
      <c r="AV810" s="600"/>
    </row>
    <row r="811" spans="5:48">
      <c r="E811" s="39"/>
      <c r="F811" s="39"/>
      <c r="G811" s="39"/>
      <c r="H811" s="39"/>
      <c r="I811" s="39"/>
      <c r="J811" s="39"/>
      <c r="K811" s="39"/>
      <c r="L811" s="39"/>
      <c r="M811" s="660"/>
      <c r="R811" s="600"/>
      <c r="S811" s="600"/>
      <c r="T811" s="600"/>
      <c r="U811" s="600"/>
      <c r="V811" s="600"/>
      <c r="W811" s="600"/>
      <c r="X811" s="600"/>
      <c r="Y811" s="600"/>
      <c r="Z811" s="600"/>
      <c r="AD811" s="600">
        <v>800</v>
      </c>
      <c r="AF811" s="600"/>
      <c r="AG811" s="600"/>
      <c r="AH811" s="600"/>
      <c r="AI811" s="600"/>
      <c r="AJ811" s="600"/>
      <c r="AK811" s="600"/>
      <c r="AL811" s="600"/>
      <c r="AM811" s="600"/>
      <c r="AO811" s="600"/>
      <c r="AP811" s="600"/>
      <c r="AQ811" s="600"/>
      <c r="AR811" s="600"/>
      <c r="AS811" s="600"/>
      <c r="AT811" s="600"/>
      <c r="AU811" s="600"/>
      <c r="AV811" s="600"/>
    </row>
    <row r="812" spans="5:48">
      <c r="E812" s="39"/>
      <c r="F812" s="39"/>
      <c r="G812" s="39"/>
      <c r="H812" s="39"/>
      <c r="I812" s="39"/>
      <c r="J812" s="39"/>
      <c r="K812" s="39"/>
      <c r="L812" s="39"/>
      <c r="M812" s="660"/>
      <c r="R812" s="600"/>
      <c r="S812" s="600"/>
      <c r="T812" s="600"/>
      <c r="U812" s="600"/>
      <c r="V812" s="600"/>
      <c r="W812" s="600"/>
      <c r="X812" s="600"/>
      <c r="Y812" s="600"/>
      <c r="Z812" s="600"/>
      <c r="AD812" s="600">
        <v>801</v>
      </c>
      <c r="AF812" s="600"/>
      <c r="AG812" s="600"/>
      <c r="AH812" s="600"/>
      <c r="AI812" s="600"/>
      <c r="AJ812" s="600"/>
      <c r="AK812" s="600"/>
      <c r="AL812" s="600"/>
      <c r="AM812" s="600"/>
      <c r="AO812" s="600"/>
      <c r="AP812" s="600"/>
      <c r="AQ812" s="600"/>
      <c r="AR812" s="600"/>
      <c r="AS812" s="600"/>
      <c r="AT812" s="600"/>
      <c r="AU812" s="600"/>
      <c r="AV812" s="600"/>
    </row>
    <row r="813" spans="5:48">
      <c r="E813" s="39"/>
      <c r="F813" s="39"/>
      <c r="G813" s="39"/>
      <c r="H813" s="39"/>
      <c r="I813" s="39"/>
      <c r="J813" s="39"/>
      <c r="K813" s="39"/>
      <c r="L813" s="39"/>
      <c r="M813" s="660"/>
      <c r="R813" s="600"/>
      <c r="S813" s="600"/>
      <c r="T813" s="600"/>
      <c r="U813" s="600"/>
      <c r="V813" s="600"/>
      <c r="W813" s="600"/>
      <c r="X813" s="600"/>
      <c r="Y813" s="600"/>
      <c r="Z813" s="600"/>
      <c r="AD813" s="600">
        <v>802</v>
      </c>
      <c r="AF813" s="600"/>
      <c r="AG813" s="600"/>
      <c r="AH813" s="600"/>
      <c r="AI813" s="600"/>
      <c r="AJ813" s="600"/>
      <c r="AK813" s="600"/>
      <c r="AL813" s="600"/>
      <c r="AM813" s="600"/>
      <c r="AO813" s="600"/>
      <c r="AP813" s="600"/>
      <c r="AQ813" s="600"/>
      <c r="AR813" s="600"/>
      <c r="AS813" s="600"/>
      <c r="AT813" s="600"/>
      <c r="AU813" s="600"/>
      <c r="AV813" s="600"/>
    </row>
    <row r="814" spans="5:48">
      <c r="E814" s="39"/>
      <c r="F814" s="39"/>
      <c r="G814" s="39"/>
      <c r="H814" s="39"/>
      <c r="I814" s="39"/>
      <c r="J814" s="39"/>
      <c r="K814" s="39"/>
      <c r="L814" s="39"/>
      <c r="M814" s="660"/>
      <c r="R814" s="600"/>
      <c r="S814" s="600"/>
      <c r="T814" s="600"/>
      <c r="U814" s="600"/>
      <c r="V814" s="600"/>
      <c r="W814" s="600"/>
      <c r="X814" s="600"/>
      <c r="Y814" s="600"/>
      <c r="Z814" s="600"/>
      <c r="AD814" s="600">
        <v>803</v>
      </c>
      <c r="AF814" s="600"/>
      <c r="AG814" s="600"/>
      <c r="AH814" s="600"/>
      <c r="AI814" s="600"/>
      <c r="AJ814" s="600"/>
      <c r="AK814" s="600"/>
      <c r="AL814" s="600"/>
      <c r="AM814" s="600"/>
      <c r="AO814" s="600"/>
      <c r="AP814" s="600"/>
      <c r="AQ814" s="600"/>
      <c r="AR814" s="600"/>
      <c r="AS814" s="600"/>
      <c r="AT814" s="600"/>
      <c r="AU814" s="600"/>
      <c r="AV814" s="600"/>
    </row>
    <row r="815" spans="5:48">
      <c r="E815" s="39"/>
      <c r="F815" s="39"/>
      <c r="G815" s="39"/>
      <c r="H815" s="39"/>
      <c r="I815" s="39"/>
      <c r="J815" s="39"/>
      <c r="K815" s="39"/>
      <c r="L815" s="39"/>
      <c r="M815" s="660"/>
      <c r="R815" s="600"/>
      <c r="S815" s="600"/>
      <c r="T815" s="600"/>
      <c r="U815" s="600"/>
      <c r="V815" s="600"/>
      <c r="W815" s="600"/>
      <c r="X815" s="600"/>
      <c r="Y815" s="600"/>
      <c r="Z815" s="600"/>
      <c r="AD815" s="600">
        <v>804</v>
      </c>
      <c r="AF815" s="600"/>
      <c r="AG815" s="600"/>
      <c r="AH815" s="600"/>
      <c r="AI815" s="600"/>
      <c r="AJ815" s="600"/>
      <c r="AK815" s="600"/>
      <c r="AL815" s="600"/>
      <c r="AM815" s="600"/>
      <c r="AO815" s="600"/>
      <c r="AP815" s="600"/>
      <c r="AQ815" s="600"/>
      <c r="AR815" s="600"/>
      <c r="AS815" s="600"/>
      <c r="AT815" s="600"/>
      <c r="AU815" s="600"/>
      <c r="AV815" s="600"/>
    </row>
    <row r="816" spans="5:48">
      <c r="E816" s="39"/>
      <c r="F816" s="39"/>
      <c r="G816" s="39"/>
      <c r="H816" s="39"/>
      <c r="I816" s="39"/>
      <c r="J816" s="39"/>
      <c r="K816" s="39"/>
      <c r="L816" s="39"/>
      <c r="M816" s="660"/>
      <c r="R816" s="600"/>
      <c r="S816" s="600"/>
      <c r="T816" s="600"/>
      <c r="U816" s="600"/>
      <c r="V816" s="600"/>
      <c r="W816" s="600"/>
      <c r="X816" s="600"/>
      <c r="Y816" s="600"/>
      <c r="Z816" s="600"/>
      <c r="AD816" s="600">
        <v>805</v>
      </c>
      <c r="AF816" s="600"/>
      <c r="AG816" s="600"/>
      <c r="AH816" s="600"/>
      <c r="AI816" s="600"/>
      <c r="AJ816" s="600"/>
      <c r="AK816" s="600"/>
      <c r="AL816" s="600"/>
      <c r="AM816" s="600"/>
      <c r="AO816" s="600"/>
      <c r="AP816" s="600"/>
      <c r="AQ816" s="600"/>
      <c r="AR816" s="600"/>
      <c r="AS816" s="600"/>
      <c r="AT816" s="600"/>
      <c r="AU816" s="600"/>
      <c r="AV816" s="600"/>
    </row>
    <row r="817" spans="5:48">
      <c r="E817" s="39"/>
      <c r="F817" s="39"/>
      <c r="G817" s="39"/>
      <c r="H817" s="39"/>
      <c r="I817" s="39"/>
      <c r="J817" s="39"/>
      <c r="K817" s="39"/>
      <c r="L817" s="39"/>
      <c r="M817" s="660"/>
      <c r="R817" s="600"/>
      <c r="S817" s="600"/>
      <c r="T817" s="600"/>
      <c r="U817" s="600"/>
      <c r="V817" s="600"/>
      <c r="W817" s="600"/>
      <c r="X817" s="600"/>
      <c r="Y817" s="600"/>
      <c r="Z817" s="600"/>
      <c r="AD817" s="600">
        <v>806</v>
      </c>
      <c r="AF817" s="600"/>
      <c r="AG817" s="600"/>
      <c r="AH817" s="600"/>
      <c r="AI817" s="600"/>
      <c r="AJ817" s="600"/>
      <c r="AK817" s="600"/>
      <c r="AL817" s="600"/>
      <c r="AM817" s="600"/>
      <c r="AO817" s="600"/>
      <c r="AP817" s="600"/>
      <c r="AQ817" s="600"/>
      <c r="AR817" s="600"/>
      <c r="AS817" s="600"/>
      <c r="AT817" s="600"/>
      <c r="AU817" s="600"/>
      <c r="AV817" s="600"/>
    </row>
    <row r="818" spans="5:48">
      <c r="E818" s="39"/>
      <c r="F818" s="39"/>
      <c r="G818" s="39"/>
      <c r="H818" s="39"/>
      <c r="I818" s="39"/>
      <c r="J818" s="39"/>
      <c r="K818" s="39"/>
      <c r="L818" s="39"/>
      <c r="M818" s="660"/>
      <c r="R818" s="600"/>
      <c r="S818" s="600"/>
      <c r="T818" s="600"/>
      <c r="U818" s="600"/>
      <c r="V818" s="600"/>
      <c r="W818" s="600"/>
      <c r="X818" s="600"/>
      <c r="Y818" s="600"/>
      <c r="Z818" s="600"/>
      <c r="AD818" s="600">
        <v>807</v>
      </c>
      <c r="AF818" s="600"/>
      <c r="AG818" s="600"/>
      <c r="AH818" s="600"/>
      <c r="AI818" s="600"/>
      <c r="AJ818" s="600"/>
      <c r="AK818" s="600"/>
      <c r="AL818" s="600"/>
      <c r="AM818" s="600"/>
      <c r="AO818" s="600"/>
      <c r="AP818" s="600"/>
      <c r="AQ818" s="600"/>
      <c r="AR818" s="600"/>
      <c r="AS818" s="600"/>
      <c r="AT818" s="600"/>
      <c r="AU818" s="600"/>
      <c r="AV818" s="600"/>
    </row>
    <row r="819" spans="5:48">
      <c r="E819" s="39"/>
      <c r="F819" s="39"/>
      <c r="G819" s="39"/>
      <c r="H819" s="39"/>
      <c r="I819" s="39"/>
      <c r="J819" s="39"/>
      <c r="K819" s="39"/>
      <c r="L819" s="39"/>
      <c r="M819" s="660"/>
      <c r="R819" s="600"/>
      <c r="S819" s="600"/>
      <c r="T819" s="600"/>
      <c r="U819" s="600"/>
      <c r="V819" s="600"/>
      <c r="W819" s="600"/>
      <c r="X819" s="600"/>
      <c r="Y819" s="600"/>
      <c r="Z819" s="600"/>
      <c r="AD819" s="600">
        <v>808</v>
      </c>
      <c r="AF819" s="600"/>
      <c r="AG819" s="600"/>
      <c r="AH819" s="600"/>
      <c r="AI819" s="600"/>
      <c r="AJ819" s="600"/>
      <c r="AK819" s="600"/>
      <c r="AL819" s="600"/>
      <c r="AM819" s="600"/>
      <c r="AO819" s="600"/>
      <c r="AP819" s="600"/>
      <c r="AQ819" s="600"/>
      <c r="AR819" s="600"/>
      <c r="AS819" s="600"/>
      <c r="AT819" s="600"/>
      <c r="AU819" s="600"/>
      <c r="AV819" s="600"/>
    </row>
    <row r="820" spans="5:48">
      <c r="E820" s="39"/>
      <c r="F820" s="39"/>
      <c r="G820" s="39"/>
      <c r="H820" s="39"/>
      <c r="I820" s="39"/>
      <c r="J820" s="39"/>
      <c r="K820" s="39"/>
      <c r="L820" s="39"/>
      <c r="M820" s="660"/>
      <c r="R820" s="600"/>
      <c r="S820" s="600"/>
      <c r="T820" s="600"/>
      <c r="U820" s="600"/>
      <c r="V820" s="600"/>
      <c r="W820" s="600"/>
      <c r="X820" s="600"/>
      <c r="Y820" s="600"/>
      <c r="Z820" s="600"/>
      <c r="AD820" s="600">
        <v>809</v>
      </c>
      <c r="AF820" s="600"/>
      <c r="AG820" s="600"/>
      <c r="AH820" s="600"/>
      <c r="AI820" s="600"/>
      <c r="AJ820" s="600"/>
      <c r="AK820" s="600"/>
      <c r="AL820" s="600"/>
      <c r="AM820" s="600"/>
      <c r="AO820" s="600"/>
      <c r="AP820" s="600"/>
      <c r="AQ820" s="600"/>
      <c r="AR820" s="600"/>
      <c r="AS820" s="600"/>
      <c r="AT820" s="600"/>
      <c r="AU820" s="600"/>
      <c r="AV820" s="600"/>
    </row>
    <row r="821" spans="5:48">
      <c r="E821" s="39"/>
      <c r="F821" s="39"/>
      <c r="G821" s="39"/>
      <c r="H821" s="39"/>
      <c r="I821" s="39"/>
      <c r="J821" s="39"/>
      <c r="K821" s="39"/>
      <c r="L821" s="39"/>
      <c r="M821" s="660"/>
      <c r="R821" s="600"/>
      <c r="S821" s="600"/>
      <c r="T821" s="600"/>
      <c r="U821" s="600"/>
      <c r="V821" s="600"/>
      <c r="W821" s="600"/>
      <c r="X821" s="600"/>
      <c r="Y821" s="600"/>
      <c r="Z821" s="600"/>
      <c r="AD821" s="600">
        <v>810</v>
      </c>
      <c r="AF821" s="600"/>
      <c r="AG821" s="600"/>
      <c r="AH821" s="600"/>
      <c r="AI821" s="600"/>
      <c r="AJ821" s="600"/>
      <c r="AK821" s="600"/>
      <c r="AL821" s="600"/>
      <c r="AM821" s="600"/>
      <c r="AO821" s="600"/>
      <c r="AP821" s="600"/>
      <c r="AQ821" s="600"/>
      <c r="AR821" s="600"/>
      <c r="AS821" s="600"/>
      <c r="AT821" s="600"/>
      <c r="AU821" s="600"/>
      <c r="AV821" s="600"/>
    </row>
    <row r="822" spans="5:48">
      <c r="E822" s="39"/>
      <c r="F822" s="39"/>
      <c r="G822" s="39"/>
      <c r="H822" s="39"/>
      <c r="I822" s="39"/>
      <c r="J822" s="39"/>
      <c r="K822" s="39"/>
      <c r="L822" s="39"/>
      <c r="M822" s="660"/>
      <c r="R822" s="600"/>
      <c r="S822" s="600"/>
      <c r="T822" s="600"/>
      <c r="U822" s="600"/>
      <c r="V822" s="600"/>
      <c r="W822" s="600"/>
      <c r="X822" s="600"/>
      <c r="Y822" s="600"/>
      <c r="Z822" s="600"/>
      <c r="AD822" s="600">
        <v>811</v>
      </c>
      <c r="AF822" s="600"/>
      <c r="AG822" s="600"/>
      <c r="AH822" s="600"/>
      <c r="AI822" s="600"/>
      <c r="AJ822" s="600"/>
      <c r="AK822" s="600"/>
      <c r="AL822" s="600"/>
      <c r="AM822" s="600"/>
      <c r="AO822" s="600"/>
      <c r="AP822" s="600"/>
      <c r="AQ822" s="600"/>
      <c r="AR822" s="600"/>
      <c r="AS822" s="600"/>
      <c r="AT822" s="600"/>
      <c r="AU822" s="600"/>
      <c r="AV822" s="600"/>
    </row>
    <row r="823" spans="5:48">
      <c r="E823" s="39"/>
      <c r="F823" s="39"/>
      <c r="G823" s="39"/>
      <c r="H823" s="39"/>
      <c r="I823" s="39"/>
      <c r="J823" s="39"/>
      <c r="K823" s="39"/>
      <c r="L823" s="39"/>
      <c r="M823" s="660"/>
      <c r="R823" s="600"/>
      <c r="S823" s="600"/>
      <c r="T823" s="600"/>
      <c r="U823" s="600"/>
      <c r="V823" s="600"/>
      <c r="W823" s="600"/>
      <c r="X823" s="600"/>
      <c r="Y823" s="600"/>
      <c r="Z823" s="600"/>
      <c r="AD823" s="600">
        <v>812</v>
      </c>
      <c r="AF823" s="600"/>
      <c r="AG823" s="600"/>
      <c r="AH823" s="600"/>
      <c r="AI823" s="600"/>
      <c r="AJ823" s="600"/>
      <c r="AK823" s="600"/>
      <c r="AL823" s="600"/>
      <c r="AM823" s="600"/>
      <c r="AO823" s="600"/>
      <c r="AP823" s="600"/>
      <c r="AQ823" s="600"/>
      <c r="AR823" s="600"/>
      <c r="AS823" s="600"/>
      <c r="AT823" s="600"/>
      <c r="AU823" s="600"/>
      <c r="AV823" s="600"/>
    </row>
    <row r="824" spans="5:48">
      <c r="E824" s="39"/>
      <c r="F824" s="39"/>
      <c r="G824" s="39"/>
      <c r="H824" s="39"/>
      <c r="I824" s="39"/>
      <c r="J824" s="39"/>
      <c r="K824" s="39"/>
      <c r="L824" s="39"/>
      <c r="M824" s="660"/>
      <c r="R824" s="600"/>
      <c r="S824" s="600"/>
      <c r="T824" s="600"/>
      <c r="U824" s="600"/>
      <c r="V824" s="600"/>
      <c r="W824" s="600"/>
      <c r="X824" s="600"/>
      <c r="Y824" s="600"/>
      <c r="Z824" s="600"/>
      <c r="AD824" s="600">
        <v>813</v>
      </c>
      <c r="AF824" s="600"/>
      <c r="AG824" s="600"/>
      <c r="AH824" s="600"/>
      <c r="AI824" s="600"/>
      <c r="AJ824" s="600"/>
      <c r="AK824" s="600"/>
      <c r="AL824" s="600"/>
      <c r="AM824" s="600"/>
      <c r="AO824" s="600"/>
      <c r="AP824" s="600"/>
      <c r="AQ824" s="600"/>
      <c r="AR824" s="600"/>
      <c r="AS824" s="600"/>
      <c r="AT824" s="600"/>
      <c r="AU824" s="600"/>
      <c r="AV824" s="600"/>
    </row>
    <row r="825" spans="5:48">
      <c r="E825" s="39"/>
      <c r="F825" s="39"/>
      <c r="G825" s="39"/>
      <c r="H825" s="39"/>
      <c r="I825" s="39"/>
      <c r="J825" s="39"/>
      <c r="K825" s="39"/>
      <c r="L825" s="39"/>
      <c r="M825" s="660"/>
      <c r="R825" s="600"/>
      <c r="S825" s="600"/>
      <c r="T825" s="600"/>
      <c r="U825" s="600"/>
      <c r="V825" s="600"/>
      <c r="W825" s="600"/>
      <c r="X825" s="600"/>
      <c r="Y825" s="600"/>
      <c r="Z825" s="600"/>
      <c r="AD825" s="600">
        <v>814</v>
      </c>
      <c r="AF825" s="600"/>
      <c r="AG825" s="600"/>
      <c r="AH825" s="600"/>
      <c r="AI825" s="600"/>
      <c r="AJ825" s="600"/>
      <c r="AK825" s="600"/>
      <c r="AL825" s="600"/>
      <c r="AM825" s="600"/>
      <c r="AO825" s="600"/>
      <c r="AP825" s="600"/>
      <c r="AQ825" s="600"/>
      <c r="AR825" s="600"/>
      <c r="AS825" s="600"/>
      <c r="AT825" s="600"/>
      <c r="AU825" s="600"/>
      <c r="AV825" s="600"/>
    </row>
    <row r="826" spans="5:48">
      <c r="E826" s="39"/>
      <c r="F826" s="39"/>
      <c r="G826" s="39"/>
      <c r="H826" s="39"/>
      <c r="I826" s="39"/>
      <c r="J826" s="39"/>
      <c r="K826" s="39"/>
      <c r="L826" s="39"/>
      <c r="M826" s="660"/>
      <c r="R826" s="600"/>
      <c r="S826" s="600"/>
      <c r="T826" s="600"/>
      <c r="U826" s="600"/>
      <c r="V826" s="600"/>
      <c r="W826" s="600"/>
      <c r="X826" s="600"/>
      <c r="Y826" s="600"/>
      <c r="Z826" s="600"/>
      <c r="AD826" s="600">
        <v>815</v>
      </c>
      <c r="AF826" s="600"/>
      <c r="AG826" s="600"/>
      <c r="AH826" s="600"/>
      <c r="AI826" s="600"/>
      <c r="AJ826" s="600"/>
      <c r="AK826" s="600"/>
      <c r="AL826" s="600"/>
      <c r="AM826" s="600"/>
      <c r="AO826" s="600"/>
      <c r="AP826" s="600"/>
      <c r="AQ826" s="600"/>
      <c r="AR826" s="600"/>
      <c r="AS826" s="600"/>
      <c r="AT826" s="600"/>
      <c r="AU826" s="600"/>
      <c r="AV826" s="600"/>
    </row>
    <row r="827" spans="5:48">
      <c r="E827" s="39"/>
      <c r="F827" s="39"/>
      <c r="G827" s="39"/>
      <c r="H827" s="39"/>
      <c r="I827" s="39"/>
      <c r="J827" s="39"/>
      <c r="K827" s="39"/>
      <c r="L827" s="39"/>
      <c r="M827" s="660"/>
      <c r="R827" s="600"/>
      <c r="S827" s="600"/>
      <c r="T827" s="600"/>
      <c r="U827" s="600"/>
      <c r="V827" s="600"/>
      <c r="W827" s="600"/>
      <c r="X827" s="600"/>
      <c r="Y827" s="600"/>
      <c r="Z827" s="600"/>
      <c r="AD827" s="600">
        <v>816</v>
      </c>
      <c r="AF827" s="600"/>
      <c r="AG827" s="600"/>
      <c r="AH827" s="600"/>
      <c r="AI827" s="600"/>
      <c r="AJ827" s="600"/>
      <c r="AK827" s="600"/>
      <c r="AL827" s="600"/>
      <c r="AM827" s="600"/>
      <c r="AO827" s="600"/>
      <c r="AP827" s="600"/>
      <c r="AQ827" s="600"/>
      <c r="AR827" s="600"/>
      <c r="AS827" s="600"/>
      <c r="AT827" s="600"/>
      <c r="AU827" s="600"/>
      <c r="AV827" s="600"/>
    </row>
    <row r="828" spans="5:48">
      <c r="E828" s="39"/>
      <c r="F828" s="39"/>
      <c r="G828" s="39"/>
      <c r="H828" s="39"/>
      <c r="I828" s="39"/>
      <c r="J828" s="39"/>
      <c r="K828" s="39"/>
      <c r="L828" s="39"/>
      <c r="M828" s="660"/>
      <c r="R828" s="600"/>
      <c r="S828" s="600"/>
      <c r="T828" s="600"/>
      <c r="U828" s="600"/>
      <c r="V828" s="600"/>
      <c r="W828" s="600"/>
      <c r="X828" s="600"/>
      <c r="Y828" s="600"/>
      <c r="Z828" s="600"/>
      <c r="AD828" s="600">
        <v>817</v>
      </c>
      <c r="AF828" s="600"/>
      <c r="AG828" s="600"/>
      <c r="AH828" s="600"/>
      <c r="AI828" s="600"/>
      <c r="AJ828" s="600"/>
      <c r="AK828" s="600"/>
      <c r="AL828" s="600"/>
      <c r="AM828" s="600"/>
      <c r="AO828" s="600"/>
      <c r="AP828" s="600"/>
      <c r="AQ828" s="600"/>
      <c r="AR828" s="600"/>
      <c r="AS828" s="600"/>
      <c r="AT828" s="600"/>
      <c r="AU828" s="600"/>
      <c r="AV828" s="600"/>
    </row>
    <row r="829" spans="5:48">
      <c r="E829" s="39"/>
      <c r="F829" s="39"/>
      <c r="G829" s="39"/>
      <c r="H829" s="39"/>
      <c r="I829" s="39"/>
      <c r="J829" s="39"/>
      <c r="K829" s="39"/>
      <c r="L829" s="39"/>
      <c r="M829" s="660"/>
      <c r="R829" s="600"/>
      <c r="S829" s="600"/>
      <c r="T829" s="600"/>
      <c r="U829" s="600"/>
      <c r="V829" s="600"/>
      <c r="W829" s="600"/>
      <c r="X829" s="600"/>
      <c r="Y829" s="600"/>
      <c r="Z829" s="600"/>
      <c r="AD829" s="600">
        <v>818</v>
      </c>
      <c r="AF829" s="600"/>
      <c r="AG829" s="600"/>
      <c r="AH829" s="600"/>
      <c r="AI829" s="600"/>
      <c r="AJ829" s="600"/>
      <c r="AK829" s="600"/>
      <c r="AL829" s="600"/>
      <c r="AM829" s="600"/>
      <c r="AO829" s="600"/>
      <c r="AP829" s="600"/>
      <c r="AQ829" s="600"/>
      <c r="AR829" s="600"/>
      <c r="AS829" s="600"/>
      <c r="AT829" s="600"/>
      <c r="AU829" s="600"/>
      <c r="AV829" s="600"/>
    </row>
    <row r="830" spans="5:48">
      <c r="E830" s="39"/>
      <c r="F830" s="39"/>
      <c r="G830" s="39"/>
      <c r="H830" s="39"/>
      <c r="I830" s="39"/>
      <c r="J830" s="39"/>
      <c r="K830" s="39"/>
      <c r="L830" s="39"/>
      <c r="M830" s="660"/>
      <c r="R830" s="600"/>
      <c r="S830" s="600"/>
      <c r="T830" s="600"/>
      <c r="U830" s="600"/>
      <c r="V830" s="600"/>
      <c r="W830" s="600"/>
      <c r="X830" s="600"/>
      <c r="Y830" s="600"/>
      <c r="Z830" s="600"/>
      <c r="AD830" s="600">
        <v>819</v>
      </c>
      <c r="AF830" s="600"/>
      <c r="AG830" s="600"/>
      <c r="AH830" s="600"/>
      <c r="AI830" s="600"/>
      <c r="AJ830" s="600"/>
      <c r="AK830" s="600"/>
      <c r="AL830" s="600"/>
      <c r="AM830" s="600"/>
      <c r="AO830" s="600"/>
      <c r="AP830" s="600"/>
      <c r="AQ830" s="600"/>
      <c r="AR830" s="600"/>
      <c r="AS830" s="600"/>
      <c r="AT830" s="600"/>
      <c r="AU830" s="600"/>
      <c r="AV830" s="600"/>
    </row>
    <row r="831" spans="5:48">
      <c r="E831" s="39"/>
      <c r="F831" s="39"/>
      <c r="G831" s="39"/>
      <c r="H831" s="39"/>
      <c r="I831" s="39"/>
      <c r="J831" s="39"/>
      <c r="K831" s="39"/>
      <c r="L831" s="39"/>
      <c r="M831" s="660"/>
      <c r="R831" s="600"/>
      <c r="S831" s="600"/>
      <c r="T831" s="600"/>
      <c r="U831" s="600"/>
      <c r="V831" s="600"/>
      <c r="W831" s="600"/>
      <c r="X831" s="600"/>
      <c r="Y831" s="600"/>
      <c r="Z831" s="600"/>
      <c r="AD831" s="600">
        <v>820</v>
      </c>
      <c r="AF831" s="600"/>
      <c r="AG831" s="600"/>
      <c r="AH831" s="600"/>
      <c r="AI831" s="600"/>
      <c r="AJ831" s="600"/>
      <c r="AK831" s="600"/>
      <c r="AL831" s="600"/>
      <c r="AM831" s="600"/>
      <c r="AO831" s="600"/>
      <c r="AP831" s="600"/>
      <c r="AQ831" s="600"/>
      <c r="AR831" s="600"/>
      <c r="AS831" s="600"/>
      <c r="AT831" s="600"/>
      <c r="AU831" s="600"/>
      <c r="AV831" s="600"/>
    </row>
    <row r="832" spans="5:48">
      <c r="E832" s="39"/>
      <c r="F832" s="39"/>
      <c r="G832" s="39"/>
      <c r="H832" s="39"/>
      <c r="I832" s="39"/>
      <c r="J832" s="39"/>
      <c r="K832" s="39"/>
      <c r="L832" s="39"/>
      <c r="M832" s="660"/>
      <c r="R832" s="600"/>
      <c r="S832" s="600"/>
      <c r="T832" s="600"/>
      <c r="U832" s="600"/>
      <c r="V832" s="600"/>
      <c r="W832" s="600"/>
      <c r="X832" s="600"/>
      <c r="Y832" s="600"/>
      <c r="Z832" s="600"/>
      <c r="AD832" s="600">
        <v>821</v>
      </c>
      <c r="AF832" s="600"/>
      <c r="AG832" s="600"/>
      <c r="AH832" s="600"/>
      <c r="AI832" s="600"/>
      <c r="AJ832" s="600"/>
      <c r="AK832" s="600"/>
      <c r="AL832" s="600"/>
      <c r="AM832" s="600"/>
      <c r="AO832" s="600"/>
      <c r="AP832" s="600"/>
      <c r="AQ832" s="600"/>
      <c r="AR832" s="600"/>
      <c r="AS832" s="600"/>
      <c r="AT832" s="600"/>
      <c r="AU832" s="600"/>
      <c r="AV832" s="600"/>
    </row>
    <row r="833" spans="5:48">
      <c r="E833" s="39"/>
      <c r="F833" s="39"/>
      <c r="G833" s="39"/>
      <c r="H833" s="39"/>
      <c r="I833" s="39"/>
      <c r="J833" s="39"/>
      <c r="K833" s="39"/>
      <c r="L833" s="39"/>
      <c r="M833" s="660"/>
      <c r="R833" s="600"/>
      <c r="S833" s="600"/>
      <c r="T833" s="600"/>
      <c r="U833" s="600"/>
      <c r="V833" s="600"/>
      <c r="W833" s="600"/>
      <c r="X833" s="600"/>
      <c r="Y833" s="600"/>
      <c r="Z833" s="600"/>
      <c r="AD833" s="600">
        <v>822</v>
      </c>
      <c r="AF833" s="600"/>
      <c r="AG833" s="600"/>
      <c r="AH833" s="600"/>
      <c r="AI833" s="600"/>
      <c r="AJ833" s="600"/>
      <c r="AK833" s="600"/>
      <c r="AL833" s="600"/>
      <c r="AM833" s="600"/>
      <c r="AO833" s="600"/>
      <c r="AP833" s="600"/>
      <c r="AQ833" s="600"/>
      <c r="AR833" s="600"/>
      <c r="AS833" s="600"/>
      <c r="AT833" s="600"/>
      <c r="AU833" s="600"/>
      <c r="AV833" s="600"/>
    </row>
    <row r="834" spans="5:48">
      <c r="E834" s="39"/>
      <c r="F834" s="39"/>
      <c r="G834" s="39"/>
      <c r="H834" s="39"/>
      <c r="I834" s="39"/>
      <c r="J834" s="39"/>
      <c r="K834" s="39"/>
      <c r="L834" s="39"/>
      <c r="M834" s="660"/>
      <c r="R834" s="600"/>
      <c r="S834" s="600"/>
      <c r="T834" s="600"/>
      <c r="U834" s="600"/>
      <c r="V834" s="600"/>
      <c r="W834" s="600"/>
      <c r="X834" s="600"/>
      <c r="Y834" s="600"/>
      <c r="Z834" s="600"/>
      <c r="AD834" s="600">
        <v>823</v>
      </c>
      <c r="AF834" s="600"/>
      <c r="AG834" s="600"/>
      <c r="AH834" s="600"/>
      <c r="AI834" s="600"/>
      <c r="AJ834" s="600"/>
      <c r="AK834" s="600"/>
      <c r="AL834" s="600"/>
      <c r="AM834" s="600"/>
      <c r="AO834" s="600"/>
      <c r="AP834" s="600"/>
      <c r="AQ834" s="600"/>
      <c r="AR834" s="600"/>
      <c r="AS834" s="600"/>
      <c r="AT834" s="600"/>
      <c r="AU834" s="600"/>
      <c r="AV834" s="600"/>
    </row>
    <row r="835" spans="5:48">
      <c r="E835" s="39"/>
      <c r="F835" s="39"/>
      <c r="G835" s="39"/>
      <c r="H835" s="39"/>
      <c r="I835" s="39"/>
      <c r="J835" s="39"/>
      <c r="K835" s="39"/>
      <c r="L835" s="39"/>
      <c r="M835" s="660"/>
      <c r="R835" s="600"/>
      <c r="S835" s="600"/>
      <c r="T835" s="600"/>
      <c r="U835" s="600"/>
      <c r="V835" s="600"/>
      <c r="W835" s="600"/>
      <c r="X835" s="600"/>
      <c r="Y835" s="600"/>
      <c r="Z835" s="600"/>
      <c r="AD835" s="600">
        <v>824</v>
      </c>
      <c r="AF835" s="600"/>
      <c r="AG835" s="600"/>
      <c r="AH835" s="600"/>
      <c r="AI835" s="600"/>
      <c r="AJ835" s="600"/>
      <c r="AK835" s="600"/>
      <c r="AL835" s="600"/>
      <c r="AM835" s="600"/>
      <c r="AO835" s="600"/>
      <c r="AP835" s="600"/>
      <c r="AQ835" s="600"/>
      <c r="AR835" s="600"/>
      <c r="AS835" s="600"/>
      <c r="AT835" s="600"/>
      <c r="AU835" s="600"/>
      <c r="AV835" s="600"/>
    </row>
    <row r="836" spans="5:48">
      <c r="E836" s="39"/>
      <c r="F836" s="39"/>
      <c r="G836" s="39"/>
      <c r="H836" s="39"/>
      <c r="I836" s="39"/>
      <c r="J836" s="39"/>
      <c r="K836" s="39"/>
      <c r="L836" s="39"/>
      <c r="M836" s="660"/>
      <c r="R836" s="600"/>
      <c r="S836" s="600"/>
      <c r="T836" s="600"/>
      <c r="U836" s="600"/>
      <c r="V836" s="600"/>
      <c r="W836" s="600"/>
      <c r="X836" s="600"/>
      <c r="Y836" s="600"/>
      <c r="Z836" s="600"/>
      <c r="AD836" s="600">
        <v>825</v>
      </c>
      <c r="AF836" s="600"/>
      <c r="AG836" s="600"/>
      <c r="AH836" s="600"/>
      <c r="AI836" s="600"/>
      <c r="AJ836" s="600"/>
      <c r="AK836" s="600"/>
      <c r="AL836" s="600"/>
      <c r="AM836" s="600"/>
      <c r="AO836" s="600"/>
      <c r="AP836" s="600"/>
      <c r="AQ836" s="600"/>
      <c r="AR836" s="600"/>
      <c r="AS836" s="600"/>
      <c r="AT836" s="600"/>
      <c r="AU836" s="600"/>
      <c r="AV836" s="600"/>
    </row>
    <row r="837" spans="5:48">
      <c r="E837" s="39"/>
      <c r="F837" s="39"/>
      <c r="G837" s="39"/>
      <c r="H837" s="39"/>
      <c r="I837" s="39"/>
      <c r="J837" s="39"/>
      <c r="K837" s="39"/>
      <c r="L837" s="39"/>
      <c r="M837" s="660"/>
      <c r="R837" s="600"/>
      <c r="S837" s="600"/>
      <c r="T837" s="600"/>
      <c r="U837" s="600"/>
      <c r="V837" s="600"/>
      <c r="W837" s="600"/>
      <c r="X837" s="600"/>
      <c r="Y837" s="600"/>
      <c r="Z837" s="600"/>
      <c r="AD837" s="600">
        <v>826</v>
      </c>
      <c r="AF837" s="600"/>
      <c r="AG837" s="600"/>
      <c r="AH837" s="600"/>
      <c r="AI837" s="600"/>
      <c r="AJ837" s="600"/>
      <c r="AK837" s="600"/>
      <c r="AL837" s="600"/>
      <c r="AM837" s="600"/>
      <c r="AO837" s="600"/>
      <c r="AP837" s="600"/>
      <c r="AQ837" s="600"/>
      <c r="AR837" s="600"/>
      <c r="AS837" s="600"/>
      <c r="AT837" s="600"/>
      <c r="AU837" s="600"/>
      <c r="AV837" s="600"/>
    </row>
    <row r="838" spans="5:48">
      <c r="E838" s="39"/>
      <c r="F838" s="39"/>
      <c r="G838" s="39"/>
      <c r="H838" s="39"/>
      <c r="I838" s="39"/>
      <c r="J838" s="39"/>
      <c r="K838" s="39"/>
      <c r="L838" s="39"/>
      <c r="M838" s="660"/>
      <c r="R838" s="600"/>
      <c r="S838" s="600"/>
      <c r="T838" s="600"/>
      <c r="U838" s="600"/>
      <c r="V838" s="600"/>
      <c r="W838" s="600"/>
      <c r="X838" s="600"/>
      <c r="Y838" s="600"/>
      <c r="Z838" s="600"/>
      <c r="AD838" s="600">
        <v>827</v>
      </c>
      <c r="AF838" s="600"/>
      <c r="AG838" s="600"/>
      <c r="AH838" s="600"/>
      <c r="AI838" s="600"/>
      <c r="AJ838" s="600"/>
      <c r="AK838" s="600"/>
      <c r="AL838" s="600"/>
      <c r="AM838" s="600"/>
      <c r="AO838" s="600"/>
      <c r="AP838" s="600"/>
      <c r="AQ838" s="600"/>
      <c r="AR838" s="600"/>
      <c r="AS838" s="600"/>
      <c r="AT838" s="600"/>
      <c r="AU838" s="600"/>
      <c r="AV838" s="600"/>
    </row>
    <row r="839" spans="5:48">
      <c r="E839" s="39"/>
      <c r="F839" s="39"/>
      <c r="G839" s="39"/>
      <c r="H839" s="39"/>
      <c r="I839" s="39"/>
      <c r="J839" s="39"/>
      <c r="K839" s="39"/>
      <c r="L839" s="39"/>
      <c r="M839" s="660"/>
      <c r="R839" s="600"/>
      <c r="S839" s="600"/>
      <c r="T839" s="600"/>
      <c r="U839" s="600"/>
      <c r="V839" s="600"/>
      <c r="W839" s="600"/>
      <c r="X839" s="600"/>
      <c r="Y839" s="600"/>
      <c r="Z839" s="600"/>
      <c r="AD839" s="600">
        <v>828</v>
      </c>
      <c r="AF839" s="600"/>
      <c r="AG839" s="600"/>
      <c r="AH839" s="600"/>
      <c r="AI839" s="600"/>
      <c r="AJ839" s="600"/>
      <c r="AK839" s="600"/>
      <c r="AL839" s="600"/>
      <c r="AM839" s="600"/>
      <c r="AO839" s="600"/>
      <c r="AP839" s="600"/>
      <c r="AQ839" s="600"/>
      <c r="AR839" s="600"/>
      <c r="AS839" s="600"/>
      <c r="AT839" s="600"/>
      <c r="AU839" s="600"/>
      <c r="AV839" s="600"/>
    </row>
    <row r="840" spans="5:48">
      <c r="E840" s="39"/>
      <c r="F840" s="39"/>
      <c r="G840" s="39"/>
      <c r="H840" s="39"/>
      <c r="I840" s="39"/>
      <c r="J840" s="39"/>
      <c r="K840" s="39"/>
      <c r="L840" s="39"/>
      <c r="M840" s="660"/>
      <c r="R840" s="600"/>
      <c r="S840" s="600"/>
      <c r="T840" s="600"/>
      <c r="U840" s="600"/>
      <c r="V840" s="600"/>
      <c r="W840" s="600"/>
      <c r="X840" s="600"/>
      <c r="Y840" s="600"/>
      <c r="Z840" s="600"/>
      <c r="AD840" s="600">
        <v>829</v>
      </c>
      <c r="AF840" s="600"/>
      <c r="AG840" s="600"/>
      <c r="AH840" s="600"/>
      <c r="AI840" s="600"/>
      <c r="AJ840" s="600"/>
      <c r="AK840" s="600"/>
      <c r="AL840" s="600"/>
      <c r="AM840" s="600"/>
      <c r="AO840" s="600"/>
      <c r="AP840" s="600"/>
      <c r="AQ840" s="600"/>
      <c r="AR840" s="600"/>
      <c r="AS840" s="600"/>
      <c r="AT840" s="600"/>
      <c r="AU840" s="600"/>
      <c r="AV840" s="600"/>
    </row>
    <row r="841" spans="5:48">
      <c r="E841" s="39"/>
      <c r="F841" s="39"/>
      <c r="G841" s="39"/>
      <c r="H841" s="39"/>
      <c r="I841" s="39"/>
      <c r="J841" s="39"/>
      <c r="K841" s="39"/>
      <c r="L841" s="39"/>
      <c r="M841" s="660"/>
      <c r="R841" s="600"/>
      <c r="S841" s="600"/>
      <c r="T841" s="600"/>
      <c r="U841" s="600"/>
      <c r="V841" s="600"/>
      <c r="W841" s="600"/>
      <c r="X841" s="600"/>
      <c r="Y841" s="600"/>
      <c r="Z841" s="600"/>
      <c r="AD841" s="600">
        <v>830</v>
      </c>
      <c r="AF841" s="600"/>
      <c r="AG841" s="600"/>
      <c r="AH841" s="600"/>
      <c r="AI841" s="600"/>
      <c r="AJ841" s="600"/>
      <c r="AK841" s="600"/>
      <c r="AL841" s="600"/>
      <c r="AM841" s="600"/>
      <c r="AO841" s="600"/>
      <c r="AP841" s="600"/>
      <c r="AQ841" s="600"/>
      <c r="AR841" s="600"/>
      <c r="AS841" s="600"/>
      <c r="AT841" s="600"/>
      <c r="AU841" s="600"/>
      <c r="AV841" s="600"/>
    </row>
    <row r="842" spans="5:48">
      <c r="E842" s="39"/>
      <c r="F842" s="39"/>
      <c r="G842" s="39"/>
      <c r="H842" s="39"/>
      <c r="I842" s="39"/>
      <c r="J842" s="39"/>
      <c r="K842" s="39"/>
      <c r="L842" s="39"/>
      <c r="M842" s="660"/>
      <c r="R842" s="600"/>
      <c r="S842" s="600"/>
      <c r="T842" s="600"/>
      <c r="U842" s="600"/>
      <c r="V842" s="600"/>
      <c r="W842" s="600"/>
      <c r="X842" s="600"/>
      <c r="Y842" s="600"/>
      <c r="Z842" s="600"/>
      <c r="AD842" s="600">
        <v>831</v>
      </c>
      <c r="AF842" s="600"/>
      <c r="AG842" s="600"/>
      <c r="AH842" s="600"/>
      <c r="AI842" s="600"/>
      <c r="AJ842" s="600"/>
      <c r="AK842" s="600"/>
      <c r="AL842" s="600"/>
      <c r="AM842" s="600"/>
      <c r="AO842" s="600"/>
      <c r="AP842" s="600"/>
      <c r="AQ842" s="600"/>
      <c r="AR842" s="600"/>
      <c r="AS842" s="600"/>
      <c r="AT842" s="600"/>
      <c r="AU842" s="600"/>
      <c r="AV842" s="600"/>
    </row>
    <row r="843" spans="5:48">
      <c r="E843" s="39"/>
      <c r="F843" s="39"/>
      <c r="G843" s="39"/>
      <c r="H843" s="39"/>
      <c r="I843" s="39"/>
      <c r="J843" s="39"/>
      <c r="K843" s="39"/>
      <c r="L843" s="39"/>
      <c r="M843" s="660"/>
      <c r="R843" s="600"/>
      <c r="S843" s="600"/>
      <c r="T843" s="600"/>
      <c r="U843" s="600"/>
      <c r="V843" s="600"/>
      <c r="W843" s="600"/>
      <c r="X843" s="600"/>
      <c r="Y843" s="600"/>
      <c r="Z843" s="600"/>
      <c r="AD843" s="600">
        <v>832</v>
      </c>
      <c r="AF843" s="600"/>
      <c r="AG843" s="600"/>
      <c r="AH843" s="600"/>
      <c r="AI843" s="600"/>
      <c r="AJ843" s="600"/>
      <c r="AK843" s="600"/>
      <c r="AL843" s="600"/>
      <c r="AM843" s="600"/>
      <c r="AO843" s="600"/>
      <c r="AP843" s="600"/>
      <c r="AQ843" s="600"/>
      <c r="AR843" s="600"/>
      <c r="AS843" s="600"/>
      <c r="AT843" s="600"/>
      <c r="AU843" s="600"/>
      <c r="AV843" s="600"/>
    </row>
    <row r="844" spans="5:48">
      <c r="E844" s="39"/>
      <c r="F844" s="39"/>
      <c r="G844" s="39"/>
      <c r="H844" s="39"/>
      <c r="I844" s="39"/>
      <c r="J844" s="39"/>
      <c r="K844" s="39"/>
      <c r="L844" s="39"/>
      <c r="M844" s="660"/>
      <c r="R844" s="600"/>
      <c r="S844" s="600"/>
      <c r="T844" s="600"/>
      <c r="U844" s="600"/>
      <c r="V844" s="600"/>
      <c r="W844" s="600"/>
      <c r="X844" s="600"/>
      <c r="Y844" s="600"/>
      <c r="Z844" s="600"/>
      <c r="AD844" s="600">
        <v>833</v>
      </c>
      <c r="AF844" s="600"/>
      <c r="AG844" s="600"/>
      <c r="AH844" s="600"/>
      <c r="AI844" s="600"/>
      <c r="AJ844" s="600"/>
      <c r="AK844" s="600"/>
      <c r="AL844" s="600"/>
      <c r="AM844" s="600"/>
      <c r="AO844" s="600"/>
      <c r="AP844" s="600"/>
      <c r="AQ844" s="600"/>
      <c r="AR844" s="600"/>
      <c r="AS844" s="600"/>
      <c r="AT844" s="600"/>
      <c r="AU844" s="600"/>
      <c r="AV844" s="600"/>
    </row>
    <row r="845" spans="5:48">
      <c r="E845" s="39"/>
      <c r="F845" s="39"/>
      <c r="G845" s="39"/>
      <c r="H845" s="39"/>
      <c r="I845" s="39"/>
      <c r="J845" s="39"/>
      <c r="K845" s="39"/>
      <c r="L845" s="39"/>
      <c r="M845" s="660"/>
      <c r="R845" s="600"/>
      <c r="S845" s="600"/>
      <c r="T845" s="600"/>
      <c r="U845" s="600"/>
      <c r="V845" s="600"/>
      <c r="W845" s="600"/>
      <c r="X845" s="600"/>
      <c r="Y845" s="600"/>
      <c r="Z845" s="600"/>
      <c r="AD845" s="600">
        <v>834</v>
      </c>
      <c r="AF845" s="600"/>
      <c r="AG845" s="600"/>
      <c r="AH845" s="600"/>
      <c r="AI845" s="600"/>
      <c r="AJ845" s="600"/>
      <c r="AK845" s="600"/>
      <c r="AL845" s="600"/>
      <c r="AM845" s="600"/>
      <c r="AO845" s="600"/>
      <c r="AP845" s="600"/>
      <c r="AQ845" s="600"/>
      <c r="AR845" s="600"/>
      <c r="AS845" s="600"/>
      <c r="AT845" s="600"/>
      <c r="AU845" s="600"/>
      <c r="AV845" s="600"/>
    </row>
    <row r="846" spans="5:48">
      <c r="E846" s="39"/>
      <c r="F846" s="39"/>
      <c r="G846" s="39"/>
      <c r="H846" s="39"/>
      <c r="I846" s="39"/>
      <c r="J846" s="39"/>
      <c r="K846" s="39"/>
      <c r="L846" s="39"/>
      <c r="M846" s="660"/>
      <c r="R846" s="600"/>
      <c r="S846" s="600"/>
      <c r="T846" s="600"/>
      <c r="U846" s="600"/>
      <c r="V846" s="600"/>
      <c r="W846" s="600"/>
      <c r="X846" s="600"/>
      <c r="Y846" s="600"/>
      <c r="Z846" s="600"/>
      <c r="AD846" s="600">
        <v>835</v>
      </c>
      <c r="AF846" s="600"/>
      <c r="AG846" s="600"/>
      <c r="AH846" s="600"/>
      <c r="AI846" s="600"/>
      <c r="AJ846" s="600"/>
      <c r="AK846" s="600"/>
      <c r="AL846" s="600"/>
      <c r="AM846" s="600"/>
      <c r="AO846" s="600"/>
      <c r="AP846" s="600"/>
      <c r="AQ846" s="600"/>
      <c r="AR846" s="600"/>
      <c r="AS846" s="600"/>
      <c r="AT846" s="600"/>
      <c r="AU846" s="600"/>
      <c r="AV846" s="600"/>
    </row>
    <row r="847" spans="5:48">
      <c r="E847" s="39"/>
      <c r="F847" s="39"/>
      <c r="G847" s="39"/>
      <c r="H847" s="39"/>
      <c r="I847" s="39"/>
      <c r="J847" s="39"/>
      <c r="K847" s="39"/>
      <c r="L847" s="39"/>
      <c r="M847" s="660"/>
      <c r="R847" s="600"/>
      <c r="S847" s="600"/>
      <c r="T847" s="600"/>
      <c r="U847" s="600"/>
      <c r="V847" s="600"/>
      <c r="W847" s="600"/>
      <c r="X847" s="600"/>
      <c r="Y847" s="600"/>
      <c r="Z847" s="600"/>
      <c r="AD847" s="600">
        <v>836</v>
      </c>
      <c r="AF847" s="600"/>
      <c r="AG847" s="600"/>
      <c r="AH847" s="600"/>
      <c r="AI847" s="600"/>
      <c r="AJ847" s="600"/>
      <c r="AK847" s="600"/>
      <c r="AL847" s="600"/>
      <c r="AM847" s="600"/>
      <c r="AO847" s="600"/>
      <c r="AP847" s="600"/>
      <c r="AQ847" s="600"/>
      <c r="AR847" s="600"/>
      <c r="AS847" s="600"/>
      <c r="AT847" s="600"/>
      <c r="AU847" s="600"/>
      <c r="AV847" s="600"/>
    </row>
    <row r="848" spans="5:48">
      <c r="E848" s="39"/>
      <c r="F848" s="39"/>
      <c r="G848" s="39"/>
      <c r="H848" s="39"/>
      <c r="I848" s="39"/>
      <c r="J848" s="39"/>
      <c r="K848" s="39"/>
      <c r="L848" s="39"/>
      <c r="M848" s="660"/>
      <c r="R848" s="600"/>
      <c r="S848" s="600"/>
      <c r="T848" s="600"/>
      <c r="U848" s="600"/>
      <c r="V848" s="600"/>
      <c r="W848" s="600"/>
      <c r="X848" s="600"/>
      <c r="Y848" s="600"/>
      <c r="Z848" s="600"/>
      <c r="AD848" s="600">
        <v>837</v>
      </c>
      <c r="AF848" s="600"/>
      <c r="AG848" s="600"/>
      <c r="AH848" s="600"/>
      <c r="AI848" s="600"/>
      <c r="AJ848" s="600"/>
      <c r="AK848" s="600"/>
      <c r="AL848" s="600"/>
      <c r="AM848" s="600"/>
      <c r="AO848" s="600"/>
      <c r="AP848" s="600"/>
      <c r="AQ848" s="600"/>
      <c r="AR848" s="600"/>
      <c r="AS848" s="600"/>
      <c r="AT848" s="600"/>
      <c r="AU848" s="600"/>
      <c r="AV848" s="600"/>
    </row>
    <row r="849" spans="5:48">
      <c r="E849" s="39"/>
      <c r="F849" s="39"/>
      <c r="G849" s="39"/>
      <c r="H849" s="39"/>
      <c r="I849" s="39"/>
      <c r="J849" s="39"/>
      <c r="K849" s="39"/>
      <c r="L849" s="39"/>
      <c r="M849" s="660"/>
      <c r="R849" s="600"/>
      <c r="S849" s="600"/>
      <c r="T849" s="600"/>
      <c r="U849" s="600"/>
      <c r="V849" s="600"/>
      <c r="W849" s="600"/>
      <c r="X849" s="600"/>
      <c r="Y849" s="600"/>
      <c r="Z849" s="600"/>
      <c r="AD849" s="600">
        <v>838</v>
      </c>
      <c r="AF849" s="600"/>
      <c r="AG849" s="600"/>
      <c r="AH849" s="600"/>
      <c r="AI849" s="600"/>
      <c r="AJ849" s="600"/>
      <c r="AK849" s="600"/>
      <c r="AL849" s="600"/>
      <c r="AM849" s="600"/>
      <c r="AO849" s="600"/>
      <c r="AP849" s="600"/>
      <c r="AQ849" s="600"/>
      <c r="AR849" s="600"/>
      <c r="AS849" s="600"/>
      <c r="AT849" s="600"/>
      <c r="AU849" s="600"/>
      <c r="AV849" s="600"/>
    </row>
    <row r="850" spans="5:48">
      <c r="E850" s="39"/>
      <c r="F850" s="39"/>
      <c r="G850" s="39"/>
      <c r="H850" s="39"/>
      <c r="I850" s="39"/>
      <c r="J850" s="39"/>
      <c r="K850" s="39"/>
      <c r="L850" s="39"/>
      <c r="M850" s="660"/>
      <c r="R850" s="600"/>
      <c r="S850" s="600"/>
      <c r="T850" s="600"/>
      <c r="U850" s="600"/>
      <c r="V850" s="600"/>
      <c r="W850" s="600"/>
      <c r="X850" s="600"/>
      <c r="Y850" s="600"/>
      <c r="Z850" s="600"/>
      <c r="AD850" s="600">
        <v>839</v>
      </c>
      <c r="AF850" s="600"/>
      <c r="AG850" s="600"/>
      <c r="AH850" s="600"/>
      <c r="AI850" s="600"/>
      <c r="AJ850" s="600"/>
      <c r="AK850" s="600"/>
      <c r="AL850" s="600"/>
      <c r="AM850" s="600"/>
      <c r="AO850" s="600"/>
      <c r="AP850" s="600"/>
      <c r="AQ850" s="600"/>
      <c r="AR850" s="600"/>
      <c r="AS850" s="600"/>
      <c r="AT850" s="600"/>
      <c r="AU850" s="600"/>
      <c r="AV850" s="600"/>
    </row>
    <row r="851" spans="5:48">
      <c r="E851" s="39"/>
      <c r="F851" s="39"/>
      <c r="G851" s="39"/>
      <c r="H851" s="39"/>
      <c r="I851" s="39"/>
      <c r="J851" s="39"/>
      <c r="K851" s="39"/>
      <c r="L851" s="39"/>
      <c r="M851" s="660"/>
      <c r="R851" s="600"/>
      <c r="S851" s="600"/>
      <c r="T851" s="600"/>
      <c r="U851" s="600"/>
      <c r="V851" s="600"/>
      <c r="W851" s="600"/>
      <c r="X851" s="600"/>
      <c r="Y851" s="600"/>
      <c r="Z851" s="600"/>
      <c r="AD851" s="600">
        <v>840</v>
      </c>
      <c r="AF851" s="600"/>
      <c r="AG851" s="600"/>
      <c r="AH851" s="600"/>
      <c r="AI851" s="600"/>
      <c r="AJ851" s="600"/>
      <c r="AK851" s="600"/>
      <c r="AL851" s="600"/>
      <c r="AM851" s="600"/>
      <c r="AO851" s="600"/>
      <c r="AP851" s="600"/>
      <c r="AQ851" s="600"/>
      <c r="AR851" s="600"/>
      <c r="AS851" s="600"/>
      <c r="AT851" s="600"/>
      <c r="AU851" s="600"/>
      <c r="AV851" s="600"/>
    </row>
    <row r="852" spans="5:48">
      <c r="E852" s="39"/>
      <c r="F852" s="39"/>
      <c r="G852" s="39"/>
      <c r="H852" s="39"/>
      <c r="I852" s="39"/>
      <c r="J852" s="39"/>
      <c r="K852" s="39"/>
      <c r="L852" s="39"/>
      <c r="M852" s="660"/>
      <c r="R852" s="600"/>
      <c r="S852" s="600"/>
      <c r="T852" s="600"/>
      <c r="U852" s="600"/>
      <c r="V852" s="600"/>
      <c r="W852" s="600"/>
      <c r="X852" s="600"/>
      <c r="Y852" s="600"/>
      <c r="Z852" s="600"/>
      <c r="AD852" s="600">
        <v>841</v>
      </c>
      <c r="AF852" s="600"/>
      <c r="AG852" s="600"/>
      <c r="AH852" s="600"/>
      <c r="AI852" s="600"/>
      <c r="AJ852" s="600"/>
      <c r="AK852" s="600"/>
      <c r="AL852" s="600"/>
      <c r="AM852" s="600"/>
      <c r="AO852" s="600"/>
      <c r="AP852" s="600"/>
      <c r="AQ852" s="600"/>
      <c r="AR852" s="600"/>
      <c r="AS852" s="600"/>
      <c r="AT852" s="600"/>
      <c r="AU852" s="600"/>
      <c r="AV852" s="600"/>
    </row>
    <row r="853" spans="5:48">
      <c r="E853" s="39"/>
      <c r="F853" s="39"/>
      <c r="G853" s="39"/>
      <c r="H853" s="39"/>
      <c r="I853" s="39"/>
      <c r="J853" s="39"/>
      <c r="K853" s="39"/>
      <c r="L853" s="39"/>
      <c r="M853" s="660"/>
      <c r="R853" s="600"/>
      <c r="S853" s="600"/>
      <c r="T853" s="600"/>
      <c r="U853" s="600"/>
      <c r="V853" s="600"/>
      <c r="W853" s="600"/>
      <c r="X853" s="600"/>
      <c r="Y853" s="600"/>
      <c r="Z853" s="600"/>
      <c r="AD853" s="600">
        <v>842</v>
      </c>
      <c r="AF853" s="600"/>
      <c r="AG853" s="600"/>
      <c r="AH853" s="600"/>
      <c r="AI853" s="600"/>
      <c r="AJ853" s="600"/>
      <c r="AK853" s="600"/>
      <c r="AL853" s="600"/>
      <c r="AM853" s="600"/>
      <c r="AO853" s="600"/>
      <c r="AP853" s="600"/>
      <c r="AQ853" s="600"/>
      <c r="AR853" s="600"/>
      <c r="AS853" s="600"/>
      <c r="AT853" s="600"/>
      <c r="AU853" s="600"/>
      <c r="AV853" s="600"/>
    </row>
    <row r="854" spans="5:48">
      <c r="E854" s="39"/>
      <c r="F854" s="39"/>
      <c r="G854" s="39"/>
      <c r="H854" s="39"/>
      <c r="I854" s="39"/>
      <c r="J854" s="39"/>
      <c r="K854" s="39"/>
      <c r="L854" s="39"/>
      <c r="M854" s="660"/>
      <c r="R854" s="600"/>
      <c r="S854" s="600"/>
      <c r="T854" s="600"/>
      <c r="U854" s="600"/>
      <c r="V854" s="600"/>
      <c r="W854" s="600"/>
      <c r="X854" s="600"/>
      <c r="Y854" s="600"/>
      <c r="Z854" s="600"/>
      <c r="AD854" s="600">
        <v>843</v>
      </c>
      <c r="AF854" s="600"/>
      <c r="AG854" s="600"/>
      <c r="AH854" s="600"/>
      <c r="AI854" s="600"/>
      <c r="AJ854" s="600"/>
      <c r="AK854" s="600"/>
      <c r="AL854" s="600"/>
      <c r="AM854" s="600"/>
      <c r="AO854" s="600"/>
      <c r="AP854" s="600"/>
      <c r="AQ854" s="600"/>
      <c r="AR854" s="600"/>
      <c r="AS854" s="600"/>
      <c r="AT854" s="600"/>
      <c r="AU854" s="600"/>
      <c r="AV854" s="600"/>
    </row>
    <row r="855" spans="5:48">
      <c r="E855" s="39"/>
      <c r="F855" s="39"/>
      <c r="G855" s="39"/>
      <c r="H855" s="39"/>
      <c r="I855" s="39"/>
      <c r="J855" s="39"/>
      <c r="K855" s="39"/>
      <c r="L855" s="39"/>
      <c r="M855" s="660"/>
      <c r="R855" s="600"/>
      <c r="S855" s="600"/>
      <c r="T855" s="600"/>
      <c r="U855" s="600"/>
      <c r="V855" s="600"/>
      <c r="W855" s="600"/>
      <c r="X855" s="600"/>
      <c r="Y855" s="600"/>
      <c r="Z855" s="600"/>
      <c r="AD855" s="600">
        <v>844</v>
      </c>
      <c r="AF855" s="600"/>
      <c r="AG855" s="600"/>
      <c r="AH855" s="600"/>
      <c r="AI855" s="600"/>
      <c r="AJ855" s="600"/>
      <c r="AK855" s="600"/>
      <c r="AL855" s="600"/>
      <c r="AM855" s="600"/>
      <c r="AO855" s="600"/>
      <c r="AP855" s="600"/>
      <c r="AQ855" s="600"/>
      <c r="AR855" s="600"/>
      <c r="AS855" s="600"/>
      <c r="AT855" s="600"/>
      <c r="AU855" s="600"/>
      <c r="AV855" s="600"/>
    </row>
    <row r="856" spans="5:48">
      <c r="E856" s="39"/>
      <c r="F856" s="39"/>
      <c r="G856" s="39"/>
      <c r="H856" s="39"/>
      <c r="I856" s="39"/>
      <c r="J856" s="39"/>
      <c r="K856" s="39"/>
      <c r="L856" s="39"/>
      <c r="M856" s="660"/>
      <c r="R856" s="600"/>
      <c r="S856" s="600"/>
      <c r="T856" s="600"/>
      <c r="U856" s="600"/>
      <c r="V856" s="600"/>
      <c r="W856" s="600"/>
      <c r="X856" s="600"/>
      <c r="Y856" s="600"/>
      <c r="Z856" s="600"/>
      <c r="AD856" s="600">
        <v>845</v>
      </c>
      <c r="AF856" s="600"/>
      <c r="AG856" s="600"/>
      <c r="AH856" s="600"/>
      <c r="AI856" s="600"/>
      <c r="AJ856" s="600"/>
      <c r="AK856" s="600"/>
      <c r="AL856" s="600"/>
      <c r="AM856" s="600"/>
      <c r="AO856" s="600"/>
      <c r="AP856" s="600"/>
      <c r="AQ856" s="600"/>
      <c r="AR856" s="600"/>
      <c r="AS856" s="600"/>
      <c r="AT856" s="600"/>
      <c r="AU856" s="600"/>
      <c r="AV856" s="600"/>
    </row>
    <row r="857" spans="5:48">
      <c r="E857" s="39"/>
      <c r="F857" s="39"/>
      <c r="G857" s="39"/>
      <c r="H857" s="39"/>
      <c r="I857" s="39"/>
      <c r="J857" s="39"/>
      <c r="K857" s="39"/>
      <c r="L857" s="39"/>
      <c r="M857" s="660"/>
      <c r="R857" s="600"/>
      <c r="S857" s="600"/>
      <c r="T857" s="600"/>
      <c r="U857" s="600"/>
      <c r="V857" s="600"/>
      <c r="W857" s="600"/>
      <c r="X857" s="600"/>
      <c r="Y857" s="600"/>
      <c r="Z857" s="600"/>
      <c r="AD857" s="600">
        <v>846</v>
      </c>
      <c r="AF857" s="600"/>
      <c r="AG857" s="600"/>
      <c r="AH857" s="600"/>
      <c r="AI857" s="600"/>
      <c r="AJ857" s="600"/>
      <c r="AK857" s="600"/>
      <c r="AL857" s="600"/>
      <c r="AM857" s="600"/>
      <c r="AO857" s="600"/>
      <c r="AP857" s="600"/>
      <c r="AQ857" s="600"/>
      <c r="AR857" s="600"/>
      <c r="AS857" s="600"/>
      <c r="AT857" s="600"/>
      <c r="AU857" s="600"/>
      <c r="AV857" s="600"/>
    </row>
    <row r="858" spans="5:48">
      <c r="E858" s="39"/>
      <c r="F858" s="39"/>
      <c r="G858" s="39"/>
      <c r="H858" s="39"/>
      <c r="I858" s="39"/>
      <c r="J858" s="39"/>
      <c r="K858" s="39"/>
      <c r="L858" s="39"/>
      <c r="M858" s="660"/>
      <c r="R858" s="600"/>
      <c r="S858" s="600"/>
      <c r="T858" s="600"/>
      <c r="U858" s="600"/>
      <c r="V858" s="600"/>
      <c r="W858" s="600"/>
      <c r="X858" s="600"/>
      <c r="Y858" s="600"/>
      <c r="Z858" s="600"/>
      <c r="AD858" s="600">
        <v>847</v>
      </c>
      <c r="AF858" s="600"/>
      <c r="AG858" s="600"/>
      <c r="AH858" s="600"/>
      <c r="AI858" s="600"/>
      <c r="AJ858" s="600"/>
      <c r="AK858" s="600"/>
      <c r="AL858" s="600"/>
      <c r="AM858" s="600"/>
      <c r="AO858" s="600"/>
      <c r="AP858" s="600"/>
      <c r="AQ858" s="600"/>
      <c r="AR858" s="600"/>
      <c r="AS858" s="600"/>
      <c r="AT858" s="600"/>
      <c r="AU858" s="600"/>
      <c r="AV858" s="600"/>
    </row>
    <row r="859" spans="5:48">
      <c r="E859" s="39"/>
      <c r="F859" s="39"/>
      <c r="G859" s="39"/>
      <c r="H859" s="39"/>
      <c r="I859" s="39"/>
      <c r="J859" s="39"/>
      <c r="K859" s="39"/>
      <c r="L859" s="39"/>
      <c r="M859" s="660"/>
      <c r="R859" s="600"/>
      <c r="S859" s="600"/>
      <c r="T859" s="600"/>
      <c r="U859" s="600"/>
      <c r="V859" s="600"/>
      <c r="W859" s="600"/>
      <c r="X859" s="600"/>
      <c r="Y859" s="600"/>
      <c r="Z859" s="600"/>
      <c r="AD859" s="600">
        <v>848</v>
      </c>
      <c r="AF859" s="600"/>
      <c r="AG859" s="600"/>
      <c r="AH859" s="600"/>
      <c r="AI859" s="600"/>
      <c r="AJ859" s="600"/>
      <c r="AK859" s="600"/>
      <c r="AL859" s="600"/>
      <c r="AM859" s="600"/>
      <c r="AO859" s="600"/>
      <c r="AP859" s="600"/>
      <c r="AQ859" s="600"/>
      <c r="AR859" s="600"/>
      <c r="AS859" s="600"/>
      <c r="AT859" s="600"/>
      <c r="AU859" s="600"/>
      <c r="AV859" s="600"/>
    </row>
    <row r="860" spans="5:48">
      <c r="E860" s="39"/>
      <c r="F860" s="39"/>
      <c r="G860" s="39"/>
      <c r="H860" s="39"/>
      <c r="I860" s="39"/>
      <c r="J860" s="39"/>
      <c r="K860" s="39"/>
      <c r="L860" s="39"/>
      <c r="M860" s="660"/>
      <c r="R860" s="600"/>
      <c r="S860" s="600"/>
      <c r="T860" s="600"/>
      <c r="U860" s="600"/>
      <c r="V860" s="600"/>
      <c r="W860" s="600"/>
      <c r="X860" s="600"/>
      <c r="Y860" s="600"/>
      <c r="Z860" s="600"/>
      <c r="AD860" s="600">
        <v>849</v>
      </c>
      <c r="AF860" s="600"/>
      <c r="AG860" s="600"/>
      <c r="AH860" s="600"/>
      <c r="AI860" s="600"/>
      <c r="AJ860" s="600"/>
      <c r="AK860" s="600"/>
      <c r="AL860" s="600"/>
      <c r="AM860" s="600"/>
      <c r="AO860" s="600"/>
      <c r="AP860" s="600"/>
      <c r="AQ860" s="600"/>
      <c r="AR860" s="600"/>
      <c r="AS860" s="600"/>
      <c r="AT860" s="600"/>
      <c r="AU860" s="600"/>
      <c r="AV860" s="600"/>
    </row>
    <row r="861" spans="5:48">
      <c r="E861" s="39"/>
      <c r="F861" s="39"/>
      <c r="G861" s="39"/>
      <c r="H861" s="39"/>
      <c r="I861" s="39"/>
      <c r="J861" s="39"/>
      <c r="K861" s="39"/>
      <c r="L861" s="39"/>
      <c r="M861" s="660"/>
      <c r="R861" s="600"/>
      <c r="S861" s="600"/>
      <c r="T861" s="600"/>
      <c r="U861" s="600"/>
      <c r="V861" s="600"/>
      <c r="W861" s="600"/>
      <c r="X861" s="600"/>
      <c r="Y861" s="600"/>
      <c r="Z861" s="600"/>
      <c r="AD861" s="600">
        <v>850</v>
      </c>
      <c r="AF861" s="600"/>
      <c r="AG861" s="600"/>
      <c r="AH861" s="600"/>
      <c r="AI861" s="600"/>
      <c r="AJ861" s="600"/>
      <c r="AK861" s="600"/>
      <c r="AL861" s="600"/>
      <c r="AM861" s="600"/>
      <c r="AO861" s="600"/>
      <c r="AP861" s="600"/>
      <c r="AQ861" s="600"/>
      <c r="AR861" s="600"/>
      <c r="AS861" s="600"/>
      <c r="AT861" s="600"/>
      <c r="AU861" s="600"/>
      <c r="AV861" s="600"/>
    </row>
    <row r="862" spans="5:48">
      <c r="E862" s="39"/>
      <c r="F862" s="39"/>
      <c r="G862" s="39"/>
      <c r="H862" s="39"/>
      <c r="I862" s="39"/>
      <c r="J862" s="39"/>
      <c r="K862" s="39"/>
      <c r="L862" s="39"/>
      <c r="M862" s="660"/>
      <c r="R862" s="600"/>
      <c r="S862" s="600"/>
      <c r="T862" s="600"/>
      <c r="U862" s="600"/>
      <c r="V862" s="600"/>
      <c r="W862" s="600"/>
      <c r="X862" s="600"/>
      <c r="Y862" s="600"/>
      <c r="Z862" s="600"/>
      <c r="AD862" s="600">
        <v>851</v>
      </c>
      <c r="AF862" s="600"/>
      <c r="AG862" s="600"/>
      <c r="AH862" s="600"/>
      <c r="AI862" s="600"/>
      <c r="AJ862" s="600"/>
      <c r="AK862" s="600"/>
      <c r="AL862" s="600"/>
      <c r="AM862" s="600"/>
      <c r="AO862" s="600"/>
      <c r="AP862" s="600"/>
      <c r="AQ862" s="600"/>
      <c r="AR862" s="600"/>
      <c r="AS862" s="600"/>
      <c r="AT862" s="600"/>
      <c r="AU862" s="600"/>
      <c r="AV862" s="600"/>
    </row>
    <row r="863" spans="5:48">
      <c r="E863" s="39"/>
      <c r="F863" s="39"/>
      <c r="G863" s="39"/>
      <c r="H863" s="39"/>
      <c r="I863" s="39"/>
      <c r="J863" s="39"/>
      <c r="K863" s="39"/>
      <c r="L863" s="39"/>
      <c r="M863" s="660"/>
      <c r="R863" s="600"/>
      <c r="S863" s="600"/>
      <c r="T863" s="600"/>
      <c r="U863" s="600"/>
      <c r="V863" s="600"/>
      <c r="W863" s="600"/>
      <c r="X863" s="600"/>
      <c r="Y863" s="600"/>
      <c r="Z863" s="600"/>
      <c r="AD863" s="600">
        <v>852</v>
      </c>
      <c r="AF863" s="600"/>
      <c r="AG863" s="600"/>
      <c r="AH863" s="600"/>
      <c r="AI863" s="600"/>
      <c r="AJ863" s="600"/>
      <c r="AK863" s="600"/>
      <c r="AL863" s="600"/>
      <c r="AM863" s="600"/>
      <c r="AO863" s="600"/>
      <c r="AP863" s="600"/>
      <c r="AQ863" s="600"/>
      <c r="AR863" s="600"/>
      <c r="AS863" s="600"/>
      <c r="AT863" s="600"/>
      <c r="AU863" s="600"/>
      <c r="AV863" s="600"/>
    </row>
    <row r="864" spans="5:48">
      <c r="E864" s="39"/>
      <c r="F864" s="39"/>
      <c r="G864" s="39"/>
      <c r="H864" s="39"/>
      <c r="I864" s="39"/>
      <c r="J864" s="39"/>
      <c r="K864" s="39"/>
      <c r="L864" s="39"/>
      <c r="M864" s="660"/>
      <c r="R864" s="600"/>
      <c r="S864" s="600"/>
      <c r="T864" s="600"/>
      <c r="U864" s="600"/>
      <c r="V864" s="600"/>
      <c r="W864" s="600"/>
      <c r="X864" s="600"/>
      <c r="Y864" s="600"/>
      <c r="Z864" s="600"/>
      <c r="AD864" s="600">
        <v>853</v>
      </c>
      <c r="AF864" s="600"/>
      <c r="AG864" s="600"/>
      <c r="AH864" s="600"/>
      <c r="AI864" s="600"/>
      <c r="AJ864" s="600"/>
      <c r="AK864" s="600"/>
      <c r="AL864" s="600"/>
      <c r="AM864" s="600"/>
      <c r="AO864" s="600"/>
      <c r="AP864" s="600"/>
      <c r="AQ864" s="600"/>
      <c r="AR864" s="600"/>
      <c r="AS864" s="600"/>
      <c r="AT864" s="600"/>
      <c r="AU864" s="600"/>
      <c r="AV864" s="600"/>
    </row>
    <row r="865" spans="5:48">
      <c r="E865" s="39"/>
      <c r="F865" s="39"/>
      <c r="G865" s="39"/>
      <c r="H865" s="39"/>
      <c r="I865" s="39"/>
      <c r="J865" s="39"/>
      <c r="K865" s="39"/>
      <c r="L865" s="39"/>
      <c r="M865" s="660"/>
      <c r="R865" s="600"/>
      <c r="S865" s="600"/>
      <c r="T865" s="600"/>
      <c r="U865" s="600"/>
      <c r="V865" s="600"/>
      <c r="W865" s="600"/>
      <c r="X865" s="600"/>
      <c r="Y865" s="600"/>
      <c r="Z865" s="600"/>
      <c r="AD865" s="600">
        <v>854</v>
      </c>
      <c r="AF865" s="600"/>
      <c r="AG865" s="600"/>
      <c r="AH865" s="600"/>
      <c r="AI865" s="600"/>
      <c r="AJ865" s="600"/>
      <c r="AK865" s="600"/>
      <c r="AL865" s="600"/>
      <c r="AM865" s="600"/>
      <c r="AO865" s="600"/>
      <c r="AP865" s="600"/>
      <c r="AQ865" s="600"/>
      <c r="AR865" s="600"/>
      <c r="AS865" s="600"/>
      <c r="AT865" s="600"/>
      <c r="AU865" s="600"/>
      <c r="AV865" s="600"/>
    </row>
    <row r="866" spans="5:48">
      <c r="E866" s="39"/>
      <c r="F866" s="39"/>
      <c r="G866" s="39"/>
      <c r="H866" s="39"/>
      <c r="I866" s="39"/>
      <c r="J866" s="39"/>
      <c r="K866" s="39"/>
      <c r="L866" s="39"/>
      <c r="M866" s="660"/>
      <c r="R866" s="600"/>
      <c r="S866" s="600"/>
      <c r="T866" s="600"/>
      <c r="U866" s="600"/>
      <c r="V866" s="600"/>
      <c r="W866" s="600"/>
      <c r="X866" s="600"/>
      <c r="Y866" s="600"/>
      <c r="Z866" s="600"/>
      <c r="AD866" s="600">
        <v>855</v>
      </c>
      <c r="AF866" s="600"/>
      <c r="AG866" s="600"/>
      <c r="AH866" s="600"/>
      <c r="AI866" s="600"/>
      <c r="AJ866" s="600"/>
      <c r="AK866" s="600"/>
      <c r="AL866" s="600"/>
      <c r="AM866" s="600"/>
      <c r="AO866" s="600"/>
      <c r="AP866" s="600"/>
      <c r="AQ866" s="600"/>
      <c r="AR866" s="600"/>
      <c r="AS866" s="600"/>
      <c r="AT866" s="600"/>
      <c r="AU866" s="600"/>
      <c r="AV866" s="600"/>
    </row>
    <row r="867" spans="5:48">
      <c r="E867" s="39"/>
      <c r="F867" s="39"/>
      <c r="G867" s="39"/>
      <c r="H867" s="39"/>
      <c r="I867" s="39"/>
      <c r="J867" s="39"/>
      <c r="K867" s="39"/>
      <c r="L867" s="39"/>
      <c r="M867" s="660"/>
      <c r="R867" s="600"/>
      <c r="S867" s="600"/>
      <c r="T867" s="600"/>
      <c r="U867" s="600"/>
      <c r="V867" s="600"/>
      <c r="W867" s="600"/>
      <c r="X867" s="600"/>
      <c r="Y867" s="600"/>
      <c r="Z867" s="600"/>
      <c r="AD867" s="600">
        <v>856</v>
      </c>
      <c r="AF867" s="600"/>
      <c r="AG867" s="600"/>
      <c r="AH867" s="600"/>
      <c r="AI867" s="600"/>
      <c r="AJ867" s="600"/>
      <c r="AK867" s="600"/>
      <c r="AL867" s="600"/>
      <c r="AM867" s="600"/>
      <c r="AO867" s="600"/>
      <c r="AP867" s="600"/>
      <c r="AQ867" s="600"/>
      <c r="AR867" s="600"/>
      <c r="AS867" s="600"/>
      <c r="AT867" s="600"/>
      <c r="AU867" s="600"/>
      <c r="AV867" s="600"/>
    </row>
    <row r="868" spans="5:48">
      <c r="E868" s="39"/>
      <c r="F868" s="39"/>
      <c r="G868" s="39"/>
      <c r="H868" s="39"/>
      <c r="I868" s="39"/>
      <c r="J868" s="39"/>
      <c r="K868" s="39"/>
      <c r="L868" s="39"/>
      <c r="M868" s="660"/>
      <c r="R868" s="600"/>
      <c r="S868" s="600"/>
      <c r="T868" s="600"/>
      <c r="U868" s="600"/>
      <c r="V868" s="600"/>
      <c r="W868" s="600"/>
      <c r="X868" s="600"/>
      <c r="Y868" s="600"/>
      <c r="Z868" s="600"/>
      <c r="AD868" s="600">
        <v>857</v>
      </c>
      <c r="AF868" s="600"/>
      <c r="AG868" s="600"/>
      <c r="AH868" s="600"/>
      <c r="AI868" s="600"/>
      <c r="AJ868" s="600"/>
      <c r="AK868" s="600"/>
      <c r="AL868" s="600"/>
      <c r="AM868" s="600"/>
      <c r="AO868" s="600"/>
      <c r="AP868" s="600"/>
      <c r="AQ868" s="600"/>
      <c r="AR868" s="600"/>
      <c r="AS868" s="600"/>
      <c r="AT868" s="600"/>
      <c r="AU868" s="600"/>
      <c r="AV868" s="600"/>
    </row>
    <row r="869" spans="5:48">
      <c r="E869" s="39"/>
      <c r="F869" s="39"/>
      <c r="G869" s="39"/>
      <c r="H869" s="39"/>
      <c r="I869" s="39"/>
      <c r="J869" s="39"/>
      <c r="K869" s="39"/>
      <c r="L869" s="39"/>
      <c r="M869" s="660"/>
      <c r="R869" s="600"/>
      <c r="S869" s="600"/>
      <c r="T869" s="600"/>
      <c r="U869" s="600"/>
      <c r="V869" s="600"/>
      <c r="W869" s="600"/>
      <c r="X869" s="600"/>
      <c r="Y869" s="600"/>
      <c r="Z869" s="600"/>
      <c r="AD869" s="600">
        <v>858</v>
      </c>
      <c r="AF869" s="600"/>
      <c r="AG869" s="600"/>
      <c r="AH869" s="600"/>
      <c r="AI869" s="600"/>
      <c r="AJ869" s="600"/>
      <c r="AK869" s="600"/>
      <c r="AL869" s="600"/>
      <c r="AM869" s="600"/>
      <c r="AO869" s="600"/>
      <c r="AP869" s="600"/>
      <c r="AQ869" s="600"/>
      <c r="AR869" s="600"/>
      <c r="AS869" s="600"/>
      <c r="AT869" s="600"/>
      <c r="AU869" s="600"/>
      <c r="AV869" s="600"/>
    </row>
    <row r="870" spans="5:48">
      <c r="E870" s="39"/>
      <c r="F870" s="39"/>
      <c r="G870" s="39"/>
      <c r="H870" s="39"/>
      <c r="I870" s="39"/>
      <c r="J870" s="39"/>
      <c r="K870" s="39"/>
      <c r="L870" s="39"/>
      <c r="M870" s="660"/>
      <c r="R870" s="600"/>
      <c r="S870" s="600"/>
      <c r="T870" s="600"/>
      <c r="U870" s="600"/>
      <c r="V870" s="600"/>
      <c r="W870" s="600"/>
      <c r="X870" s="600"/>
      <c r="Y870" s="600"/>
      <c r="Z870" s="600"/>
      <c r="AD870" s="600">
        <v>859</v>
      </c>
      <c r="AF870" s="600"/>
      <c r="AG870" s="600"/>
      <c r="AH870" s="600"/>
      <c r="AI870" s="600"/>
      <c r="AJ870" s="600"/>
      <c r="AK870" s="600"/>
      <c r="AL870" s="600"/>
      <c r="AM870" s="600"/>
      <c r="AO870" s="600"/>
      <c r="AP870" s="600"/>
      <c r="AQ870" s="600"/>
      <c r="AR870" s="600"/>
      <c r="AS870" s="600"/>
      <c r="AT870" s="600"/>
      <c r="AU870" s="600"/>
      <c r="AV870" s="600"/>
    </row>
    <row r="871" spans="5:48">
      <c r="E871" s="39"/>
      <c r="F871" s="39"/>
      <c r="G871" s="39"/>
      <c r="H871" s="39"/>
      <c r="I871" s="39"/>
      <c r="J871" s="39"/>
      <c r="K871" s="39"/>
      <c r="L871" s="39"/>
      <c r="M871" s="660"/>
      <c r="R871" s="600"/>
      <c r="S871" s="600"/>
      <c r="T871" s="600"/>
      <c r="U871" s="600"/>
      <c r="V871" s="600"/>
      <c r="W871" s="600"/>
      <c r="X871" s="600"/>
      <c r="Y871" s="600"/>
      <c r="Z871" s="600"/>
      <c r="AD871" s="600">
        <v>860</v>
      </c>
      <c r="AF871" s="600"/>
      <c r="AG871" s="600"/>
      <c r="AH871" s="600"/>
      <c r="AI871" s="600"/>
      <c r="AJ871" s="600"/>
      <c r="AK871" s="600"/>
      <c r="AL871" s="600"/>
      <c r="AM871" s="600"/>
      <c r="AO871" s="600"/>
      <c r="AP871" s="600"/>
      <c r="AQ871" s="600"/>
      <c r="AR871" s="600"/>
      <c r="AS871" s="600"/>
      <c r="AT871" s="600"/>
      <c r="AU871" s="600"/>
      <c r="AV871" s="600"/>
    </row>
    <row r="872" spans="5:48">
      <c r="E872" s="39"/>
      <c r="F872" s="39"/>
      <c r="G872" s="39"/>
      <c r="H872" s="39"/>
      <c r="I872" s="39"/>
      <c r="J872" s="39"/>
      <c r="K872" s="39"/>
      <c r="L872" s="39"/>
      <c r="M872" s="660"/>
      <c r="R872" s="600"/>
      <c r="S872" s="600"/>
      <c r="T872" s="600"/>
      <c r="U872" s="600"/>
      <c r="V872" s="600"/>
      <c r="W872" s="600"/>
      <c r="X872" s="600"/>
      <c r="Y872" s="600"/>
      <c r="Z872" s="600"/>
      <c r="AD872" s="600">
        <v>861</v>
      </c>
      <c r="AF872" s="600"/>
      <c r="AG872" s="600"/>
      <c r="AH872" s="600"/>
      <c r="AI872" s="600"/>
      <c r="AJ872" s="600"/>
      <c r="AK872" s="600"/>
      <c r="AL872" s="600"/>
      <c r="AM872" s="600"/>
      <c r="AO872" s="600"/>
      <c r="AP872" s="600"/>
      <c r="AQ872" s="600"/>
      <c r="AR872" s="600"/>
      <c r="AS872" s="600"/>
      <c r="AT872" s="600"/>
      <c r="AU872" s="600"/>
      <c r="AV872" s="600"/>
    </row>
    <row r="873" spans="5:48">
      <c r="E873" s="39"/>
      <c r="F873" s="39"/>
      <c r="G873" s="39"/>
      <c r="H873" s="39"/>
      <c r="I873" s="39"/>
      <c r="J873" s="39"/>
      <c r="K873" s="39"/>
      <c r="L873" s="39"/>
      <c r="M873" s="660"/>
      <c r="R873" s="600"/>
      <c r="S873" s="600"/>
      <c r="T873" s="600"/>
      <c r="U873" s="600"/>
      <c r="V873" s="600"/>
      <c r="W873" s="600"/>
      <c r="X873" s="600"/>
      <c r="Y873" s="600"/>
      <c r="Z873" s="600"/>
      <c r="AD873" s="600">
        <v>862</v>
      </c>
      <c r="AF873" s="600"/>
      <c r="AG873" s="600"/>
      <c r="AH873" s="600"/>
      <c r="AI873" s="600"/>
      <c r="AJ873" s="600"/>
      <c r="AK873" s="600"/>
      <c r="AL873" s="600"/>
      <c r="AM873" s="600"/>
      <c r="AO873" s="600"/>
      <c r="AP873" s="600"/>
      <c r="AQ873" s="600"/>
      <c r="AR873" s="600"/>
      <c r="AS873" s="600"/>
      <c r="AT873" s="600"/>
      <c r="AU873" s="600"/>
      <c r="AV873" s="600"/>
    </row>
    <row r="874" spans="5:48">
      <c r="E874" s="39"/>
      <c r="F874" s="39"/>
      <c r="G874" s="39"/>
      <c r="H874" s="39"/>
      <c r="I874" s="39"/>
      <c r="J874" s="39"/>
      <c r="K874" s="39"/>
      <c r="L874" s="39"/>
      <c r="M874" s="660"/>
      <c r="R874" s="600"/>
      <c r="S874" s="600"/>
      <c r="T874" s="600"/>
      <c r="U874" s="600"/>
      <c r="V874" s="600"/>
      <c r="W874" s="600"/>
      <c r="X874" s="600"/>
      <c r="Y874" s="600"/>
      <c r="Z874" s="600"/>
      <c r="AD874" s="600">
        <v>863</v>
      </c>
      <c r="AF874" s="600"/>
      <c r="AG874" s="600"/>
      <c r="AH874" s="600"/>
      <c r="AI874" s="600"/>
      <c r="AJ874" s="600"/>
      <c r="AK874" s="600"/>
      <c r="AL874" s="600"/>
      <c r="AM874" s="600"/>
      <c r="AO874" s="600"/>
      <c r="AP874" s="600"/>
      <c r="AQ874" s="600"/>
      <c r="AR874" s="600"/>
      <c r="AS874" s="600"/>
      <c r="AT874" s="600"/>
      <c r="AU874" s="600"/>
      <c r="AV874" s="600"/>
    </row>
    <row r="875" spans="5:48">
      <c r="E875" s="39"/>
      <c r="F875" s="39"/>
      <c r="G875" s="39"/>
      <c r="H875" s="39"/>
      <c r="I875" s="39"/>
      <c r="J875" s="39"/>
      <c r="K875" s="39"/>
      <c r="L875" s="39"/>
      <c r="M875" s="660"/>
      <c r="R875" s="600"/>
      <c r="S875" s="600"/>
      <c r="T875" s="600"/>
      <c r="U875" s="600"/>
      <c r="V875" s="600"/>
      <c r="W875" s="600"/>
      <c r="X875" s="600"/>
      <c r="Y875" s="600"/>
      <c r="Z875" s="600"/>
      <c r="AD875" s="600">
        <v>864</v>
      </c>
      <c r="AF875" s="600"/>
      <c r="AG875" s="600"/>
      <c r="AH875" s="600"/>
      <c r="AI875" s="600"/>
      <c r="AJ875" s="600"/>
      <c r="AK875" s="600"/>
      <c r="AL875" s="600"/>
      <c r="AM875" s="600"/>
      <c r="AO875" s="600"/>
      <c r="AP875" s="600"/>
      <c r="AQ875" s="600"/>
      <c r="AR875" s="600"/>
      <c r="AS875" s="600"/>
      <c r="AT875" s="600"/>
      <c r="AU875" s="600"/>
      <c r="AV875" s="600"/>
    </row>
    <row r="876" spans="5:48">
      <c r="E876" s="39"/>
      <c r="F876" s="39"/>
      <c r="G876" s="39"/>
      <c r="H876" s="39"/>
      <c r="I876" s="39"/>
      <c r="J876" s="39"/>
      <c r="K876" s="39"/>
      <c r="L876" s="39"/>
      <c r="M876" s="660"/>
      <c r="R876" s="600"/>
      <c r="S876" s="600"/>
      <c r="T876" s="600"/>
      <c r="U876" s="600"/>
      <c r="V876" s="600"/>
      <c r="W876" s="600"/>
      <c r="X876" s="600"/>
      <c r="Y876" s="600"/>
      <c r="Z876" s="600"/>
      <c r="AD876" s="600">
        <v>865</v>
      </c>
      <c r="AF876" s="600"/>
      <c r="AG876" s="600"/>
      <c r="AH876" s="600"/>
      <c r="AI876" s="600"/>
      <c r="AJ876" s="600"/>
      <c r="AK876" s="600"/>
      <c r="AL876" s="600"/>
      <c r="AM876" s="600"/>
      <c r="AO876" s="600"/>
      <c r="AP876" s="600"/>
      <c r="AQ876" s="600"/>
      <c r="AR876" s="600"/>
      <c r="AS876" s="600"/>
      <c r="AT876" s="600"/>
      <c r="AU876" s="600"/>
      <c r="AV876" s="600"/>
    </row>
    <row r="877" spans="5:48">
      <c r="E877" s="39"/>
      <c r="F877" s="39"/>
      <c r="G877" s="39"/>
      <c r="H877" s="39"/>
      <c r="I877" s="39"/>
      <c r="J877" s="39"/>
      <c r="K877" s="39"/>
      <c r="L877" s="39"/>
      <c r="M877" s="660"/>
      <c r="R877" s="600"/>
      <c r="S877" s="600"/>
      <c r="T877" s="600"/>
      <c r="U877" s="600"/>
      <c r="V877" s="600"/>
      <c r="W877" s="600"/>
      <c r="X877" s="600"/>
      <c r="Y877" s="600"/>
      <c r="Z877" s="600"/>
      <c r="AD877" s="600">
        <v>866</v>
      </c>
      <c r="AF877" s="600"/>
      <c r="AG877" s="600"/>
      <c r="AH877" s="600"/>
      <c r="AI877" s="600"/>
      <c r="AJ877" s="600"/>
      <c r="AK877" s="600"/>
      <c r="AL877" s="600"/>
      <c r="AM877" s="600"/>
      <c r="AO877" s="600"/>
      <c r="AP877" s="600"/>
      <c r="AQ877" s="600"/>
      <c r="AR877" s="600"/>
      <c r="AS877" s="600"/>
      <c r="AT877" s="600"/>
      <c r="AU877" s="600"/>
      <c r="AV877" s="600"/>
    </row>
    <row r="878" spans="5:48">
      <c r="E878" s="39"/>
      <c r="F878" s="39"/>
      <c r="G878" s="39"/>
      <c r="H878" s="39"/>
      <c r="I878" s="39"/>
      <c r="J878" s="39"/>
      <c r="K878" s="39"/>
      <c r="L878" s="39"/>
      <c r="M878" s="660"/>
      <c r="R878" s="600"/>
      <c r="S878" s="600"/>
      <c r="T878" s="600"/>
      <c r="U878" s="600"/>
      <c r="V878" s="600"/>
      <c r="W878" s="600"/>
      <c r="X878" s="600"/>
      <c r="Y878" s="600"/>
      <c r="Z878" s="600"/>
      <c r="AD878" s="600">
        <v>867</v>
      </c>
      <c r="AF878" s="600"/>
      <c r="AG878" s="600"/>
      <c r="AH878" s="600"/>
      <c r="AI878" s="600"/>
      <c r="AJ878" s="600"/>
      <c r="AK878" s="600"/>
      <c r="AL878" s="600"/>
      <c r="AM878" s="600"/>
      <c r="AO878" s="600"/>
      <c r="AP878" s="600"/>
      <c r="AQ878" s="600"/>
      <c r="AR878" s="600"/>
      <c r="AS878" s="600"/>
      <c r="AT878" s="600"/>
      <c r="AU878" s="600"/>
      <c r="AV878" s="600"/>
    </row>
    <row r="879" spans="5:48">
      <c r="E879" s="39"/>
      <c r="F879" s="39"/>
      <c r="G879" s="39"/>
      <c r="H879" s="39"/>
      <c r="I879" s="39"/>
      <c r="J879" s="39"/>
      <c r="K879" s="39"/>
      <c r="L879" s="39"/>
      <c r="M879" s="660"/>
      <c r="R879" s="600"/>
      <c r="S879" s="600"/>
      <c r="T879" s="600"/>
      <c r="U879" s="600"/>
      <c r="V879" s="600"/>
      <c r="W879" s="600"/>
      <c r="X879" s="600"/>
      <c r="Y879" s="600"/>
      <c r="Z879" s="600"/>
      <c r="AD879" s="600">
        <v>868</v>
      </c>
      <c r="AF879" s="600"/>
      <c r="AG879" s="600"/>
      <c r="AH879" s="600"/>
      <c r="AI879" s="600"/>
      <c r="AJ879" s="600"/>
      <c r="AK879" s="600"/>
      <c r="AL879" s="600"/>
      <c r="AM879" s="600"/>
      <c r="AO879" s="600"/>
      <c r="AP879" s="600"/>
      <c r="AQ879" s="600"/>
      <c r="AR879" s="600"/>
      <c r="AS879" s="600"/>
      <c r="AT879" s="600"/>
      <c r="AU879" s="600"/>
      <c r="AV879" s="600"/>
    </row>
    <row r="880" spans="5:48">
      <c r="E880" s="39"/>
      <c r="F880" s="39"/>
      <c r="G880" s="39"/>
      <c r="H880" s="39"/>
      <c r="I880" s="39"/>
      <c r="J880" s="39"/>
      <c r="K880" s="39"/>
      <c r="L880" s="39"/>
      <c r="M880" s="660"/>
      <c r="R880" s="600"/>
      <c r="S880" s="600"/>
      <c r="T880" s="600"/>
      <c r="U880" s="600"/>
      <c r="V880" s="600"/>
      <c r="W880" s="600"/>
      <c r="X880" s="600"/>
      <c r="Y880" s="600"/>
      <c r="Z880" s="600"/>
      <c r="AD880" s="600">
        <v>869</v>
      </c>
      <c r="AF880" s="600"/>
      <c r="AG880" s="600"/>
      <c r="AH880" s="600"/>
      <c r="AI880" s="600"/>
      <c r="AJ880" s="600"/>
      <c r="AK880" s="600"/>
      <c r="AL880" s="600"/>
      <c r="AM880" s="600"/>
      <c r="AO880" s="600"/>
      <c r="AP880" s="600"/>
      <c r="AQ880" s="600"/>
      <c r="AR880" s="600"/>
      <c r="AS880" s="600"/>
      <c r="AT880" s="600"/>
      <c r="AU880" s="600"/>
      <c r="AV880" s="600"/>
    </row>
    <row r="881" spans="5:48">
      <c r="E881" s="39"/>
      <c r="F881" s="39"/>
      <c r="G881" s="39"/>
      <c r="H881" s="39"/>
      <c r="I881" s="39"/>
      <c r="J881" s="39"/>
      <c r="K881" s="39"/>
      <c r="L881" s="39"/>
      <c r="M881" s="660"/>
      <c r="R881" s="600"/>
      <c r="S881" s="600"/>
      <c r="T881" s="600"/>
      <c r="U881" s="600"/>
      <c r="V881" s="600"/>
      <c r="W881" s="600"/>
      <c r="X881" s="600"/>
      <c r="Y881" s="600"/>
      <c r="Z881" s="600"/>
      <c r="AD881" s="600">
        <v>870</v>
      </c>
      <c r="AF881" s="600"/>
      <c r="AG881" s="600"/>
      <c r="AH881" s="600"/>
      <c r="AI881" s="600"/>
      <c r="AJ881" s="600"/>
      <c r="AK881" s="600"/>
      <c r="AL881" s="600"/>
      <c r="AM881" s="600"/>
      <c r="AO881" s="600"/>
      <c r="AP881" s="600"/>
      <c r="AQ881" s="600"/>
      <c r="AR881" s="600"/>
      <c r="AS881" s="600"/>
      <c r="AT881" s="600"/>
      <c r="AU881" s="600"/>
      <c r="AV881" s="600"/>
    </row>
    <row r="882" spans="5:48">
      <c r="E882" s="39"/>
      <c r="F882" s="39"/>
      <c r="G882" s="39"/>
      <c r="H882" s="39"/>
      <c r="I882" s="39"/>
      <c r="J882" s="39"/>
      <c r="K882" s="39"/>
      <c r="L882" s="39"/>
      <c r="M882" s="660"/>
      <c r="R882" s="600"/>
      <c r="S882" s="600"/>
      <c r="T882" s="600"/>
      <c r="U882" s="600"/>
      <c r="V882" s="600"/>
      <c r="W882" s="600"/>
      <c r="X882" s="600"/>
      <c r="Y882" s="600"/>
      <c r="Z882" s="600"/>
      <c r="AD882" s="600">
        <v>871</v>
      </c>
      <c r="AF882" s="600"/>
      <c r="AG882" s="600"/>
      <c r="AH882" s="600"/>
      <c r="AI882" s="600"/>
      <c r="AJ882" s="600"/>
      <c r="AK882" s="600"/>
      <c r="AL882" s="600"/>
      <c r="AM882" s="600"/>
      <c r="AO882" s="600"/>
      <c r="AP882" s="600"/>
      <c r="AQ882" s="600"/>
      <c r="AR882" s="600"/>
      <c r="AS882" s="600"/>
      <c r="AT882" s="600"/>
      <c r="AU882" s="600"/>
      <c r="AV882" s="600"/>
    </row>
    <row r="883" spans="5:48">
      <c r="E883" s="39"/>
      <c r="F883" s="39"/>
      <c r="G883" s="39"/>
      <c r="H883" s="39"/>
      <c r="I883" s="39"/>
      <c r="J883" s="39"/>
      <c r="K883" s="39"/>
      <c r="L883" s="39"/>
      <c r="M883" s="660"/>
      <c r="R883" s="600"/>
      <c r="S883" s="600"/>
      <c r="T883" s="600"/>
      <c r="U883" s="600"/>
      <c r="V883" s="600"/>
      <c r="W883" s="600"/>
      <c r="X883" s="600"/>
      <c r="Y883" s="600"/>
      <c r="Z883" s="600"/>
      <c r="AD883" s="600">
        <v>872</v>
      </c>
      <c r="AF883" s="600"/>
      <c r="AG883" s="600"/>
      <c r="AH883" s="600"/>
      <c r="AI883" s="600"/>
      <c r="AJ883" s="600"/>
      <c r="AK883" s="600"/>
      <c r="AL883" s="600"/>
      <c r="AM883" s="600"/>
      <c r="AO883" s="600"/>
      <c r="AP883" s="600"/>
      <c r="AQ883" s="600"/>
      <c r="AR883" s="600"/>
      <c r="AS883" s="600"/>
      <c r="AT883" s="600"/>
      <c r="AU883" s="600"/>
      <c r="AV883" s="600"/>
    </row>
    <row r="884" spans="5:48">
      <c r="E884" s="39"/>
      <c r="F884" s="39"/>
      <c r="G884" s="39"/>
      <c r="H884" s="39"/>
      <c r="I884" s="39"/>
      <c r="J884" s="39"/>
      <c r="K884" s="39"/>
      <c r="L884" s="39"/>
      <c r="M884" s="660"/>
      <c r="R884" s="600"/>
      <c r="S884" s="600"/>
      <c r="T884" s="600"/>
      <c r="U884" s="600"/>
      <c r="V884" s="600"/>
      <c r="W884" s="600"/>
      <c r="X884" s="600"/>
      <c r="Y884" s="600"/>
      <c r="Z884" s="600"/>
      <c r="AD884" s="600">
        <v>873</v>
      </c>
      <c r="AF884" s="600"/>
      <c r="AG884" s="600"/>
      <c r="AH884" s="600"/>
      <c r="AI884" s="600"/>
      <c r="AJ884" s="600"/>
      <c r="AK884" s="600"/>
      <c r="AL884" s="600"/>
      <c r="AM884" s="600"/>
      <c r="AO884" s="600"/>
      <c r="AP884" s="600"/>
      <c r="AQ884" s="600"/>
      <c r="AR884" s="600"/>
      <c r="AS884" s="600"/>
      <c r="AT884" s="600"/>
      <c r="AU884" s="600"/>
      <c r="AV884" s="600"/>
    </row>
    <row r="885" spans="5:48">
      <c r="E885" s="39"/>
      <c r="F885" s="39"/>
      <c r="G885" s="39"/>
      <c r="H885" s="39"/>
      <c r="I885" s="39"/>
      <c r="J885" s="39"/>
      <c r="K885" s="39"/>
      <c r="L885" s="39"/>
      <c r="M885" s="660"/>
      <c r="R885" s="600"/>
      <c r="S885" s="600"/>
      <c r="T885" s="600"/>
      <c r="U885" s="600"/>
      <c r="V885" s="600"/>
      <c r="W885" s="600"/>
      <c r="X885" s="600"/>
      <c r="Y885" s="600"/>
      <c r="Z885" s="600"/>
      <c r="AD885" s="600">
        <v>874</v>
      </c>
      <c r="AF885" s="600"/>
      <c r="AG885" s="600"/>
      <c r="AH885" s="600"/>
      <c r="AI885" s="600"/>
      <c r="AJ885" s="600"/>
      <c r="AK885" s="600"/>
      <c r="AL885" s="600"/>
      <c r="AM885" s="600"/>
      <c r="AO885" s="600"/>
      <c r="AP885" s="600"/>
      <c r="AQ885" s="600"/>
      <c r="AR885" s="600"/>
      <c r="AS885" s="600"/>
      <c r="AT885" s="600"/>
      <c r="AU885" s="600"/>
      <c r="AV885" s="600"/>
    </row>
    <row r="886" spans="5:48">
      <c r="E886" s="39"/>
      <c r="F886" s="39"/>
      <c r="G886" s="39"/>
      <c r="H886" s="39"/>
      <c r="I886" s="39"/>
      <c r="J886" s="39"/>
      <c r="K886" s="39"/>
      <c r="L886" s="39"/>
      <c r="M886" s="660"/>
      <c r="R886" s="600"/>
      <c r="S886" s="600"/>
      <c r="T886" s="600"/>
      <c r="U886" s="600"/>
      <c r="V886" s="600"/>
      <c r="W886" s="600"/>
      <c r="X886" s="600"/>
      <c r="Y886" s="600"/>
      <c r="Z886" s="600"/>
      <c r="AD886" s="600">
        <v>875</v>
      </c>
      <c r="AF886" s="600"/>
      <c r="AG886" s="600"/>
      <c r="AH886" s="600"/>
      <c r="AI886" s="600"/>
      <c r="AJ886" s="600"/>
      <c r="AK886" s="600"/>
      <c r="AL886" s="600"/>
      <c r="AM886" s="600"/>
      <c r="AO886" s="600"/>
      <c r="AP886" s="600"/>
      <c r="AQ886" s="600"/>
      <c r="AR886" s="600"/>
      <c r="AS886" s="600"/>
      <c r="AT886" s="600"/>
      <c r="AU886" s="600"/>
      <c r="AV886" s="600"/>
    </row>
    <row r="887" spans="5:48">
      <c r="E887" s="39"/>
      <c r="F887" s="39"/>
      <c r="G887" s="39"/>
      <c r="H887" s="39"/>
      <c r="I887" s="39"/>
      <c r="J887" s="39"/>
      <c r="K887" s="39"/>
      <c r="L887" s="39"/>
      <c r="M887" s="660"/>
      <c r="R887" s="600"/>
      <c r="S887" s="600"/>
      <c r="T887" s="600"/>
      <c r="U887" s="600"/>
      <c r="V887" s="600"/>
      <c r="W887" s="600"/>
      <c r="X887" s="600"/>
      <c r="Y887" s="600"/>
      <c r="Z887" s="600"/>
      <c r="AD887" s="600">
        <v>876</v>
      </c>
      <c r="AF887" s="600"/>
      <c r="AG887" s="600"/>
      <c r="AH887" s="600"/>
      <c r="AI887" s="600"/>
      <c r="AJ887" s="600"/>
      <c r="AK887" s="600"/>
      <c r="AL887" s="600"/>
      <c r="AM887" s="600"/>
      <c r="AO887" s="600"/>
      <c r="AP887" s="600"/>
      <c r="AQ887" s="600"/>
      <c r="AR887" s="600"/>
      <c r="AS887" s="600"/>
      <c r="AT887" s="600"/>
      <c r="AU887" s="600"/>
      <c r="AV887" s="600"/>
    </row>
    <row r="888" spans="5:48">
      <c r="E888" s="39"/>
      <c r="F888" s="39"/>
      <c r="G888" s="39"/>
      <c r="H888" s="39"/>
      <c r="I888" s="39"/>
      <c r="J888" s="39"/>
      <c r="K888" s="39"/>
      <c r="L888" s="39"/>
      <c r="M888" s="660"/>
      <c r="R888" s="600"/>
      <c r="S888" s="600"/>
      <c r="T888" s="600"/>
      <c r="U888" s="600"/>
      <c r="V888" s="600"/>
      <c r="W888" s="600"/>
      <c r="X888" s="600"/>
      <c r="Y888" s="600"/>
      <c r="Z888" s="600"/>
      <c r="AD888" s="600">
        <v>877</v>
      </c>
      <c r="AF888" s="600"/>
      <c r="AG888" s="600"/>
      <c r="AH888" s="600"/>
      <c r="AI888" s="600"/>
      <c r="AJ888" s="600"/>
      <c r="AK888" s="600"/>
      <c r="AL888" s="600"/>
      <c r="AM888" s="600"/>
      <c r="AO888" s="600"/>
      <c r="AP888" s="600"/>
      <c r="AQ888" s="600"/>
      <c r="AR888" s="600"/>
      <c r="AS888" s="600"/>
      <c r="AT888" s="600"/>
      <c r="AU888" s="600"/>
      <c r="AV888" s="600"/>
    </row>
    <row r="889" spans="5:48">
      <c r="E889" s="39"/>
      <c r="F889" s="39"/>
      <c r="G889" s="39"/>
      <c r="H889" s="39"/>
      <c r="I889" s="39"/>
      <c r="J889" s="39"/>
      <c r="K889" s="39"/>
      <c r="L889" s="39"/>
      <c r="M889" s="660"/>
      <c r="R889" s="600"/>
      <c r="S889" s="600"/>
      <c r="T889" s="600"/>
      <c r="U889" s="600"/>
      <c r="V889" s="600"/>
      <c r="W889" s="600"/>
      <c r="X889" s="600"/>
      <c r="Y889" s="600"/>
      <c r="Z889" s="600"/>
      <c r="AD889" s="600">
        <v>878</v>
      </c>
      <c r="AF889" s="600"/>
      <c r="AG889" s="600"/>
      <c r="AH889" s="600"/>
      <c r="AI889" s="600"/>
      <c r="AJ889" s="600"/>
      <c r="AK889" s="600"/>
      <c r="AL889" s="600"/>
      <c r="AM889" s="600"/>
      <c r="AO889" s="600"/>
      <c r="AP889" s="600"/>
      <c r="AQ889" s="600"/>
      <c r="AR889" s="600"/>
      <c r="AS889" s="600"/>
      <c r="AT889" s="600"/>
      <c r="AU889" s="600"/>
      <c r="AV889" s="600"/>
    </row>
    <row r="890" spans="5:48">
      <c r="E890" s="39"/>
      <c r="F890" s="39"/>
      <c r="G890" s="39"/>
      <c r="H890" s="39"/>
      <c r="I890" s="39"/>
      <c r="J890" s="39"/>
      <c r="K890" s="39"/>
      <c r="L890" s="39"/>
      <c r="M890" s="660"/>
      <c r="R890" s="600"/>
      <c r="S890" s="600"/>
      <c r="T890" s="600"/>
      <c r="U890" s="600"/>
      <c r="V890" s="600"/>
      <c r="W890" s="600"/>
      <c r="X890" s="600"/>
      <c r="Y890" s="600"/>
      <c r="Z890" s="600"/>
      <c r="AD890" s="600">
        <v>879</v>
      </c>
      <c r="AF890" s="600"/>
      <c r="AG890" s="600"/>
      <c r="AH890" s="600"/>
      <c r="AI890" s="600"/>
      <c r="AJ890" s="600"/>
      <c r="AK890" s="600"/>
      <c r="AL890" s="600"/>
      <c r="AM890" s="600"/>
      <c r="AO890" s="600"/>
      <c r="AP890" s="600"/>
      <c r="AQ890" s="600"/>
      <c r="AR890" s="600"/>
      <c r="AS890" s="600"/>
      <c r="AT890" s="600"/>
      <c r="AU890" s="600"/>
      <c r="AV890" s="600"/>
    </row>
    <row r="891" spans="5:48">
      <c r="E891" s="39"/>
      <c r="F891" s="39"/>
      <c r="G891" s="39"/>
      <c r="H891" s="39"/>
      <c r="I891" s="39"/>
      <c r="J891" s="39"/>
      <c r="K891" s="39"/>
      <c r="L891" s="39"/>
      <c r="M891" s="660"/>
      <c r="R891" s="600"/>
      <c r="S891" s="600"/>
      <c r="T891" s="600"/>
      <c r="U891" s="600"/>
      <c r="V891" s="600"/>
      <c r="W891" s="600"/>
      <c r="X891" s="600"/>
      <c r="Y891" s="600"/>
      <c r="Z891" s="600"/>
      <c r="AD891" s="600">
        <v>880</v>
      </c>
      <c r="AF891" s="600"/>
      <c r="AG891" s="600"/>
      <c r="AH891" s="600"/>
      <c r="AI891" s="600"/>
      <c r="AJ891" s="600"/>
      <c r="AK891" s="600"/>
      <c r="AL891" s="600"/>
      <c r="AM891" s="600"/>
      <c r="AO891" s="600"/>
      <c r="AP891" s="600"/>
      <c r="AQ891" s="600"/>
      <c r="AR891" s="600"/>
      <c r="AS891" s="600"/>
      <c r="AT891" s="600"/>
      <c r="AU891" s="600"/>
      <c r="AV891" s="600"/>
    </row>
    <row r="892" spans="5:48">
      <c r="E892" s="39"/>
      <c r="F892" s="39"/>
      <c r="G892" s="39"/>
      <c r="H892" s="39"/>
      <c r="I892" s="39"/>
      <c r="J892" s="39"/>
      <c r="K892" s="39"/>
      <c r="L892" s="39"/>
      <c r="M892" s="660"/>
      <c r="R892" s="600"/>
      <c r="S892" s="600"/>
      <c r="T892" s="600"/>
      <c r="U892" s="600"/>
      <c r="V892" s="600"/>
      <c r="W892" s="600"/>
      <c r="X892" s="600"/>
      <c r="Y892" s="600"/>
      <c r="Z892" s="600"/>
      <c r="AD892" s="600">
        <v>881</v>
      </c>
      <c r="AF892" s="600"/>
      <c r="AG892" s="600"/>
      <c r="AH892" s="600"/>
      <c r="AI892" s="600"/>
      <c r="AJ892" s="600"/>
      <c r="AK892" s="600"/>
      <c r="AL892" s="600"/>
      <c r="AM892" s="600"/>
      <c r="AO892" s="600"/>
      <c r="AP892" s="600"/>
      <c r="AQ892" s="600"/>
      <c r="AR892" s="600"/>
      <c r="AS892" s="600"/>
      <c r="AT892" s="600"/>
      <c r="AU892" s="600"/>
      <c r="AV892" s="600"/>
    </row>
    <row r="893" spans="5:48">
      <c r="E893" s="39"/>
      <c r="F893" s="39"/>
      <c r="G893" s="39"/>
      <c r="H893" s="39"/>
      <c r="I893" s="39"/>
      <c r="J893" s="39"/>
      <c r="K893" s="39"/>
      <c r="L893" s="39"/>
      <c r="M893" s="660"/>
      <c r="R893" s="600"/>
      <c r="S893" s="600"/>
      <c r="T893" s="600"/>
      <c r="U893" s="600"/>
      <c r="V893" s="600"/>
      <c r="W893" s="600"/>
      <c r="X893" s="600"/>
      <c r="Y893" s="600"/>
      <c r="Z893" s="600"/>
      <c r="AD893" s="600">
        <v>882</v>
      </c>
      <c r="AF893" s="600"/>
      <c r="AG893" s="600"/>
      <c r="AH893" s="600"/>
      <c r="AI893" s="600"/>
      <c r="AJ893" s="600"/>
      <c r="AK893" s="600"/>
      <c r="AL893" s="600"/>
      <c r="AM893" s="600"/>
      <c r="AO893" s="600"/>
      <c r="AP893" s="600"/>
      <c r="AQ893" s="600"/>
      <c r="AR893" s="600"/>
      <c r="AS893" s="600"/>
      <c r="AT893" s="600"/>
      <c r="AU893" s="600"/>
      <c r="AV893" s="600"/>
    </row>
    <row r="894" spans="5:48">
      <c r="E894" s="39"/>
      <c r="F894" s="39"/>
      <c r="G894" s="39"/>
      <c r="H894" s="39"/>
      <c r="I894" s="39"/>
      <c r="J894" s="39"/>
      <c r="K894" s="39"/>
      <c r="L894" s="39"/>
      <c r="M894" s="660"/>
      <c r="R894" s="600"/>
      <c r="S894" s="600"/>
      <c r="T894" s="600"/>
      <c r="U894" s="600"/>
      <c r="V894" s="600"/>
      <c r="W894" s="600"/>
      <c r="X894" s="600"/>
      <c r="Y894" s="600"/>
      <c r="Z894" s="600"/>
      <c r="AD894" s="600">
        <v>883</v>
      </c>
      <c r="AF894" s="600"/>
      <c r="AG894" s="600"/>
      <c r="AH894" s="600"/>
      <c r="AI894" s="600"/>
      <c r="AJ894" s="600"/>
      <c r="AK894" s="600"/>
      <c r="AL894" s="600"/>
      <c r="AM894" s="600"/>
      <c r="AO894" s="600"/>
      <c r="AP894" s="600"/>
      <c r="AQ894" s="600"/>
      <c r="AR894" s="600"/>
      <c r="AS894" s="600"/>
      <c r="AT894" s="600"/>
      <c r="AU894" s="600"/>
      <c r="AV894" s="600"/>
    </row>
    <row r="895" spans="5:48">
      <c r="E895" s="39"/>
      <c r="F895" s="39"/>
      <c r="G895" s="39"/>
      <c r="H895" s="39"/>
      <c r="I895" s="39"/>
      <c r="J895" s="39"/>
      <c r="K895" s="39"/>
      <c r="L895" s="39"/>
      <c r="M895" s="660"/>
      <c r="R895" s="600"/>
      <c r="S895" s="600"/>
      <c r="T895" s="600"/>
      <c r="U895" s="600"/>
      <c r="V895" s="600"/>
      <c r="W895" s="600"/>
      <c r="X895" s="600"/>
      <c r="Y895" s="600"/>
      <c r="Z895" s="600"/>
      <c r="AD895" s="600">
        <v>884</v>
      </c>
      <c r="AF895" s="600"/>
      <c r="AG895" s="600"/>
      <c r="AH895" s="600"/>
      <c r="AI895" s="600"/>
      <c r="AJ895" s="600"/>
      <c r="AK895" s="600"/>
      <c r="AL895" s="600"/>
      <c r="AM895" s="600"/>
      <c r="AO895" s="600"/>
      <c r="AP895" s="600"/>
      <c r="AQ895" s="600"/>
      <c r="AR895" s="600"/>
      <c r="AS895" s="600"/>
      <c r="AT895" s="600"/>
      <c r="AU895" s="600"/>
      <c r="AV895" s="600"/>
    </row>
    <row r="896" spans="5:48">
      <c r="E896" s="39"/>
      <c r="F896" s="39"/>
      <c r="G896" s="39"/>
      <c r="H896" s="39"/>
      <c r="I896" s="39"/>
      <c r="J896" s="39"/>
      <c r="K896" s="39"/>
      <c r="L896" s="39"/>
      <c r="M896" s="660"/>
      <c r="R896" s="600"/>
      <c r="S896" s="600"/>
      <c r="T896" s="600"/>
      <c r="U896" s="600"/>
      <c r="V896" s="600"/>
      <c r="W896" s="600"/>
      <c r="X896" s="600"/>
      <c r="Y896" s="600"/>
      <c r="Z896" s="600"/>
      <c r="AD896" s="600">
        <v>885</v>
      </c>
      <c r="AF896" s="600"/>
      <c r="AG896" s="600"/>
      <c r="AH896" s="600"/>
      <c r="AI896" s="600"/>
      <c r="AJ896" s="600"/>
      <c r="AK896" s="600"/>
      <c r="AL896" s="600"/>
      <c r="AM896" s="600"/>
      <c r="AO896" s="600"/>
      <c r="AP896" s="600"/>
      <c r="AQ896" s="600"/>
      <c r="AR896" s="600"/>
      <c r="AS896" s="600"/>
      <c r="AT896" s="600"/>
      <c r="AU896" s="600"/>
      <c r="AV896" s="600"/>
    </row>
    <row r="897" spans="5:48">
      <c r="E897" s="39"/>
      <c r="F897" s="39"/>
      <c r="G897" s="39"/>
      <c r="H897" s="39"/>
      <c r="I897" s="39"/>
      <c r="J897" s="39"/>
      <c r="K897" s="39"/>
      <c r="L897" s="39"/>
      <c r="M897" s="660"/>
      <c r="R897" s="600"/>
      <c r="S897" s="600"/>
      <c r="T897" s="600"/>
      <c r="U897" s="600"/>
      <c r="V897" s="600"/>
      <c r="W897" s="600"/>
      <c r="X897" s="600"/>
      <c r="Y897" s="600"/>
      <c r="Z897" s="600"/>
      <c r="AD897" s="600">
        <v>886</v>
      </c>
      <c r="AF897" s="600"/>
      <c r="AG897" s="600"/>
      <c r="AH897" s="600"/>
      <c r="AI897" s="600"/>
      <c r="AJ897" s="600"/>
      <c r="AK897" s="600"/>
      <c r="AL897" s="600"/>
      <c r="AM897" s="600"/>
      <c r="AO897" s="600"/>
      <c r="AP897" s="600"/>
      <c r="AQ897" s="600"/>
      <c r="AR897" s="600"/>
      <c r="AS897" s="600"/>
      <c r="AT897" s="600"/>
      <c r="AU897" s="600"/>
      <c r="AV897" s="600"/>
    </row>
    <row r="898" spans="5:48">
      <c r="E898" s="39"/>
      <c r="F898" s="39"/>
      <c r="G898" s="39"/>
      <c r="H898" s="39"/>
      <c r="I898" s="39"/>
      <c r="J898" s="39"/>
      <c r="K898" s="39"/>
      <c r="L898" s="39"/>
      <c r="M898" s="660"/>
      <c r="R898" s="600"/>
      <c r="S898" s="600"/>
      <c r="T898" s="600"/>
      <c r="U898" s="600"/>
      <c r="V898" s="600"/>
      <c r="W898" s="600"/>
      <c r="X898" s="600"/>
      <c r="Y898" s="600"/>
      <c r="Z898" s="600"/>
      <c r="AD898" s="600">
        <v>887</v>
      </c>
      <c r="AF898" s="600"/>
      <c r="AG898" s="600"/>
      <c r="AH898" s="600"/>
      <c r="AI898" s="600"/>
      <c r="AJ898" s="600"/>
      <c r="AK898" s="600"/>
      <c r="AL898" s="600"/>
      <c r="AM898" s="600"/>
      <c r="AO898" s="600"/>
      <c r="AP898" s="600"/>
      <c r="AQ898" s="600"/>
      <c r="AR898" s="600"/>
      <c r="AS898" s="600"/>
      <c r="AT898" s="600"/>
      <c r="AU898" s="600"/>
      <c r="AV898" s="600"/>
    </row>
    <row r="899" spans="5:48">
      <c r="E899" s="39"/>
      <c r="F899" s="39"/>
      <c r="G899" s="39"/>
      <c r="H899" s="39"/>
      <c r="I899" s="39"/>
      <c r="J899" s="39"/>
      <c r="K899" s="39"/>
      <c r="L899" s="39"/>
      <c r="M899" s="660"/>
      <c r="R899" s="600"/>
      <c r="S899" s="600"/>
      <c r="T899" s="600"/>
      <c r="U899" s="600"/>
      <c r="V899" s="600"/>
      <c r="W899" s="600"/>
      <c r="X899" s="600"/>
      <c r="Y899" s="600"/>
      <c r="Z899" s="600"/>
      <c r="AD899" s="600">
        <v>888</v>
      </c>
      <c r="AF899" s="600"/>
      <c r="AG899" s="600"/>
      <c r="AH899" s="600"/>
      <c r="AI899" s="600"/>
      <c r="AJ899" s="600"/>
      <c r="AK899" s="600"/>
      <c r="AL899" s="600"/>
      <c r="AM899" s="600"/>
      <c r="AO899" s="600"/>
      <c r="AP899" s="600"/>
      <c r="AQ899" s="600"/>
      <c r="AR899" s="600"/>
      <c r="AS899" s="600"/>
      <c r="AT899" s="600"/>
      <c r="AU899" s="600"/>
      <c r="AV899" s="600"/>
    </row>
    <row r="900" spans="5:48">
      <c r="E900" s="39"/>
      <c r="F900" s="39"/>
      <c r="G900" s="39"/>
      <c r="H900" s="39"/>
      <c r="I900" s="39"/>
      <c r="J900" s="39"/>
      <c r="K900" s="39"/>
      <c r="L900" s="39"/>
      <c r="M900" s="660"/>
      <c r="R900" s="600"/>
      <c r="S900" s="600"/>
      <c r="T900" s="600"/>
      <c r="U900" s="600"/>
      <c r="V900" s="600"/>
      <c r="W900" s="600"/>
      <c r="X900" s="600"/>
      <c r="Y900" s="600"/>
      <c r="Z900" s="600"/>
      <c r="AD900" s="600">
        <v>889</v>
      </c>
      <c r="AF900" s="600"/>
      <c r="AG900" s="600"/>
      <c r="AH900" s="600"/>
      <c r="AI900" s="600"/>
      <c r="AJ900" s="600"/>
      <c r="AK900" s="600"/>
      <c r="AL900" s="600"/>
      <c r="AM900" s="600"/>
      <c r="AO900" s="600"/>
      <c r="AP900" s="600"/>
      <c r="AQ900" s="600"/>
      <c r="AR900" s="600"/>
      <c r="AS900" s="600"/>
      <c r="AT900" s="600"/>
      <c r="AU900" s="600"/>
      <c r="AV900" s="600"/>
    </row>
    <row r="901" spans="5:48">
      <c r="E901" s="39"/>
      <c r="F901" s="39"/>
      <c r="G901" s="39"/>
      <c r="H901" s="39"/>
      <c r="I901" s="39"/>
      <c r="J901" s="39"/>
      <c r="K901" s="39"/>
      <c r="L901" s="39"/>
      <c r="M901" s="660"/>
      <c r="R901" s="600"/>
      <c r="S901" s="600"/>
      <c r="T901" s="600"/>
      <c r="U901" s="600"/>
      <c r="V901" s="600"/>
      <c r="W901" s="600"/>
      <c r="X901" s="600"/>
      <c r="Y901" s="600"/>
      <c r="Z901" s="600"/>
      <c r="AD901" s="600">
        <v>890</v>
      </c>
      <c r="AF901" s="600"/>
      <c r="AG901" s="600"/>
      <c r="AH901" s="600"/>
      <c r="AI901" s="600"/>
      <c r="AJ901" s="600"/>
      <c r="AK901" s="600"/>
      <c r="AL901" s="600"/>
      <c r="AM901" s="600"/>
      <c r="AO901" s="600"/>
      <c r="AP901" s="600"/>
      <c r="AQ901" s="600"/>
      <c r="AR901" s="600"/>
      <c r="AS901" s="600"/>
      <c r="AT901" s="600"/>
      <c r="AU901" s="600"/>
      <c r="AV901" s="600"/>
    </row>
    <row r="902" spans="5:48">
      <c r="E902" s="39"/>
      <c r="F902" s="39"/>
      <c r="G902" s="39"/>
      <c r="H902" s="39"/>
      <c r="I902" s="39"/>
      <c r="J902" s="39"/>
      <c r="K902" s="39"/>
      <c r="L902" s="39"/>
      <c r="M902" s="660"/>
      <c r="R902" s="600"/>
      <c r="S902" s="600"/>
      <c r="T902" s="600"/>
      <c r="U902" s="600"/>
      <c r="V902" s="600"/>
      <c r="W902" s="600"/>
      <c r="X902" s="600"/>
      <c r="Y902" s="600"/>
      <c r="Z902" s="600"/>
      <c r="AD902" s="600">
        <v>891</v>
      </c>
      <c r="AF902" s="600"/>
      <c r="AG902" s="600"/>
      <c r="AH902" s="600"/>
      <c r="AI902" s="600"/>
      <c r="AJ902" s="600"/>
      <c r="AK902" s="600"/>
      <c r="AL902" s="600"/>
      <c r="AM902" s="600"/>
      <c r="AO902" s="600"/>
      <c r="AP902" s="600"/>
      <c r="AQ902" s="600"/>
      <c r="AR902" s="600"/>
      <c r="AS902" s="600"/>
      <c r="AT902" s="600"/>
      <c r="AU902" s="600"/>
      <c r="AV902" s="600"/>
    </row>
    <row r="903" spans="5:48">
      <c r="E903" s="39"/>
      <c r="F903" s="39"/>
      <c r="G903" s="39"/>
      <c r="H903" s="39"/>
      <c r="I903" s="39"/>
      <c r="J903" s="39"/>
      <c r="K903" s="39"/>
      <c r="L903" s="39"/>
      <c r="M903" s="660"/>
      <c r="R903" s="600"/>
      <c r="S903" s="600"/>
      <c r="T903" s="600"/>
      <c r="U903" s="600"/>
      <c r="V903" s="600"/>
      <c r="W903" s="600"/>
      <c r="X903" s="600"/>
      <c r="Y903" s="600"/>
      <c r="Z903" s="600"/>
      <c r="AD903" s="600">
        <v>892</v>
      </c>
      <c r="AF903" s="600"/>
      <c r="AG903" s="600"/>
      <c r="AH903" s="600"/>
      <c r="AI903" s="600"/>
      <c r="AJ903" s="600"/>
      <c r="AK903" s="600"/>
      <c r="AL903" s="600"/>
      <c r="AM903" s="600"/>
      <c r="AO903" s="600"/>
      <c r="AP903" s="600"/>
      <c r="AQ903" s="600"/>
      <c r="AR903" s="600"/>
      <c r="AS903" s="600"/>
      <c r="AT903" s="600"/>
      <c r="AU903" s="600"/>
      <c r="AV903" s="600"/>
    </row>
    <row r="904" spans="5:48">
      <c r="E904" s="39"/>
      <c r="F904" s="39"/>
      <c r="G904" s="39"/>
      <c r="H904" s="39"/>
      <c r="I904" s="39"/>
      <c r="J904" s="39"/>
      <c r="K904" s="39"/>
      <c r="L904" s="39"/>
      <c r="M904" s="660"/>
      <c r="R904" s="600"/>
      <c r="S904" s="600"/>
      <c r="T904" s="600"/>
      <c r="U904" s="600"/>
      <c r="V904" s="600"/>
      <c r="W904" s="600"/>
      <c r="X904" s="600"/>
      <c r="Y904" s="600"/>
      <c r="Z904" s="600"/>
      <c r="AD904" s="600">
        <v>893</v>
      </c>
      <c r="AF904" s="600"/>
      <c r="AG904" s="600"/>
      <c r="AH904" s="600"/>
      <c r="AI904" s="600"/>
      <c r="AJ904" s="600"/>
      <c r="AK904" s="600"/>
      <c r="AL904" s="600"/>
      <c r="AM904" s="600"/>
      <c r="AO904" s="600"/>
      <c r="AP904" s="600"/>
      <c r="AQ904" s="600"/>
      <c r="AR904" s="600"/>
      <c r="AS904" s="600"/>
      <c r="AT904" s="600"/>
      <c r="AU904" s="600"/>
      <c r="AV904" s="600"/>
    </row>
    <row r="905" spans="5:48">
      <c r="E905" s="39"/>
      <c r="F905" s="39"/>
      <c r="G905" s="39"/>
      <c r="H905" s="39"/>
      <c r="I905" s="39"/>
      <c r="J905" s="39"/>
      <c r="K905" s="39"/>
      <c r="L905" s="39"/>
      <c r="M905" s="660"/>
      <c r="R905" s="600"/>
      <c r="S905" s="600"/>
      <c r="T905" s="600"/>
      <c r="U905" s="600"/>
      <c r="V905" s="600"/>
      <c r="W905" s="600"/>
      <c r="X905" s="600"/>
      <c r="Y905" s="600"/>
      <c r="Z905" s="600"/>
      <c r="AD905" s="600">
        <v>894</v>
      </c>
      <c r="AF905" s="600"/>
      <c r="AG905" s="600"/>
      <c r="AH905" s="600"/>
      <c r="AI905" s="600"/>
      <c r="AJ905" s="600"/>
      <c r="AK905" s="600"/>
      <c r="AL905" s="600"/>
      <c r="AM905" s="600"/>
      <c r="AO905" s="600"/>
      <c r="AP905" s="600"/>
      <c r="AQ905" s="600"/>
      <c r="AR905" s="600"/>
      <c r="AS905" s="600"/>
      <c r="AT905" s="600"/>
      <c r="AU905" s="600"/>
      <c r="AV905" s="600"/>
    </row>
    <row r="906" spans="5:48">
      <c r="E906" s="39"/>
      <c r="F906" s="39"/>
      <c r="G906" s="39"/>
      <c r="H906" s="39"/>
      <c r="I906" s="39"/>
      <c r="J906" s="39"/>
      <c r="K906" s="39"/>
      <c r="L906" s="39"/>
      <c r="M906" s="660"/>
      <c r="R906" s="600"/>
      <c r="S906" s="600"/>
      <c r="T906" s="600"/>
      <c r="U906" s="600"/>
      <c r="V906" s="600"/>
      <c r="W906" s="600"/>
      <c r="X906" s="600"/>
      <c r="Y906" s="600"/>
      <c r="Z906" s="600"/>
      <c r="AD906" s="600">
        <v>895</v>
      </c>
      <c r="AF906" s="600"/>
      <c r="AG906" s="600"/>
      <c r="AH906" s="600"/>
      <c r="AI906" s="600"/>
      <c r="AJ906" s="600"/>
      <c r="AK906" s="600"/>
      <c r="AL906" s="600"/>
      <c r="AM906" s="600"/>
      <c r="AO906" s="600"/>
      <c r="AP906" s="600"/>
      <c r="AQ906" s="600"/>
      <c r="AR906" s="600"/>
      <c r="AS906" s="600"/>
      <c r="AT906" s="600"/>
      <c r="AU906" s="600"/>
      <c r="AV906" s="600"/>
    </row>
    <row r="907" spans="5:48">
      <c r="E907" s="39"/>
      <c r="F907" s="39"/>
      <c r="G907" s="39"/>
      <c r="H907" s="39"/>
      <c r="I907" s="39"/>
      <c r="J907" s="39"/>
      <c r="K907" s="39"/>
      <c r="L907" s="39"/>
      <c r="M907" s="660"/>
      <c r="R907" s="600"/>
      <c r="S907" s="600"/>
      <c r="T907" s="600"/>
      <c r="U907" s="600"/>
      <c r="V907" s="600"/>
      <c r="W907" s="600"/>
      <c r="X907" s="600"/>
      <c r="Y907" s="600"/>
      <c r="Z907" s="600"/>
      <c r="AD907" s="600">
        <v>896</v>
      </c>
      <c r="AF907" s="600"/>
      <c r="AG907" s="600"/>
      <c r="AH907" s="600"/>
      <c r="AI907" s="600"/>
      <c r="AJ907" s="600"/>
      <c r="AK907" s="600"/>
      <c r="AL907" s="600"/>
      <c r="AM907" s="600"/>
      <c r="AO907" s="600"/>
      <c r="AP907" s="600"/>
      <c r="AQ907" s="600"/>
      <c r="AR907" s="600"/>
      <c r="AS907" s="600"/>
      <c r="AT907" s="600"/>
      <c r="AU907" s="600"/>
      <c r="AV907" s="600"/>
    </row>
    <row r="908" spans="5:48">
      <c r="E908" s="39"/>
      <c r="F908" s="39"/>
      <c r="G908" s="39"/>
      <c r="H908" s="39"/>
      <c r="I908" s="39"/>
      <c r="J908" s="39"/>
      <c r="K908" s="39"/>
      <c r="L908" s="39"/>
      <c r="M908" s="660"/>
      <c r="R908" s="600"/>
      <c r="S908" s="600"/>
      <c r="T908" s="600"/>
      <c r="U908" s="600"/>
      <c r="V908" s="600"/>
      <c r="W908" s="600"/>
      <c r="X908" s="600"/>
      <c r="Y908" s="600"/>
      <c r="Z908" s="600"/>
      <c r="AD908" s="600">
        <v>897</v>
      </c>
      <c r="AF908" s="600"/>
      <c r="AG908" s="600"/>
      <c r="AH908" s="600"/>
      <c r="AI908" s="600"/>
      <c r="AJ908" s="600"/>
      <c r="AK908" s="600"/>
      <c r="AL908" s="600"/>
      <c r="AM908" s="600"/>
      <c r="AO908" s="600"/>
      <c r="AP908" s="600"/>
      <c r="AQ908" s="600"/>
      <c r="AR908" s="600"/>
      <c r="AS908" s="600"/>
      <c r="AT908" s="600"/>
      <c r="AU908" s="600"/>
      <c r="AV908" s="600"/>
    </row>
    <row r="909" spans="5:48">
      <c r="E909" s="39"/>
      <c r="F909" s="39"/>
      <c r="G909" s="39"/>
      <c r="H909" s="39"/>
      <c r="I909" s="39"/>
      <c r="J909" s="39"/>
      <c r="K909" s="39"/>
      <c r="L909" s="39"/>
      <c r="M909" s="660"/>
      <c r="R909" s="600"/>
      <c r="S909" s="600"/>
      <c r="T909" s="600"/>
      <c r="U909" s="600"/>
      <c r="V909" s="600"/>
      <c r="W909" s="600"/>
      <c r="X909" s="600"/>
      <c r="Y909" s="600"/>
      <c r="Z909" s="600"/>
      <c r="AD909" s="600">
        <v>898</v>
      </c>
      <c r="AF909" s="600"/>
      <c r="AG909" s="600"/>
      <c r="AH909" s="600"/>
      <c r="AI909" s="600"/>
      <c r="AJ909" s="600"/>
      <c r="AK909" s="600"/>
      <c r="AL909" s="600"/>
      <c r="AM909" s="600"/>
      <c r="AO909" s="600"/>
      <c r="AP909" s="600"/>
      <c r="AQ909" s="600"/>
      <c r="AR909" s="600"/>
      <c r="AS909" s="600"/>
      <c r="AT909" s="600"/>
      <c r="AU909" s="600"/>
      <c r="AV909" s="600"/>
    </row>
    <row r="910" spans="5:48">
      <c r="E910" s="39"/>
      <c r="F910" s="39"/>
      <c r="G910" s="39"/>
      <c r="H910" s="39"/>
      <c r="I910" s="39"/>
      <c r="J910" s="39"/>
      <c r="K910" s="39"/>
      <c r="L910" s="39"/>
      <c r="M910" s="660"/>
      <c r="R910" s="600"/>
      <c r="S910" s="600"/>
      <c r="T910" s="600"/>
      <c r="U910" s="600"/>
      <c r="V910" s="600"/>
      <c r="W910" s="600"/>
      <c r="X910" s="600"/>
      <c r="Y910" s="600"/>
      <c r="Z910" s="600"/>
      <c r="AD910" s="600">
        <v>899</v>
      </c>
      <c r="AF910" s="600"/>
      <c r="AG910" s="600"/>
      <c r="AH910" s="600"/>
      <c r="AI910" s="600"/>
      <c r="AJ910" s="600"/>
      <c r="AK910" s="600"/>
      <c r="AL910" s="600"/>
      <c r="AM910" s="600"/>
      <c r="AO910" s="600"/>
      <c r="AP910" s="600"/>
      <c r="AQ910" s="600"/>
      <c r="AR910" s="600"/>
      <c r="AS910" s="600"/>
      <c r="AT910" s="600"/>
      <c r="AU910" s="600"/>
      <c r="AV910" s="600"/>
    </row>
    <row r="911" spans="5:48">
      <c r="E911" s="39"/>
      <c r="F911" s="39"/>
      <c r="G911" s="39"/>
      <c r="H911" s="39"/>
      <c r="I911" s="39"/>
      <c r="J911" s="39"/>
      <c r="K911" s="39"/>
      <c r="L911" s="39"/>
      <c r="M911" s="660"/>
      <c r="R911" s="600"/>
      <c r="S911" s="600"/>
      <c r="T911" s="600"/>
      <c r="U911" s="600"/>
      <c r="V911" s="600"/>
      <c r="W911" s="600"/>
      <c r="X911" s="600"/>
      <c r="Y911" s="600"/>
      <c r="Z911" s="600"/>
      <c r="AD911" s="600">
        <v>900</v>
      </c>
      <c r="AF911" s="600"/>
      <c r="AG911" s="600"/>
      <c r="AH911" s="600"/>
      <c r="AI911" s="600"/>
      <c r="AJ911" s="600"/>
      <c r="AK911" s="600"/>
      <c r="AL911" s="600"/>
      <c r="AM911" s="600"/>
      <c r="AO911" s="600"/>
      <c r="AP911" s="600"/>
      <c r="AQ911" s="600"/>
      <c r="AR911" s="600"/>
      <c r="AS911" s="600"/>
      <c r="AT911" s="600"/>
      <c r="AU911" s="600"/>
      <c r="AV911" s="600"/>
    </row>
    <row r="912" spans="5:48">
      <c r="E912" s="39"/>
      <c r="F912" s="39"/>
      <c r="G912" s="39"/>
      <c r="H912" s="39"/>
      <c r="I912" s="39"/>
      <c r="J912" s="39"/>
      <c r="K912" s="39"/>
      <c r="L912" s="39"/>
      <c r="M912" s="660"/>
      <c r="R912" s="600"/>
      <c r="S912" s="600"/>
      <c r="T912" s="600"/>
      <c r="U912" s="600"/>
      <c r="V912" s="600"/>
      <c r="W912" s="600"/>
      <c r="X912" s="600"/>
      <c r="Y912" s="600"/>
      <c r="Z912" s="600"/>
      <c r="AD912" s="600">
        <v>901</v>
      </c>
      <c r="AF912" s="600"/>
      <c r="AG912" s="600"/>
      <c r="AH912" s="600"/>
      <c r="AI912" s="600"/>
      <c r="AJ912" s="600"/>
      <c r="AK912" s="600"/>
      <c r="AL912" s="600"/>
      <c r="AM912" s="600"/>
      <c r="AO912" s="600"/>
      <c r="AP912" s="600"/>
      <c r="AQ912" s="600"/>
      <c r="AR912" s="600"/>
      <c r="AS912" s="600"/>
      <c r="AT912" s="600"/>
      <c r="AU912" s="600"/>
      <c r="AV912" s="600"/>
    </row>
    <row r="913" spans="5:48">
      <c r="E913" s="39"/>
      <c r="F913" s="39"/>
      <c r="G913" s="39"/>
      <c r="H913" s="39"/>
      <c r="I913" s="39"/>
      <c r="J913" s="39"/>
      <c r="K913" s="39"/>
      <c r="L913" s="39"/>
      <c r="M913" s="660"/>
      <c r="R913" s="600"/>
      <c r="S913" s="600"/>
      <c r="T913" s="600"/>
      <c r="U913" s="600"/>
      <c r="V913" s="600"/>
      <c r="W913" s="600"/>
      <c r="X913" s="600"/>
      <c r="Y913" s="600"/>
      <c r="Z913" s="600"/>
      <c r="AD913" s="600">
        <v>902</v>
      </c>
      <c r="AF913" s="600"/>
      <c r="AG913" s="600"/>
      <c r="AH913" s="600"/>
      <c r="AI913" s="600"/>
      <c r="AJ913" s="600"/>
      <c r="AK913" s="600"/>
      <c r="AL913" s="600"/>
      <c r="AM913" s="600"/>
      <c r="AO913" s="600"/>
      <c r="AP913" s="600"/>
      <c r="AQ913" s="600"/>
      <c r="AR913" s="600"/>
      <c r="AS913" s="600"/>
      <c r="AT913" s="600"/>
      <c r="AU913" s="600"/>
      <c r="AV913" s="600"/>
    </row>
    <row r="914" spans="5:48">
      <c r="E914" s="39"/>
      <c r="F914" s="39"/>
      <c r="G914" s="39"/>
      <c r="H914" s="39"/>
      <c r="I914" s="39"/>
      <c r="J914" s="39"/>
      <c r="K914" s="39"/>
      <c r="L914" s="39"/>
      <c r="M914" s="660"/>
      <c r="R914" s="600"/>
      <c r="S914" s="600"/>
      <c r="T914" s="600"/>
      <c r="U914" s="600"/>
      <c r="V914" s="600"/>
      <c r="W914" s="600"/>
      <c r="X914" s="600"/>
      <c r="Y914" s="600"/>
      <c r="Z914" s="600"/>
      <c r="AD914" s="600">
        <v>903</v>
      </c>
      <c r="AF914" s="600"/>
      <c r="AG914" s="600"/>
      <c r="AH914" s="600"/>
      <c r="AI914" s="600"/>
      <c r="AJ914" s="600"/>
      <c r="AK914" s="600"/>
      <c r="AL914" s="600"/>
      <c r="AM914" s="600"/>
      <c r="AO914" s="600"/>
      <c r="AP914" s="600"/>
      <c r="AQ914" s="600"/>
      <c r="AR914" s="600"/>
      <c r="AS914" s="600"/>
      <c r="AT914" s="600"/>
      <c r="AU914" s="600"/>
      <c r="AV914" s="600"/>
    </row>
    <row r="915" spans="5:48">
      <c r="E915" s="39"/>
      <c r="F915" s="39"/>
      <c r="G915" s="39"/>
      <c r="H915" s="39"/>
      <c r="I915" s="39"/>
      <c r="J915" s="39"/>
      <c r="K915" s="39"/>
      <c r="L915" s="39"/>
      <c r="M915" s="660"/>
      <c r="R915" s="600"/>
      <c r="S915" s="600"/>
      <c r="T915" s="600"/>
      <c r="U915" s="600"/>
      <c r="V915" s="600"/>
      <c r="W915" s="600"/>
      <c r="X915" s="600"/>
      <c r="Y915" s="600"/>
      <c r="Z915" s="600"/>
      <c r="AD915" s="600">
        <v>904</v>
      </c>
      <c r="AF915" s="600"/>
      <c r="AG915" s="600"/>
      <c r="AH915" s="600"/>
      <c r="AI915" s="600"/>
      <c r="AJ915" s="600"/>
      <c r="AK915" s="600"/>
      <c r="AL915" s="600"/>
      <c r="AM915" s="600"/>
      <c r="AO915" s="600"/>
      <c r="AP915" s="600"/>
      <c r="AQ915" s="600"/>
      <c r="AR915" s="600"/>
      <c r="AS915" s="600"/>
      <c r="AT915" s="600"/>
      <c r="AU915" s="600"/>
      <c r="AV915" s="600"/>
    </row>
    <row r="916" spans="5:48">
      <c r="E916" s="39"/>
      <c r="F916" s="39"/>
      <c r="G916" s="39"/>
      <c r="H916" s="39"/>
      <c r="I916" s="39"/>
      <c r="J916" s="39"/>
      <c r="K916" s="39"/>
      <c r="L916" s="39"/>
      <c r="M916" s="660"/>
      <c r="R916" s="600"/>
      <c r="S916" s="600"/>
      <c r="T916" s="600"/>
      <c r="U916" s="600"/>
      <c r="V916" s="600"/>
      <c r="W916" s="600"/>
      <c r="X916" s="600"/>
      <c r="Y916" s="600"/>
      <c r="Z916" s="600"/>
      <c r="AD916" s="600">
        <v>905</v>
      </c>
      <c r="AF916" s="600"/>
      <c r="AG916" s="600"/>
      <c r="AH916" s="600"/>
      <c r="AI916" s="600"/>
      <c r="AJ916" s="600"/>
      <c r="AK916" s="600"/>
      <c r="AL916" s="600"/>
      <c r="AM916" s="600"/>
      <c r="AO916" s="600"/>
      <c r="AP916" s="600"/>
      <c r="AQ916" s="600"/>
      <c r="AR916" s="600"/>
      <c r="AS916" s="600"/>
      <c r="AT916" s="600"/>
      <c r="AU916" s="600"/>
      <c r="AV916" s="600"/>
    </row>
    <row r="917" spans="5:48">
      <c r="E917" s="39"/>
      <c r="F917" s="39"/>
      <c r="G917" s="39"/>
      <c r="H917" s="39"/>
      <c r="I917" s="39"/>
      <c r="J917" s="39"/>
      <c r="K917" s="39"/>
      <c r="L917" s="39"/>
      <c r="M917" s="660"/>
      <c r="R917" s="600"/>
      <c r="S917" s="600"/>
      <c r="T917" s="600"/>
      <c r="U917" s="600"/>
      <c r="V917" s="600"/>
      <c r="W917" s="600"/>
      <c r="X917" s="600"/>
      <c r="Y917" s="600"/>
      <c r="Z917" s="600"/>
      <c r="AD917" s="600">
        <v>906</v>
      </c>
      <c r="AF917" s="600"/>
      <c r="AG917" s="600"/>
      <c r="AH917" s="600"/>
      <c r="AI917" s="600"/>
      <c r="AJ917" s="600"/>
      <c r="AK917" s="600"/>
      <c r="AL917" s="600"/>
      <c r="AM917" s="600"/>
      <c r="AO917" s="600"/>
      <c r="AP917" s="600"/>
      <c r="AQ917" s="600"/>
      <c r="AR917" s="600"/>
      <c r="AS917" s="600"/>
      <c r="AT917" s="600"/>
      <c r="AU917" s="600"/>
      <c r="AV917" s="600"/>
    </row>
    <row r="918" spans="5:48">
      <c r="E918" s="39"/>
      <c r="F918" s="39"/>
      <c r="G918" s="39"/>
      <c r="H918" s="39"/>
      <c r="I918" s="39"/>
      <c r="J918" s="39"/>
      <c r="K918" s="39"/>
      <c r="L918" s="39"/>
      <c r="M918" s="660"/>
      <c r="R918" s="600"/>
      <c r="S918" s="600"/>
      <c r="T918" s="600"/>
      <c r="U918" s="600"/>
      <c r="V918" s="600"/>
      <c r="W918" s="600"/>
      <c r="X918" s="600"/>
      <c r="Y918" s="600"/>
      <c r="Z918" s="600"/>
      <c r="AD918" s="600">
        <v>907</v>
      </c>
      <c r="AF918" s="600"/>
      <c r="AG918" s="600"/>
      <c r="AH918" s="600"/>
      <c r="AI918" s="600"/>
      <c r="AJ918" s="600"/>
      <c r="AK918" s="600"/>
      <c r="AL918" s="600"/>
      <c r="AM918" s="600"/>
      <c r="AO918" s="600"/>
      <c r="AP918" s="600"/>
      <c r="AQ918" s="600"/>
      <c r="AR918" s="600"/>
      <c r="AS918" s="600"/>
      <c r="AT918" s="600"/>
      <c r="AU918" s="600"/>
      <c r="AV918" s="600"/>
    </row>
    <row r="919" spans="5:48">
      <c r="E919" s="39"/>
      <c r="F919" s="39"/>
      <c r="G919" s="39"/>
      <c r="H919" s="39"/>
      <c r="I919" s="39"/>
      <c r="J919" s="39"/>
      <c r="K919" s="39"/>
      <c r="L919" s="39"/>
      <c r="M919" s="660"/>
      <c r="R919" s="600"/>
      <c r="S919" s="600"/>
      <c r="T919" s="600"/>
      <c r="U919" s="600"/>
      <c r="V919" s="600"/>
      <c r="W919" s="600"/>
      <c r="X919" s="600"/>
      <c r="Y919" s="600"/>
      <c r="Z919" s="600"/>
      <c r="AD919" s="600">
        <v>908</v>
      </c>
      <c r="AF919" s="600"/>
      <c r="AG919" s="600"/>
      <c r="AH919" s="600"/>
      <c r="AI919" s="600"/>
      <c r="AJ919" s="600"/>
      <c r="AK919" s="600"/>
      <c r="AL919" s="600"/>
      <c r="AM919" s="600"/>
      <c r="AO919" s="600"/>
      <c r="AP919" s="600"/>
      <c r="AQ919" s="600"/>
      <c r="AR919" s="600"/>
      <c r="AS919" s="600"/>
      <c r="AT919" s="600"/>
      <c r="AU919" s="600"/>
      <c r="AV919" s="600"/>
    </row>
    <row r="920" spans="5:48">
      <c r="E920" s="39"/>
      <c r="F920" s="39"/>
      <c r="G920" s="39"/>
      <c r="H920" s="39"/>
      <c r="I920" s="39"/>
      <c r="J920" s="39"/>
      <c r="K920" s="39"/>
      <c r="L920" s="39"/>
      <c r="M920" s="660"/>
      <c r="R920" s="600"/>
      <c r="S920" s="600"/>
      <c r="T920" s="600"/>
      <c r="U920" s="600"/>
      <c r="V920" s="600"/>
      <c r="W920" s="600"/>
      <c r="X920" s="600"/>
      <c r="Y920" s="600"/>
      <c r="Z920" s="600"/>
      <c r="AD920" s="600">
        <v>909</v>
      </c>
      <c r="AF920" s="600"/>
      <c r="AG920" s="600"/>
      <c r="AH920" s="600"/>
      <c r="AI920" s="600"/>
      <c r="AJ920" s="600"/>
      <c r="AK920" s="600"/>
      <c r="AL920" s="600"/>
      <c r="AM920" s="600"/>
      <c r="AO920" s="600"/>
      <c r="AP920" s="600"/>
      <c r="AQ920" s="600"/>
      <c r="AR920" s="600"/>
      <c r="AS920" s="600"/>
      <c r="AT920" s="600"/>
      <c r="AU920" s="600"/>
      <c r="AV920" s="600"/>
    </row>
    <row r="921" spans="5:48">
      <c r="E921" s="39"/>
      <c r="F921" s="39"/>
      <c r="G921" s="39"/>
      <c r="H921" s="39"/>
      <c r="I921" s="39"/>
      <c r="J921" s="39"/>
      <c r="K921" s="39"/>
      <c r="L921" s="39"/>
      <c r="M921" s="660"/>
      <c r="R921" s="600"/>
      <c r="S921" s="600"/>
      <c r="T921" s="600"/>
      <c r="U921" s="600"/>
      <c r="V921" s="600"/>
      <c r="W921" s="600"/>
      <c r="X921" s="600"/>
      <c r="Y921" s="600"/>
      <c r="Z921" s="600"/>
      <c r="AD921" s="600">
        <v>910</v>
      </c>
      <c r="AF921" s="600"/>
      <c r="AG921" s="600"/>
      <c r="AH921" s="600"/>
      <c r="AI921" s="600"/>
      <c r="AJ921" s="600"/>
      <c r="AK921" s="600"/>
      <c r="AL921" s="600"/>
      <c r="AM921" s="600"/>
      <c r="AO921" s="600"/>
      <c r="AP921" s="600"/>
      <c r="AQ921" s="600"/>
      <c r="AR921" s="600"/>
      <c r="AS921" s="600"/>
      <c r="AT921" s="600"/>
      <c r="AU921" s="600"/>
      <c r="AV921" s="600"/>
    </row>
    <row r="922" spans="5:48">
      <c r="E922" s="39"/>
      <c r="F922" s="39"/>
      <c r="G922" s="39"/>
      <c r="H922" s="39"/>
      <c r="I922" s="39"/>
      <c r="J922" s="39"/>
      <c r="K922" s="39"/>
      <c r="L922" s="39"/>
      <c r="M922" s="660"/>
      <c r="R922" s="600"/>
      <c r="S922" s="600"/>
      <c r="T922" s="600"/>
      <c r="U922" s="600"/>
      <c r="V922" s="600"/>
      <c r="W922" s="600"/>
      <c r="X922" s="600"/>
      <c r="Y922" s="600"/>
      <c r="Z922" s="600"/>
      <c r="AD922" s="600">
        <v>911</v>
      </c>
      <c r="AF922" s="600"/>
      <c r="AG922" s="600"/>
      <c r="AH922" s="600"/>
      <c r="AI922" s="600"/>
      <c r="AJ922" s="600"/>
      <c r="AK922" s="600"/>
      <c r="AL922" s="600"/>
      <c r="AM922" s="600"/>
      <c r="AO922" s="600"/>
      <c r="AP922" s="600"/>
      <c r="AQ922" s="600"/>
      <c r="AR922" s="600"/>
      <c r="AS922" s="600"/>
      <c r="AT922" s="600"/>
      <c r="AU922" s="600"/>
      <c r="AV922" s="600"/>
    </row>
    <row r="923" spans="5:48">
      <c r="E923" s="39"/>
      <c r="F923" s="39"/>
      <c r="G923" s="39"/>
      <c r="H923" s="39"/>
      <c r="I923" s="39"/>
      <c r="J923" s="39"/>
      <c r="K923" s="39"/>
      <c r="L923" s="39"/>
      <c r="M923" s="660"/>
      <c r="R923" s="600"/>
      <c r="S923" s="600"/>
      <c r="T923" s="600"/>
      <c r="U923" s="600"/>
      <c r="V923" s="600"/>
      <c r="W923" s="600"/>
      <c r="X923" s="600"/>
      <c r="Y923" s="600"/>
      <c r="Z923" s="600"/>
      <c r="AD923" s="600">
        <v>912</v>
      </c>
      <c r="AF923" s="600"/>
      <c r="AG923" s="600"/>
      <c r="AH923" s="600"/>
      <c r="AI923" s="600"/>
      <c r="AJ923" s="600"/>
      <c r="AK923" s="600"/>
      <c r="AL923" s="600"/>
      <c r="AM923" s="600"/>
      <c r="AO923" s="600"/>
      <c r="AP923" s="600"/>
      <c r="AQ923" s="600"/>
      <c r="AR923" s="600"/>
      <c r="AS923" s="600"/>
      <c r="AT923" s="600"/>
      <c r="AU923" s="600"/>
      <c r="AV923" s="600"/>
    </row>
    <row r="924" spans="5:48">
      <c r="E924" s="39"/>
      <c r="F924" s="39"/>
      <c r="G924" s="39"/>
      <c r="H924" s="39"/>
      <c r="I924" s="39"/>
      <c r="J924" s="39"/>
      <c r="K924" s="39"/>
      <c r="L924" s="39"/>
      <c r="M924" s="660"/>
      <c r="R924" s="600"/>
      <c r="S924" s="600"/>
      <c r="T924" s="600"/>
      <c r="U924" s="600"/>
      <c r="V924" s="600"/>
      <c r="W924" s="600"/>
      <c r="X924" s="600"/>
      <c r="Y924" s="600"/>
      <c r="Z924" s="600"/>
      <c r="AD924" s="600">
        <v>913</v>
      </c>
      <c r="AF924" s="600"/>
      <c r="AG924" s="600"/>
      <c r="AH924" s="600"/>
      <c r="AI924" s="600"/>
      <c r="AJ924" s="600"/>
      <c r="AK924" s="600"/>
      <c r="AL924" s="600"/>
      <c r="AM924" s="600"/>
      <c r="AO924" s="600"/>
      <c r="AP924" s="600"/>
      <c r="AQ924" s="600"/>
      <c r="AR924" s="600"/>
      <c r="AS924" s="600"/>
      <c r="AT924" s="600"/>
      <c r="AU924" s="600"/>
      <c r="AV924" s="600"/>
    </row>
    <row r="925" spans="5:48">
      <c r="E925" s="39"/>
      <c r="F925" s="39"/>
      <c r="G925" s="39"/>
      <c r="H925" s="39"/>
      <c r="I925" s="39"/>
      <c r="J925" s="39"/>
      <c r="K925" s="39"/>
      <c r="L925" s="39"/>
      <c r="M925" s="660"/>
      <c r="R925" s="600"/>
      <c r="S925" s="600"/>
      <c r="T925" s="600"/>
      <c r="U925" s="600"/>
      <c r="V925" s="600"/>
      <c r="W925" s="600"/>
      <c r="X925" s="600"/>
      <c r="Y925" s="600"/>
      <c r="Z925" s="600"/>
      <c r="AD925" s="600">
        <v>914</v>
      </c>
      <c r="AF925" s="600"/>
      <c r="AG925" s="600"/>
      <c r="AH925" s="600"/>
      <c r="AI925" s="600"/>
      <c r="AJ925" s="600"/>
      <c r="AK925" s="600"/>
      <c r="AL925" s="600"/>
      <c r="AM925" s="600"/>
      <c r="AO925" s="600"/>
      <c r="AP925" s="600"/>
      <c r="AQ925" s="600"/>
      <c r="AR925" s="600"/>
      <c r="AS925" s="600"/>
      <c r="AT925" s="600"/>
      <c r="AU925" s="600"/>
      <c r="AV925" s="600"/>
    </row>
    <row r="926" spans="5:48">
      <c r="E926" s="39"/>
      <c r="F926" s="39"/>
      <c r="G926" s="39"/>
      <c r="H926" s="39"/>
      <c r="I926" s="39"/>
      <c r="J926" s="39"/>
      <c r="K926" s="39"/>
      <c r="L926" s="39"/>
      <c r="M926" s="660"/>
      <c r="R926" s="600"/>
      <c r="S926" s="600"/>
      <c r="T926" s="600"/>
      <c r="U926" s="600"/>
      <c r="V926" s="600"/>
      <c r="W926" s="600"/>
      <c r="X926" s="600"/>
      <c r="Y926" s="600"/>
      <c r="Z926" s="600"/>
      <c r="AD926" s="600">
        <v>915</v>
      </c>
      <c r="AF926" s="600"/>
      <c r="AG926" s="600"/>
      <c r="AH926" s="600"/>
      <c r="AI926" s="600"/>
      <c r="AJ926" s="600"/>
      <c r="AK926" s="600"/>
      <c r="AL926" s="600"/>
      <c r="AM926" s="600"/>
      <c r="AO926" s="600"/>
      <c r="AP926" s="600"/>
      <c r="AQ926" s="600"/>
      <c r="AR926" s="600"/>
      <c r="AS926" s="600"/>
      <c r="AT926" s="600"/>
      <c r="AU926" s="600"/>
      <c r="AV926" s="600"/>
    </row>
    <row r="927" spans="5:48">
      <c r="E927" s="39"/>
      <c r="F927" s="39"/>
      <c r="G927" s="39"/>
      <c r="H927" s="39"/>
      <c r="I927" s="39"/>
      <c r="J927" s="39"/>
      <c r="K927" s="39"/>
      <c r="L927" s="39"/>
      <c r="M927" s="660"/>
      <c r="R927" s="600"/>
      <c r="S927" s="600"/>
      <c r="T927" s="600"/>
      <c r="U927" s="600"/>
      <c r="V927" s="600"/>
      <c r="W927" s="600"/>
      <c r="X927" s="600"/>
      <c r="Y927" s="600"/>
      <c r="Z927" s="600"/>
      <c r="AD927" s="600">
        <v>916</v>
      </c>
      <c r="AF927" s="600"/>
      <c r="AG927" s="600"/>
      <c r="AH927" s="600"/>
      <c r="AI927" s="600"/>
      <c r="AJ927" s="600"/>
      <c r="AK927" s="600"/>
      <c r="AL927" s="600"/>
      <c r="AM927" s="600"/>
      <c r="AO927" s="600"/>
      <c r="AP927" s="600"/>
      <c r="AQ927" s="600"/>
      <c r="AR927" s="600"/>
      <c r="AS927" s="600"/>
      <c r="AT927" s="600"/>
      <c r="AU927" s="600"/>
      <c r="AV927" s="600"/>
    </row>
    <row r="928" spans="5:48">
      <c r="E928" s="39"/>
      <c r="F928" s="39"/>
      <c r="G928" s="39"/>
      <c r="H928" s="39"/>
      <c r="I928" s="39"/>
      <c r="J928" s="39"/>
      <c r="K928" s="39"/>
      <c r="L928" s="39"/>
      <c r="M928" s="660"/>
      <c r="R928" s="600"/>
      <c r="S928" s="600"/>
      <c r="T928" s="600"/>
      <c r="U928" s="600"/>
      <c r="V928" s="600"/>
      <c r="W928" s="600"/>
      <c r="X928" s="600"/>
      <c r="Y928" s="600"/>
      <c r="Z928" s="600"/>
      <c r="AD928" s="600">
        <v>917</v>
      </c>
      <c r="AF928" s="600"/>
      <c r="AG928" s="600"/>
      <c r="AH928" s="600"/>
      <c r="AI928" s="600"/>
      <c r="AJ928" s="600"/>
      <c r="AK928" s="600"/>
      <c r="AL928" s="600"/>
      <c r="AM928" s="600"/>
      <c r="AO928" s="600"/>
      <c r="AP928" s="600"/>
      <c r="AQ928" s="600"/>
      <c r="AR928" s="600"/>
      <c r="AS928" s="600"/>
      <c r="AT928" s="600"/>
      <c r="AU928" s="600"/>
      <c r="AV928" s="600"/>
    </row>
    <row r="929" spans="5:48">
      <c r="E929" s="39"/>
      <c r="F929" s="39"/>
      <c r="G929" s="39"/>
      <c r="H929" s="39"/>
      <c r="I929" s="39"/>
      <c r="J929" s="39"/>
      <c r="K929" s="39"/>
      <c r="L929" s="39"/>
      <c r="M929" s="660"/>
      <c r="R929" s="600"/>
      <c r="S929" s="600"/>
      <c r="T929" s="600"/>
      <c r="U929" s="600"/>
      <c r="V929" s="600"/>
      <c r="W929" s="600"/>
      <c r="X929" s="600"/>
      <c r="Y929" s="600"/>
      <c r="Z929" s="600"/>
      <c r="AD929" s="600">
        <v>918</v>
      </c>
      <c r="AF929" s="600"/>
      <c r="AG929" s="600"/>
      <c r="AH929" s="600"/>
      <c r="AI929" s="600"/>
      <c r="AJ929" s="600"/>
      <c r="AK929" s="600"/>
      <c r="AL929" s="600"/>
      <c r="AM929" s="600"/>
      <c r="AO929" s="600"/>
      <c r="AP929" s="600"/>
      <c r="AQ929" s="600"/>
      <c r="AR929" s="600"/>
      <c r="AS929" s="600"/>
      <c r="AT929" s="600"/>
      <c r="AU929" s="600"/>
      <c r="AV929" s="600"/>
    </row>
    <row r="930" spans="5:48">
      <c r="E930" s="39"/>
      <c r="F930" s="39"/>
      <c r="G930" s="39"/>
      <c r="H930" s="39"/>
      <c r="I930" s="39"/>
      <c r="J930" s="39"/>
      <c r="K930" s="39"/>
      <c r="L930" s="39"/>
      <c r="M930" s="660"/>
      <c r="R930" s="600"/>
      <c r="S930" s="600"/>
      <c r="T930" s="600"/>
      <c r="U930" s="600"/>
      <c r="V930" s="600"/>
      <c r="W930" s="600"/>
      <c r="X930" s="600"/>
      <c r="Y930" s="600"/>
      <c r="Z930" s="600"/>
      <c r="AD930" s="600">
        <v>919</v>
      </c>
      <c r="AF930" s="600"/>
      <c r="AG930" s="600"/>
      <c r="AH930" s="600"/>
      <c r="AI930" s="600"/>
      <c r="AJ930" s="600"/>
      <c r="AK930" s="600"/>
      <c r="AL930" s="600"/>
      <c r="AM930" s="600"/>
      <c r="AO930" s="600"/>
      <c r="AP930" s="600"/>
      <c r="AQ930" s="600"/>
      <c r="AR930" s="600"/>
      <c r="AS930" s="600"/>
      <c r="AT930" s="600"/>
      <c r="AU930" s="600"/>
      <c r="AV930" s="600"/>
    </row>
    <row r="931" spans="5:48">
      <c r="E931" s="39"/>
      <c r="F931" s="39"/>
      <c r="G931" s="39"/>
      <c r="H931" s="39"/>
      <c r="I931" s="39"/>
      <c r="J931" s="39"/>
      <c r="K931" s="39"/>
      <c r="L931" s="39"/>
      <c r="M931" s="660"/>
      <c r="R931" s="600"/>
      <c r="S931" s="600"/>
      <c r="T931" s="600"/>
      <c r="U931" s="600"/>
      <c r="V931" s="600"/>
      <c r="W931" s="600"/>
      <c r="X931" s="600"/>
      <c r="Y931" s="600"/>
      <c r="Z931" s="600"/>
      <c r="AD931" s="600">
        <v>920</v>
      </c>
      <c r="AF931" s="600"/>
      <c r="AG931" s="600"/>
      <c r="AH931" s="600"/>
      <c r="AI931" s="600"/>
      <c r="AJ931" s="600"/>
      <c r="AK931" s="600"/>
      <c r="AL931" s="600"/>
      <c r="AM931" s="600"/>
      <c r="AO931" s="600"/>
      <c r="AP931" s="600"/>
      <c r="AQ931" s="600"/>
      <c r="AR931" s="600"/>
      <c r="AS931" s="600"/>
      <c r="AT931" s="600"/>
      <c r="AU931" s="600"/>
      <c r="AV931" s="600"/>
    </row>
    <row r="932" spans="5:48">
      <c r="E932" s="39"/>
      <c r="F932" s="39"/>
      <c r="G932" s="39"/>
      <c r="H932" s="39"/>
      <c r="I932" s="39"/>
      <c r="J932" s="39"/>
      <c r="K932" s="39"/>
      <c r="L932" s="39"/>
      <c r="M932" s="660"/>
      <c r="R932" s="600"/>
      <c r="S932" s="600"/>
      <c r="T932" s="600"/>
      <c r="U932" s="600"/>
      <c r="V932" s="600"/>
      <c r="W932" s="600"/>
      <c r="X932" s="600"/>
      <c r="Y932" s="600"/>
      <c r="Z932" s="600"/>
      <c r="AD932" s="600">
        <v>921</v>
      </c>
      <c r="AF932" s="600"/>
      <c r="AG932" s="600"/>
      <c r="AH932" s="600"/>
      <c r="AI932" s="600"/>
      <c r="AJ932" s="600"/>
      <c r="AK932" s="600"/>
      <c r="AL932" s="600"/>
      <c r="AM932" s="600"/>
      <c r="AO932" s="600"/>
      <c r="AP932" s="600"/>
      <c r="AQ932" s="600"/>
      <c r="AR932" s="600"/>
      <c r="AS932" s="600"/>
      <c r="AT932" s="600"/>
      <c r="AU932" s="600"/>
      <c r="AV932" s="600"/>
    </row>
    <row r="933" spans="5:48">
      <c r="E933" s="39"/>
      <c r="F933" s="39"/>
      <c r="G933" s="39"/>
      <c r="H933" s="39"/>
      <c r="I933" s="39"/>
      <c r="J933" s="39"/>
      <c r="K933" s="39"/>
      <c r="L933" s="39"/>
      <c r="M933" s="660"/>
      <c r="R933" s="600"/>
      <c r="S933" s="600"/>
      <c r="T933" s="600"/>
      <c r="U933" s="600"/>
      <c r="V933" s="600"/>
      <c r="W933" s="600"/>
      <c r="X933" s="600"/>
      <c r="Y933" s="600"/>
      <c r="Z933" s="600"/>
      <c r="AD933" s="600">
        <v>922</v>
      </c>
      <c r="AF933" s="600"/>
      <c r="AG933" s="600"/>
      <c r="AH933" s="600"/>
      <c r="AI933" s="600"/>
      <c r="AJ933" s="600"/>
      <c r="AK933" s="600"/>
      <c r="AL933" s="600"/>
      <c r="AM933" s="600"/>
      <c r="AO933" s="600"/>
      <c r="AP933" s="600"/>
      <c r="AQ933" s="600"/>
      <c r="AR933" s="600"/>
      <c r="AS933" s="600"/>
      <c r="AT933" s="600"/>
      <c r="AU933" s="600"/>
      <c r="AV933" s="600"/>
    </row>
    <row r="934" spans="5:48">
      <c r="E934" s="39"/>
      <c r="F934" s="39"/>
      <c r="G934" s="39"/>
      <c r="H934" s="39"/>
      <c r="I934" s="39"/>
      <c r="J934" s="39"/>
      <c r="K934" s="39"/>
      <c r="L934" s="39"/>
      <c r="M934" s="660"/>
      <c r="R934" s="600"/>
      <c r="S934" s="600"/>
      <c r="T934" s="600"/>
      <c r="U934" s="600"/>
      <c r="V934" s="600"/>
      <c r="W934" s="600"/>
      <c r="X934" s="600"/>
      <c r="Y934" s="600"/>
      <c r="Z934" s="600"/>
      <c r="AD934" s="600">
        <v>923</v>
      </c>
      <c r="AF934" s="600"/>
      <c r="AG934" s="600"/>
      <c r="AH934" s="600"/>
      <c r="AI934" s="600"/>
      <c r="AJ934" s="600"/>
      <c r="AK934" s="600"/>
      <c r="AL934" s="600"/>
      <c r="AM934" s="600"/>
      <c r="AO934" s="600"/>
      <c r="AP934" s="600"/>
      <c r="AQ934" s="600"/>
      <c r="AR934" s="600"/>
      <c r="AS934" s="600"/>
      <c r="AT934" s="600"/>
      <c r="AU934" s="600"/>
      <c r="AV934" s="600"/>
    </row>
    <row r="935" spans="5:48">
      <c r="E935" s="39"/>
      <c r="F935" s="39"/>
      <c r="G935" s="39"/>
      <c r="H935" s="39"/>
      <c r="I935" s="39"/>
      <c r="J935" s="39"/>
      <c r="K935" s="39"/>
      <c r="L935" s="39"/>
      <c r="M935" s="660"/>
      <c r="R935" s="600"/>
      <c r="S935" s="600"/>
      <c r="T935" s="600"/>
      <c r="U935" s="600"/>
      <c r="V935" s="600"/>
      <c r="W935" s="600"/>
      <c r="X935" s="600"/>
      <c r="Y935" s="600"/>
      <c r="Z935" s="600"/>
      <c r="AD935" s="600">
        <v>924</v>
      </c>
      <c r="AF935" s="600"/>
      <c r="AG935" s="600"/>
      <c r="AH935" s="600"/>
      <c r="AI935" s="600"/>
      <c r="AJ935" s="600"/>
      <c r="AK935" s="600"/>
      <c r="AL935" s="600"/>
      <c r="AM935" s="600"/>
      <c r="AO935" s="600"/>
      <c r="AP935" s="600"/>
      <c r="AQ935" s="600"/>
      <c r="AR935" s="600"/>
      <c r="AS935" s="600"/>
      <c r="AT935" s="600"/>
      <c r="AU935" s="600"/>
      <c r="AV935" s="600"/>
    </row>
    <row r="936" spans="5:48">
      <c r="E936" s="39"/>
      <c r="F936" s="39"/>
      <c r="G936" s="39"/>
      <c r="H936" s="39"/>
      <c r="I936" s="39"/>
      <c r="J936" s="39"/>
      <c r="K936" s="39"/>
      <c r="L936" s="39"/>
      <c r="M936" s="660"/>
      <c r="R936" s="600"/>
      <c r="S936" s="600"/>
      <c r="T936" s="600"/>
      <c r="U936" s="600"/>
      <c r="V936" s="600"/>
      <c r="W936" s="600"/>
      <c r="X936" s="600"/>
      <c r="Y936" s="600"/>
      <c r="Z936" s="600"/>
      <c r="AD936" s="600">
        <v>925</v>
      </c>
      <c r="AF936" s="600"/>
      <c r="AG936" s="600"/>
      <c r="AH936" s="600"/>
      <c r="AI936" s="600"/>
      <c r="AJ936" s="600"/>
      <c r="AK936" s="600"/>
      <c r="AL936" s="600"/>
      <c r="AM936" s="600"/>
      <c r="AO936" s="600"/>
      <c r="AP936" s="600"/>
      <c r="AQ936" s="600"/>
      <c r="AR936" s="600"/>
      <c r="AS936" s="600"/>
      <c r="AT936" s="600"/>
      <c r="AU936" s="600"/>
      <c r="AV936" s="600"/>
    </row>
    <row r="937" spans="5:48">
      <c r="E937" s="39"/>
      <c r="F937" s="39"/>
      <c r="G937" s="39"/>
      <c r="H937" s="39"/>
      <c r="I937" s="39"/>
      <c r="J937" s="39"/>
      <c r="K937" s="39"/>
      <c r="L937" s="39"/>
      <c r="M937" s="660"/>
      <c r="R937" s="600"/>
      <c r="S937" s="600"/>
      <c r="T937" s="600"/>
      <c r="U937" s="600"/>
      <c r="V937" s="600"/>
      <c r="W937" s="600"/>
      <c r="X937" s="600"/>
      <c r="Y937" s="600"/>
      <c r="Z937" s="600"/>
      <c r="AD937" s="600">
        <v>926</v>
      </c>
      <c r="AF937" s="600"/>
      <c r="AG937" s="600"/>
      <c r="AH937" s="600"/>
      <c r="AI937" s="600"/>
      <c r="AJ937" s="600"/>
      <c r="AK937" s="600"/>
      <c r="AL937" s="600"/>
      <c r="AM937" s="600"/>
      <c r="AO937" s="600"/>
      <c r="AP937" s="600"/>
      <c r="AQ937" s="600"/>
      <c r="AR937" s="600"/>
      <c r="AS937" s="600"/>
      <c r="AT937" s="600"/>
      <c r="AU937" s="600"/>
      <c r="AV937" s="600"/>
    </row>
    <row r="938" spans="5:48">
      <c r="E938" s="39"/>
      <c r="F938" s="39"/>
      <c r="G938" s="39"/>
      <c r="H938" s="39"/>
      <c r="I938" s="39"/>
      <c r="J938" s="39"/>
      <c r="K938" s="39"/>
      <c r="L938" s="39"/>
      <c r="M938" s="660"/>
      <c r="R938" s="600"/>
      <c r="S938" s="600"/>
      <c r="T938" s="600"/>
      <c r="U938" s="600"/>
      <c r="V938" s="600"/>
      <c r="W938" s="600"/>
      <c r="X938" s="600"/>
      <c r="Y938" s="600"/>
      <c r="Z938" s="600"/>
      <c r="AD938" s="600">
        <v>927</v>
      </c>
      <c r="AF938" s="600"/>
      <c r="AG938" s="600"/>
      <c r="AH938" s="600"/>
      <c r="AI938" s="600"/>
      <c r="AJ938" s="600"/>
      <c r="AK938" s="600"/>
      <c r="AL938" s="600"/>
      <c r="AM938" s="600"/>
      <c r="AO938" s="600"/>
      <c r="AP938" s="600"/>
      <c r="AQ938" s="600"/>
      <c r="AR938" s="600"/>
      <c r="AS938" s="600"/>
      <c r="AT938" s="600"/>
      <c r="AU938" s="600"/>
      <c r="AV938" s="600"/>
    </row>
    <row r="939" spans="5:48">
      <c r="E939" s="39"/>
      <c r="F939" s="39"/>
      <c r="G939" s="39"/>
      <c r="H939" s="39"/>
      <c r="I939" s="39"/>
      <c r="J939" s="39"/>
      <c r="K939" s="39"/>
      <c r="L939" s="39"/>
      <c r="M939" s="660"/>
      <c r="R939" s="600"/>
      <c r="S939" s="600"/>
      <c r="T939" s="600"/>
      <c r="U939" s="600"/>
      <c r="V939" s="600"/>
      <c r="W939" s="600"/>
      <c r="X939" s="600"/>
      <c r="Y939" s="600"/>
      <c r="Z939" s="600"/>
      <c r="AD939" s="600">
        <v>928</v>
      </c>
      <c r="AF939" s="600"/>
      <c r="AG939" s="600"/>
      <c r="AH939" s="600"/>
      <c r="AI939" s="600"/>
      <c r="AJ939" s="600"/>
      <c r="AK939" s="600"/>
      <c r="AL939" s="600"/>
      <c r="AM939" s="600"/>
      <c r="AO939" s="600"/>
      <c r="AP939" s="600"/>
      <c r="AQ939" s="600"/>
      <c r="AR939" s="600"/>
      <c r="AS939" s="600"/>
      <c r="AT939" s="600"/>
      <c r="AU939" s="600"/>
      <c r="AV939" s="600"/>
    </row>
    <row r="940" spans="5:48">
      <c r="E940" s="39"/>
      <c r="F940" s="39"/>
      <c r="G940" s="39"/>
      <c r="H940" s="39"/>
      <c r="I940" s="39"/>
      <c r="J940" s="39"/>
      <c r="K940" s="39"/>
      <c r="L940" s="39"/>
      <c r="M940" s="660"/>
      <c r="R940" s="600"/>
      <c r="S940" s="600"/>
      <c r="T940" s="600"/>
      <c r="U940" s="600"/>
      <c r="V940" s="600"/>
      <c r="W940" s="600"/>
      <c r="X940" s="600"/>
      <c r="Y940" s="600"/>
      <c r="Z940" s="600"/>
      <c r="AD940" s="600">
        <v>929</v>
      </c>
      <c r="AF940" s="600"/>
      <c r="AG940" s="600"/>
      <c r="AH940" s="600"/>
      <c r="AI940" s="600"/>
      <c r="AJ940" s="600"/>
      <c r="AK940" s="600"/>
      <c r="AL940" s="600"/>
      <c r="AM940" s="600"/>
      <c r="AO940" s="600"/>
      <c r="AP940" s="600"/>
      <c r="AQ940" s="600"/>
      <c r="AR940" s="600"/>
      <c r="AS940" s="600"/>
      <c r="AT940" s="600"/>
      <c r="AU940" s="600"/>
      <c r="AV940" s="600"/>
    </row>
    <row r="941" spans="5:48">
      <c r="E941" s="39"/>
      <c r="F941" s="39"/>
      <c r="G941" s="39"/>
      <c r="H941" s="39"/>
      <c r="I941" s="39"/>
      <c r="J941" s="39"/>
      <c r="K941" s="39"/>
      <c r="L941" s="39"/>
      <c r="M941" s="660"/>
      <c r="R941" s="600"/>
      <c r="S941" s="600"/>
      <c r="T941" s="600"/>
      <c r="U941" s="600"/>
      <c r="V941" s="600"/>
      <c r="W941" s="600"/>
      <c r="X941" s="600"/>
      <c r="Y941" s="600"/>
      <c r="Z941" s="600"/>
      <c r="AD941" s="600">
        <v>930</v>
      </c>
      <c r="AF941" s="600"/>
      <c r="AG941" s="600"/>
      <c r="AH941" s="600"/>
      <c r="AI941" s="600"/>
      <c r="AJ941" s="600"/>
      <c r="AK941" s="600"/>
      <c r="AL941" s="600"/>
      <c r="AM941" s="600"/>
      <c r="AO941" s="600"/>
      <c r="AP941" s="600"/>
      <c r="AQ941" s="600"/>
      <c r="AR941" s="600"/>
      <c r="AS941" s="600"/>
      <c r="AT941" s="600"/>
      <c r="AU941" s="600"/>
      <c r="AV941" s="600"/>
    </row>
    <row r="942" spans="5:48">
      <c r="E942" s="39"/>
      <c r="F942" s="39"/>
      <c r="G942" s="39"/>
      <c r="H942" s="39"/>
      <c r="I942" s="39"/>
      <c r="J942" s="39"/>
      <c r="K942" s="39"/>
      <c r="L942" s="39"/>
      <c r="M942" s="660"/>
      <c r="R942" s="600"/>
      <c r="S942" s="600"/>
      <c r="T942" s="600"/>
      <c r="U942" s="600"/>
      <c r="V942" s="600"/>
      <c r="W942" s="600"/>
      <c r="X942" s="600"/>
      <c r="Y942" s="600"/>
      <c r="Z942" s="600"/>
      <c r="AD942" s="600">
        <v>931</v>
      </c>
      <c r="AF942" s="600"/>
      <c r="AG942" s="600"/>
      <c r="AH942" s="600"/>
      <c r="AI942" s="600"/>
      <c r="AJ942" s="600"/>
      <c r="AK942" s="600"/>
      <c r="AL942" s="600"/>
      <c r="AM942" s="600"/>
      <c r="AO942" s="600"/>
      <c r="AP942" s="600"/>
      <c r="AQ942" s="600"/>
      <c r="AR942" s="600"/>
      <c r="AS942" s="600"/>
      <c r="AT942" s="600"/>
      <c r="AU942" s="600"/>
      <c r="AV942" s="600"/>
    </row>
    <row r="943" spans="5:48">
      <c r="E943" s="39"/>
      <c r="F943" s="39"/>
      <c r="G943" s="39"/>
      <c r="H943" s="39"/>
      <c r="I943" s="39"/>
      <c r="J943" s="39"/>
      <c r="K943" s="39"/>
      <c r="L943" s="39"/>
      <c r="M943" s="660"/>
      <c r="R943" s="600"/>
      <c r="S943" s="600"/>
      <c r="T943" s="600"/>
      <c r="U943" s="600"/>
      <c r="V943" s="600"/>
      <c r="W943" s="600"/>
      <c r="X943" s="600"/>
      <c r="Y943" s="600"/>
      <c r="Z943" s="600"/>
      <c r="AD943" s="600">
        <v>932</v>
      </c>
      <c r="AF943" s="600"/>
      <c r="AG943" s="600"/>
      <c r="AH943" s="600"/>
      <c r="AI943" s="600"/>
      <c r="AJ943" s="600"/>
      <c r="AK943" s="600"/>
      <c r="AL943" s="600"/>
      <c r="AM943" s="600"/>
      <c r="AO943" s="600"/>
      <c r="AP943" s="600"/>
      <c r="AQ943" s="600"/>
      <c r="AR943" s="600"/>
      <c r="AS943" s="600"/>
      <c r="AT943" s="600"/>
      <c r="AU943" s="600"/>
      <c r="AV943" s="600"/>
    </row>
    <row r="944" spans="5:48">
      <c r="E944" s="39"/>
      <c r="F944" s="39"/>
      <c r="G944" s="39"/>
      <c r="H944" s="39"/>
      <c r="I944" s="39"/>
      <c r="J944" s="39"/>
      <c r="K944" s="39"/>
      <c r="L944" s="39"/>
      <c r="M944" s="660"/>
      <c r="R944" s="600"/>
      <c r="S944" s="600"/>
      <c r="T944" s="600"/>
      <c r="U944" s="600"/>
      <c r="V944" s="600"/>
      <c r="W944" s="600"/>
      <c r="X944" s="600"/>
      <c r="Y944" s="600"/>
      <c r="Z944" s="600"/>
      <c r="AD944" s="600">
        <v>933</v>
      </c>
      <c r="AF944" s="600"/>
      <c r="AG944" s="600"/>
      <c r="AH944" s="600"/>
      <c r="AI944" s="600"/>
      <c r="AJ944" s="600"/>
      <c r="AK944" s="600"/>
      <c r="AL944" s="600"/>
      <c r="AM944" s="600"/>
      <c r="AO944" s="600"/>
      <c r="AP944" s="600"/>
      <c r="AQ944" s="600"/>
      <c r="AR944" s="600"/>
      <c r="AS944" s="600"/>
      <c r="AT944" s="600"/>
      <c r="AU944" s="600"/>
      <c r="AV944" s="600"/>
    </row>
    <row r="945" spans="5:48">
      <c r="E945" s="39"/>
      <c r="F945" s="39"/>
      <c r="G945" s="39"/>
      <c r="H945" s="39"/>
      <c r="I945" s="39"/>
      <c r="J945" s="39"/>
      <c r="K945" s="39"/>
      <c r="L945" s="39"/>
      <c r="M945" s="660"/>
      <c r="R945" s="600"/>
      <c r="S945" s="600"/>
      <c r="T945" s="600"/>
      <c r="U945" s="600"/>
      <c r="V945" s="600"/>
      <c r="W945" s="600"/>
      <c r="X945" s="600"/>
      <c r="Y945" s="600"/>
      <c r="Z945" s="600"/>
      <c r="AD945" s="600">
        <v>934</v>
      </c>
      <c r="AF945" s="600"/>
      <c r="AG945" s="600"/>
      <c r="AH945" s="600"/>
      <c r="AI945" s="600"/>
      <c r="AJ945" s="600"/>
      <c r="AK945" s="600"/>
      <c r="AL945" s="600"/>
      <c r="AM945" s="600"/>
      <c r="AO945" s="600"/>
      <c r="AP945" s="600"/>
      <c r="AQ945" s="600"/>
      <c r="AR945" s="600"/>
      <c r="AS945" s="600"/>
      <c r="AT945" s="600"/>
      <c r="AU945" s="600"/>
      <c r="AV945" s="600"/>
    </row>
    <row r="946" spans="5:48">
      <c r="E946" s="39"/>
      <c r="F946" s="39"/>
      <c r="G946" s="39"/>
      <c r="H946" s="39"/>
      <c r="I946" s="39"/>
      <c r="J946" s="39"/>
      <c r="K946" s="39"/>
      <c r="L946" s="39"/>
      <c r="M946" s="660"/>
      <c r="R946" s="600"/>
      <c r="S946" s="600"/>
      <c r="T946" s="600"/>
      <c r="U946" s="600"/>
      <c r="V946" s="600"/>
      <c r="W946" s="600"/>
      <c r="X946" s="600"/>
      <c r="Y946" s="600"/>
      <c r="Z946" s="600"/>
      <c r="AD946" s="600">
        <v>935</v>
      </c>
      <c r="AF946" s="600"/>
      <c r="AG946" s="600"/>
      <c r="AH946" s="600"/>
      <c r="AI946" s="600"/>
      <c r="AJ946" s="600"/>
      <c r="AK946" s="600"/>
      <c r="AL946" s="600"/>
      <c r="AM946" s="600"/>
      <c r="AO946" s="600"/>
      <c r="AP946" s="600"/>
      <c r="AQ946" s="600"/>
      <c r="AR946" s="600"/>
      <c r="AS946" s="600"/>
      <c r="AT946" s="600"/>
      <c r="AU946" s="600"/>
      <c r="AV946" s="600"/>
    </row>
    <row r="947" spans="5:48">
      <c r="E947" s="39"/>
      <c r="F947" s="39"/>
      <c r="G947" s="39"/>
      <c r="H947" s="39"/>
      <c r="I947" s="39"/>
      <c r="J947" s="39"/>
      <c r="K947" s="39"/>
      <c r="L947" s="39"/>
      <c r="M947" s="660"/>
      <c r="R947" s="600"/>
      <c r="S947" s="600"/>
      <c r="T947" s="600"/>
      <c r="U947" s="600"/>
      <c r="V947" s="600"/>
      <c r="W947" s="600"/>
      <c r="X947" s="600"/>
      <c r="Y947" s="600"/>
      <c r="Z947" s="600"/>
      <c r="AD947" s="600">
        <v>936</v>
      </c>
      <c r="AF947" s="600"/>
      <c r="AG947" s="600"/>
      <c r="AH947" s="600"/>
      <c r="AI947" s="600"/>
      <c r="AJ947" s="600"/>
      <c r="AK947" s="600"/>
      <c r="AL947" s="600"/>
      <c r="AM947" s="600"/>
      <c r="AO947" s="600"/>
      <c r="AP947" s="600"/>
      <c r="AQ947" s="600"/>
      <c r="AR947" s="600"/>
      <c r="AS947" s="600"/>
      <c r="AT947" s="600"/>
      <c r="AU947" s="600"/>
      <c r="AV947" s="600"/>
    </row>
    <row r="948" spans="5:48">
      <c r="E948" s="39"/>
      <c r="F948" s="39"/>
      <c r="G948" s="39"/>
      <c r="H948" s="39"/>
      <c r="I948" s="39"/>
      <c r="J948" s="39"/>
      <c r="K948" s="39"/>
      <c r="L948" s="39"/>
      <c r="M948" s="660"/>
      <c r="R948" s="600"/>
      <c r="S948" s="600"/>
      <c r="T948" s="600"/>
      <c r="U948" s="600"/>
      <c r="V948" s="600"/>
      <c r="W948" s="600"/>
      <c r="X948" s="600"/>
      <c r="Y948" s="600"/>
      <c r="Z948" s="600"/>
      <c r="AD948" s="600">
        <v>937</v>
      </c>
      <c r="AF948" s="600"/>
      <c r="AG948" s="600"/>
      <c r="AH948" s="600"/>
      <c r="AI948" s="600"/>
      <c r="AJ948" s="600"/>
      <c r="AK948" s="600"/>
      <c r="AL948" s="600"/>
      <c r="AM948" s="600"/>
      <c r="AO948" s="600"/>
      <c r="AP948" s="600"/>
      <c r="AQ948" s="600"/>
      <c r="AR948" s="600"/>
      <c r="AS948" s="600"/>
      <c r="AT948" s="600"/>
      <c r="AU948" s="600"/>
      <c r="AV948" s="600"/>
    </row>
    <row r="949" spans="5:48">
      <c r="E949" s="39"/>
      <c r="F949" s="39"/>
      <c r="G949" s="39"/>
      <c r="H949" s="39"/>
      <c r="I949" s="39"/>
      <c r="J949" s="39"/>
      <c r="K949" s="39"/>
      <c r="L949" s="39"/>
      <c r="M949" s="660"/>
      <c r="R949" s="600"/>
      <c r="S949" s="600"/>
      <c r="T949" s="600"/>
      <c r="U949" s="600"/>
      <c r="V949" s="600"/>
      <c r="W949" s="600"/>
      <c r="X949" s="600"/>
      <c r="Y949" s="600"/>
      <c r="Z949" s="600"/>
      <c r="AD949" s="600">
        <v>938</v>
      </c>
      <c r="AF949" s="600"/>
      <c r="AG949" s="600"/>
      <c r="AH949" s="600"/>
      <c r="AI949" s="600"/>
      <c r="AJ949" s="600"/>
      <c r="AK949" s="600"/>
      <c r="AL949" s="600"/>
      <c r="AM949" s="600"/>
      <c r="AO949" s="600"/>
      <c r="AP949" s="600"/>
      <c r="AQ949" s="600"/>
      <c r="AR949" s="600"/>
      <c r="AS949" s="600"/>
      <c r="AT949" s="600"/>
      <c r="AU949" s="600"/>
      <c r="AV949" s="600"/>
    </row>
    <row r="950" spans="5:48">
      <c r="E950" s="39"/>
      <c r="F950" s="39"/>
      <c r="G950" s="39"/>
      <c r="H950" s="39"/>
      <c r="I950" s="39"/>
      <c r="J950" s="39"/>
      <c r="K950" s="39"/>
      <c r="L950" s="39"/>
      <c r="M950" s="660"/>
      <c r="R950" s="600"/>
      <c r="S950" s="600"/>
      <c r="T950" s="600"/>
      <c r="U950" s="600"/>
      <c r="V950" s="600"/>
      <c r="W950" s="600"/>
      <c r="X950" s="600"/>
      <c r="Y950" s="600"/>
      <c r="Z950" s="600"/>
      <c r="AD950" s="600">
        <v>939</v>
      </c>
      <c r="AF950" s="600"/>
      <c r="AG950" s="600"/>
      <c r="AH950" s="600"/>
      <c r="AI950" s="600"/>
      <c r="AJ950" s="600"/>
      <c r="AK950" s="600"/>
      <c r="AL950" s="600"/>
      <c r="AM950" s="600"/>
      <c r="AO950" s="600"/>
      <c r="AP950" s="600"/>
      <c r="AQ950" s="600"/>
      <c r="AR950" s="600"/>
      <c r="AS950" s="600"/>
      <c r="AT950" s="600"/>
      <c r="AU950" s="600"/>
      <c r="AV950" s="600"/>
    </row>
    <row r="951" spans="5:48">
      <c r="E951" s="39"/>
      <c r="F951" s="39"/>
      <c r="G951" s="39"/>
      <c r="H951" s="39"/>
      <c r="I951" s="39"/>
      <c r="J951" s="39"/>
      <c r="K951" s="39"/>
      <c r="L951" s="39"/>
      <c r="M951" s="660"/>
      <c r="R951" s="600"/>
      <c r="S951" s="600"/>
      <c r="T951" s="600"/>
      <c r="U951" s="600"/>
      <c r="V951" s="600"/>
      <c r="W951" s="600"/>
      <c r="X951" s="600"/>
      <c r="Y951" s="600"/>
      <c r="Z951" s="600"/>
      <c r="AD951" s="600">
        <v>940</v>
      </c>
      <c r="AF951" s="600"/>
      <c r="AG951" s="600"/>
      <c r="AH951" s="600"/>
      <c r="AI951" s="600"/>
      <c r="AJ951" s="600"/>
      <c r="AK951" s="600"/>
      <c r="AL951" s="600"/>
      <c r="AM951" s="600"/>
      <c r="AO951" s="600"/>
      <c r="AP951" s="600"/>
      <c r="AQ951" s="600"/>
      <c r="AR951" s="600"/>
      <c r="AS951" s="600"/>
      <c r="AT951" s="600"/>
      <c r="AU951" s="600"/>
      <c r="AV951" s="600"/>
    </row>
    <row r="952" spans="5:48">
      <c r="E952" s="39"/>
      <c r="F952" s="39"/>
      <c r="G952" s="39"/>
      <c r="H952" s="39"/>
      <c r="I952" s="39"/>
      <c r="J952" s="39"/>
      <c r="K952" s="39"/>
      <c r="L952" s="39"/>
      <c r="M952" s="660"/>
      <c r="R952" s="600"/>
      <c r="S952" s="600"/>
      <c r="T952" s="600"/>
      <c r="U952" s="600"/>
      <c r="V952" s="600"/>
      <c r="W952" s="600"/>
      <c r="X952" s="600"/>
      <c r="Y952" s="600"/>
      <c r="Z952" s="600"/>
      <c r="AD952" s="600">
        <v>941</v>
      </c>
      <c r="AF952" s="600"/>
      <c r="AG952" s="600"/>
      <c r="AH952" s="600"/>
      <c r="AI952" s="600"/>
      <c r="AJ952" s="600"/>
      <c r="AK952" s="600"/>
      <c r="AL952" s="600"/>
      <c r="AM952" s="600"/>
      <c r="AO952" s="600"/>
      <c r="AP952" s="600"/>
      <c r="AQ952" s="600"/>
      <c r="AR952" s="600"/>
      <c r="AS952" s="600"/>
      <c r="AT952" s="600"/>
      <c r="AU952" s="600"/>
      <c r="AV952" s="600"/>
    </row>
    <row r="953" spans="5:48">
      <c r="E953" s="39"/>
      <c r="F953" s="39"/>
      <c r="G953" s="39"/>
      <c r="H953" s="39"/>
      <c r="I953" s="39"/>
      <c r="J953" s="39"/>
      <c r="K953" s="39"/>
      <c r="L953" s="39"/>
      <c r="M953" s="660"/>
      <c r="R953" s="600"/>
      <c r="S953" s="600"/>
      <c r="T953" s="600"/>
      <c r="U953" s="600"/>
      <c r="V953" s="600"/>
      <c r="W953" s="600"/>
      <c r="X953" s="600"/>
      <c r="Y953" s="600"/>
      <c r="Z953" s="600"/>
      <c r="AD953" s="600">
        <v>942</v>
      </c>
      <c r="AF953" s="600"/>
      <c r="AG953" s="600"/>
      <c r="AH953" s="600"/>
      <c r="AI953" s="600"/>
      <c r="AJ953" s="600"/>
      <c r="AK953" s="600"/>
      <c r="AL953" s="600"/>
      <c r="AM953" s="600"/>
      <c r="AO953" s="600"/>
      <c r="AP953" s="600"/>
      <c r="AQ953" s="600"/>
      <c r="AR953" s="600"/>
      <c r="AS953" s="600"/>
      <c r="AT953" s="600"/>
      <c r="AU953" s="600"/>
      <c r="AV953" s="600"/>
    </row>
    <row r="954" spans="5:48">
      <c r="E954" s="39"/>
      <c r="F954" s="39"/>
      <c r="G954" s="39"/>
      <c r="H954" s="39"/>
      <c r="I954" s="39"/>
      <c r="J954" s="39"/>
      <c r="K954" s="39"/>
      <c r="L954" s="39"/>
      <c r="M954" s="660"/>
      <c r="R954" s="600"/>
      <c r="S954" s="600"/>
      <c r="T954" s="600"/>
      <c r="U954" s="600"/>
      <c r="V954" s="600"/>
      <c r="W954" s="600"/>
      <c r="X954" s="600"/>
      <c r="Y954" s="600"/>
      <c r="Z954" s="600"/>
      <c r="AD954" s="600">
        <v>943</v>
      </c>
      <c r="AF954" s="600"/>
      <c r="AG954" s="600"/>
      <c r="AH954" s="600"/>
      <c r="AI954" s="600"/>
      <c r="AJ954" s="600"/>
      <c r="AK954" s="600"/>
      <c r="AL954" s="600"/>
      <c r="AM954" s="600"/>
      <c r="AO954" s="600"/>
      <c r="AP954" s="600"/>
      <c r="AQ954" s="600"/>
      <c r="AR954" s="600"/>
      <c r="AS954" s="600"/>
      <c r="AT954" s="600"/>
      <c r="AU954" s="600"/>
      <c r="AV954" s="600"/>
    </row>
    <row r="955" spans="5:48">
      <c r="E955" s="39"/>
      <c r="F955" s="39"/>
      <c r="G955" s="39"/>
      <c r="H955" s="39"/>
      <c r="I955" s="39"/>
      <c r="J955" s="39"/>
      <c r="K955" s="39"/>
      <c r="L955" s="39"/>
      <c r="M955" s="660"/>
      <c r="R955" s="600"/>
      <c r="S955" s="600"/>
      <c r="T955" s="600"/>
      <c r="U955" s="600"/>
      <c r="V955" s="600"/>
      <c r="W955" s="600"/>
      <c r="X955" s="600"/>
      <c r="Y955" s="600"/>
      <c r="Z955" s="600"/>
      <c r="AD955" s="600">
        <v>944</v>
      </c>
      <c r="AF955" s="600"/>
      <c r="AG955" s="600"/>
      <c r="AH955" s="600"/>
      <c r="AI955" s="600"/>
      <c r="AJ955" s="600"/>
      <c r="AK955" s="600"/>
      <c r="AL955" s="600"/>
      <c r="AM955" s="600"/>
      <c r="AO955" s="600"/>
      <c r="AP955" s="600"/>
      <c r="AQ955" s="600"/>
      <c r="AR955" s="600"/>
      <c r="AS955" s="600"/>
      <c r="AT955" s="600"/>
      <c r="AU955" s="600"/>
      <c r="AV955" s="600"/>
    </row>
    <row r="956" spans="5:48">
      <c r="E956" s="39"/>
      <c r="F956" s="39"/>
      <c r="G956" s="39"/>
      <c r="H956" s="39"/>
      <c r="I956" s="39"/>
      <c r="J956" s="39"/>
      <c r="K956" s="39"/>
      <c r="L956" s="39"/>
      <c r="M956" s="660"/>
      <c r="R956" s="600"/>
      <c r="S956" s="600"/>
      <c r="T956" s="600"/>
      <c r="U956" s="600"/>
      <c r="V956" s="600"/>
      <c r="W956" s="600"/>
      <c r="X956" s="600"/>
      <c r="Y956" s="600"/>
      <c r="Z956" s="600"/>
      <c r="AD956" s="600">
        <v>945</v>
      </c>
      <c r="AF956" s="600"/>
      <c r="AG956" s="600"/>
      <c r="AH956" s="600"/>
      <c r="AI956" s="600"/>
      <c r="AJ956" s="600"/>
      <c r="AK956" s="600"/>
      <c r="AL956" s="600"/>
      <c r="AM956" s="600"/>
      <c r="AO956" s="600"/>
      <c r="AP956" s="600"/>
      <c r="AQ956" s="600"/>
      <c r="AR956" s="600"/>
      <c r="AS956" s="600"/>
      <c r="AT956" s="600"/>
      <c r="AU956" s="600"/>
      <c r="AV956" s="600"/>
    </row>
    <row r="957" spans="5:48">
      <c r="E957" s="39"/>
      <c r="F957" s="39"/>
      <c r="G957" s="39"/>
      <c r="H957" s="39"/>
      <c r="I957" s="39"/>
      <c r="J957" s="39"/>
      <c r="K957" s="39"/>
      <c r="L957" s="39"/>
      <c r="M957" s="660"/>
      <c r="R957" s="600"/>
      <c r="S957" s="600"/>
      <c r="T957" s="600"/>
      <c r="U957" s="600"/>
      <c r="V957" s="600"/>
      <c r="W957" s="600"/>
      <c r="X957" s="600"/>
      <c r="Y957" s="600"/>
      <c r="Z957" s="600"/>
      <c r="AD957" s="600">
        <v>946</v>
      </c>
      <c r="AF957" s="600"/>
      <c r="AG957" s="600"/>
      <c r="AH957" s="600"/>
      <c r="AI957" s="600"/>
      <c r="AJ957" s="600"/>
      <c r="AK957" s="600"/>
      <c r="AL957" s="600"/>
      <c r="AM957" s="600"/>
      <c r="AO957" s="600"/>
      <c r="AP957" s="600"/>
      <c r="AQ957" s="600"/>
      <c r="AR957" s="600"/>
      <c r="AS957" s="600"/>
      <c r="AT957" s="600"/>
      <c r="AU957" s="600"/>
      <c r="AV957" s="600"/>
    </row>
    <row r="958" spans="5:48">
      <c r="E958" s="39"/>
      <c r="F958" s="39"/>
      <c r="G958" s="39"/>
      <c r="H958" s="39"/>
      <c r="I958" s="39"/>
      <c r="J958" s="39"/>
      <c r="K958" s="39"/>
      <c r="L958" s="39"/>
      <c r="M958" s="660"/>
      <c r="R958" s="600"/>
      <c r="S958" s="600"/>
      <c r="T958" s="600"/>
      <c r="U958" s="600"/>
      <c r="V958" s="600"/>
      <c r="W958" s="600"/>
      <c r="X958" s="600"/>
      <c r="Y958" s="600"/>
      <c r="Z958" s="600"/>
      <c r="AD958" s="600">
        <v>947</v>
      </c>
      <c r="AF958" s="600"/>
      <c r="AG958" s="600"/>
      <c r="AH958" s="600"/>
      <c r="AI958" s="600"/>
      <c r="AJ958" s="600"/>
      <c r="AK958" s="600"/>
      <c r="AL958" s="600"/>
      <c r="AM958" s="600"/>
      <c r="AO958" s="600"/>
      <c r="AP958" s="600"/>
      <c r="AQ958" s="600"/>
      <c r="AR958" s="600"/>
      <c r="AS958" s="600"/>
      <c r="AT958" s="600"/>
      <c r="AU958" s="600"/>
      <c r="AV958" s="600"/>
    </row>
    <row r="959" spans="5:48">
      <c r="E959" s="39"/>
      <c r="F959" s="39"/>
      <c r="G959" s="39"/>
      <c r="H959" s="39"/>
      <c r="I959" s="39"/>
      <c r="J959" s="39"/>
      <c r="K959" s="39"/>
      <c r="L959" s="39"/>
      <c r="M959" s="660"/>
      <c r="R959" s="600"/>
      <c r="S959" s="600"/>
      <c r="T959" s="600"/>
      <c r="U959" s="600"/>
      <c r="V959" s="600"/>
      <c r="W959" s="600"/>
      <c r="X959" s="600"/>
      <c r="Y959" s="600"/>
      <c r="Z959" s="600"/>
      <c r="AD959" s="600">
        <v>948</v>
      </c>
      <c r="AF959" s="600"/>
      <c r="AG959" s="600"/>
      <c r="AH959" s="600"/>
      <c r="AI959" s="600"/>
      <c r="AJ959" s="600"/>
      <c r="AK959" s="600"/>
      <c r="AL959" s="600"/>
      <c r="AM959" s="600"/>
      <c r="AO959" s="600"/>
      <c r="AP959" s="600"/>
      <c r="AQ959" s="600"/>
      <c r="AR959" s="600"/>
      <c r="AS959" s="600"/>
      <c r="AT959" s="600"/>
      <c r="AU959" s="600"/>
      <c r="AV959" s="600"/>
    </row>
    <row r="960" spans="5:48">
      <c r="E960" s="39"/>
      <c r="F960" s="39"/>
      <c r="G960" s="39"/>
      <c r="H960" s="39"/>
      <c r="I960" s="39"/>
      <c r="J960" s="39"/>
      <c r="K960" s="39"/>
      <c r="L960" s="39"/>
      <c r="M960" s="660"/>
      <c r="R960" s="600"/>
      <c r="S960" s="600"/>
      <c r="T960" s="600"/>
      <c r="U960" s="600"/>
      <c r="V960" s="600"/>
      <c r="W960" s="600"/>
      <c r="X960" s="600"/>
      <c r="Y960" s="600"/>
      <c r="Z960" s="600"/>
      <c r="AD960" s="600">
        <v>949</v>
      </c>
      <c r="AF960" s="600"/>
      <c r="AG960" s="600"/>
      <c r="AH960" s="600"/>
      <c r="AI960" s="600"/>
      <c r="AJ960" s="600"/>
      <c r="AK960" s="600"/>
      <c r="AL960" s="600"/>
      <c r="AM960" s="600"/>
      <c r="AO960" s="600"/>
      <c r="AP960" s="600"/>
      <c r="AQ960" s="600"/>
      <c r="AR960" s="600"/>
      <c r="AS960" s="600"/>
      <c r="AT960" s="600"/>
      <c r="AU960" s="600"/>
      <c r="AV960" s="600"/>
    </row>
    <row r="961" spans="5:48">
      <c r="E961" s="39"/>
      <c r="F961" s="39"/>
      <c r="G961" s="39"/>
      <c r="H961" s="39"/>
      <c r="I961" s="39"/>
      <c r="J961" s="39"/>
      <c r="K961" s="39"/>
      <c r="L961" s="39"/>
      <c r="M961" s="660"/>
      <c r="R961" s="600"/>
      <c r="S961" s="600"/>
      <c r="T961" s="600"/>
      <c r="U961" s="600"/>
      <c r="V961" s="600"/>
      <c r="W961" s="600"/>
      <c r="X961" s="600"/>
      <c r="Y961" s="600"/>
      <c r="Z961" s="600"/>
      <c r="AD961" s="600">
        <v>950</v>
      </c>
      <c r="AF961" s="600"/>
      <c r="AG961" s="600"/>
      <c r="AH961" s="600"/>
      <c r="AI961" s="600"/>
      <c r="AJ961" s="600"/>
      <c r="AK961" s="600"/>
      <c r="AL961" s="600"/>
      <c r="AM961" s="600"/>
      <c r="AO961" s="600"/>
      <c r="AP961" s="600"/>
      <c r="AQ961" s="600"/>
      <c r="AR961" s="600"/>
      <c r="AS961" s="600"/>
      <c r="AT961" s="600"/>
      <c r="AU961" s="600"/>
      <c r="AV961" s="600"/>
    </row>
    <row r="962" spans="5:48">
      <c r="E962" s="39"/>
      <c r="F962" s="39"/>
      <c r="G962" s="39"/>
      <c r="H962" s="39"/>
      <c r="I962" s="39"/>
      <c r="J962" s="39"/>
      <c r="K962" s="39"/>
      <c r="L962" s="39"/>
      <c r="M962" s="660"/>
      <c r="R962" s="600"/>
      <c r="S962" s="600"/>
      <c r="T962" s="600"/>
      <c r="U962" s="600"/>
      <c r="V962" s="600"/>
      <c r="W962" s="600"/>
      <c r="X962" s="600"/>
      <c r="Y962" s="600"/>
      <c r="Z962" s="600"/>
      <c r="AD962" s="600">
        <v>951</v>
      </c>
      <c r="AF962" s="600"/>
      <c r="AG962" s="600"/>
      <c r="AH962" s="600"/>
      <c r="AI962" s="600"/>
      <c r="AJ962" s="600"/>
      <c r="AK962" s="600"/>
      <c r="AL962" s="600"/>
      <c r="AM962" s="600"/>
      <c r="AO962" s="600"/>
      <c r="AP962" s="600"/>
      <c r="AQ962" s="600"/>
      <c r="AR962" s="600"/>
      <c r="AS962" s="600"/>
      <c r="AT962" s="600"/>
      <c r="AU962" s="600"/>
      <c r="AV962" s="600"/>
    </row>
    <row r="963" spans="5:48">
      <c r="E963" s="39"/>
      <c r="F963" s="39"/>
      <c r="G963" s="39"/>
      <c r="H963" s="39"/>
      <c r="I963" s="39"/>
      <c r="J963" s="39"/>
      <c r="K963" s="39"/>
      <c r="L963" s="39"/>
      <c r="M963" s="660"/>
      <c r="R963" s="600"/>
      <c r="S963" s="600"/>
      <c r="T963" s="600"/>
      <c r="U963" s="600"/>
      <c r="V963" s="600"/>
      <c r="W963" s="600"/>
      <c r="X963" s="600"/>
      <c r="Y963" s="600"/>
      <c r="Z963" s="600"/>
      <c r="AD963" s="600">
        <v>952</v>
      </c>
      <c r="AF963" s="600"/>
      <c r="AG963" s="600"/>
      <c r="AH963" s="600"/>
      <c r="AI963" s="600"/>
      <c r="AJ963" s="600"/>
      <c r="AK963" s="600"/>
      <c r="AL963" s="600"/>
      <c r="AM963" s="600"/>
      <c r="AO963" s="600"/>
      <c r="AP963" s="600"/>
      <c r="AQ963" s="600"/>
      <c r="AR963" s="600"/>
      <c r="AS963" s="600"/>
      <c r="AT963" s="600"/>
      <c r="AU963" s="600"/>
      <c r="AV963" s="600"/>
    </row>
    <row r="964" spans="5:48">
      <c r="E964" s="39"/>
      <c r="F964" s="39"/>
      <c r="G964" s="39"/>
      <c r="H964" s="39"/>
      <c r="I964" s="39"/>
      <c r="J964" s="39"/>
      <c r="K964" s="39"/>
      <c r="L964" s="39"/>
      <c r="M964" s="660"/>
      <c r="R964" s="600"/>
      <c r="S964" s="600"/>
      <c r="T964" s="600"/>
      <c r="U964" s="600"/>
      <c r="V964" s="600"/>
      <c r="W964" s="600"/>
      <c r="X964" s="600"/>
      <c r="Y964" s="600"/>
      <c r="Z964" s="600"/>
      <c r="AD964" s="600">
        <v>953</v>
      </c>
      <c r="AF964" s="600"/>
      <c r="AG964" s="600"/>
      <c r="AH964" s="600"/>
      <c r="AI964" s="600"/>
      <c r="AJ964" s="600"/>
      <c r="AK964" s="600"/>
      <c r="AL964" s="600"/>
      <c r="AM964" s="600"/>
      <c r="AO964" s="600"/>
      <c r="AP964" s="600"/>
      <c r="AQ964" s="600"/>
      <c r="AR964" s="600"/>
      <c r="AS964" s="600"/>
      <c r="AT964" s="600"/>
      <c r="AU964" s="600"/>
      <c r="AV964" s="600"/>
    </row>
    <row r="965" spans="5:48">
      <c r="E965" s="39"/>
      <c r="F965" s="39"/>
      <c r="G965" s="39"/>
      <c r="H965" s="39"/>
      <c r="I965" s="39"/>
      <c r="J965" s="39"/>
      <c r="K965" s="39"/>
      <c r="L965" s="39"/>
      <c r="M965" s="660"/>
      <c r="R965" s="600"/>
      <c r="S965" s="600"/>
      <c r="T965" s="600"/>
      <c r="U965" s="600"/>
      <c r="V965" s="600"/>
      <c r="W965" s="600"/>
      <c r="X965" s="600"/>
      <c r="Y965" s="600"/>
      <c r="Z965" s="600"/>
      <c r="AD965" s="600">
        <v>954</v>
      </c>
      <c r="AF965" s="600"/>
      <c r="AG965" s="600"/>
      <c r="AH965" s="600"/>
      <c r="AI965" s="600"/>
      <c r="AJ965" s="600"/>
      <c r="AK965" s="600"/>
      <c r="AL965" s="600"/>
      <c r="AM965" s="600"/>
      <c r="AO965" s="600"/>
      <c r="AP965" s="600"/>
      <c r="AQ965" s="600"/>
      <c r="AR965" s="600"/>
      <c r="AS965" s="600"/>
      <c r="AT965" s="600"/>
      <c r="AU965" s="600"/>
      <c r="AV965" s="600"/>
    </row>
    <row r="966" spans="5:48">
      <c r="E966" s="39"/>
      <c r="F966" s="39"/>
      <c r="G966" s="39"/>
      <c r="H966" s="39"/>
      <c r="I966" s="39"/>
      <c r="J966" s="39"/>
      <c r="K966" s="39"/>
      <c r="L966" s="39"/>
      <c r="M966" s="660"/>
      <c r="R966" s="600"/>
      <c r="S966" s="600"/>
      <c r="T966" s="600"/>
      <c r="U966" s="600"/>
      <c r="V966" s="600"/>
      <c r="W966" s="600"/>
      <c r="X966" s="600"/>
      <c r="Y966" s="600"/>
      <c r="Z966" s="600"/>
      <c r="AD966" s="600">
        <v>955</v>
      </c>
      <c r="AF966" s="600"/>
      <c r="AG966" s="600"/>
      <c r="AH966" s="600"/>
      <c r="AI966" s="600"/>
      <c r="AJ966" s="600"/>
      <c r="AK966" s="600"/>
      <c r="AL966" s="600"/>
      <c r="AM966" s="600"/>
      <c r="AO966" s="600"/>
      <c r="AP966" s="600"/>
      <c r="AQ966" s="600"/>
      <c r="AR966" s="600"/>
      <c r="AS966" s="600"/>
      <c r="AT966" s="600"/>
      <c r="AU966" s="600"/>
      <c r="AV966" s="600"/>
    </row>
    <row r="967" spans="5:48">
      <c r="E967" s="39"/>
      <c r="F967" s="39"/>
      <c r="G967" s="39"/>
      <c r="H967" s="39"/>
      <c r="I967" s="39"/>
      <c r="J967" s="39"/>
      <c r="K967" s="39"/>
      <c r="L967" s="39"/>
      <c r="M967" s="660"/>
      <c r="R967" s="600"/>
      <c r="S967" s="600"/>
      <c r="T967" s="600"/>
      <c r="U967" s="600"/>
      <c r="V967" s="600"/>
      <c r="W967" s="600"/>
      <c r="X967" s="600"/>
      <c r="Y967" s="600"/>
      <c r="Z967" s="600"/>
      <c r="AD967" s="600">
        <v>956</v>
      </c>
      <c r="AF967" s="600"/>
      <c r="AG967" s="600"/>
      <c r="AH967" s="600"/>
      <c r="AI967" s="600"/>
      <c r="AJ967" s="600"/>
      <c r="AK967" s="600"/>
      <c r="AL967" s="600"/>
      <c r="AM967" s="600"/>
      <c r="AO967" s="600"/>
      <c r="AP967" s="600"/>
      <c r="AQ967" s="600"/>
      <c r="AR967" s="600"/>
      <c r="AS967" s="600"/>
      <c r="AT967" s="600"/>
      <c r="AU967" s="600"/>
      <c r="AV967" s="600"/>
    </row>
    <row r="968" spans="5:48">
      <c r="E968" s="39"/>
      <c r="F968" s="39"/>
      <c r="G968" s="39"/>
      <c r="H968" s="39"/>
      <c r="I968" s="39"/>
      <c r="J968" s="39"/>
      <c r="K968" s="39"/>
      <c r="L968" s="39"/>
      <c r="M968" s="660"/>
      <c r="R968" s="600"/>
      <c r="S968" s="600"/>
      <c r="T968" s="600"/>
      <c r="U968" s="600"/>
      <c r="V968" s="600"/>
      <c r="W968" s="600"/>
      <c r="X968" s="600"/>
      <c r="Y968" s="600"/>
      <c r="Z968" s="600"/>
      <c r="AD968" s="600">
        <v>957</v>
      </c>
      <c r="AF968" s="600"/>
      <c r="AG968" s="600"/>
      <c r="AH968" s="600"/>
      <c r="AI968" s="600"/>
      <c r="AJ968" s="600"/>
      <c r="AK968" s="600"/>
      <c r="AL968" s="600"/>
      <c r="AM968" s="600"/>
      <c r="AO968" s="600"/>
      <c r="AP968" s="600"/>
      <c r="AQ968" s="600"/>
      <c r="AR968" s="600"/>
      <c r="AS968" s="600"/>
      <c r="AT968" s="600"/>
      <c r="AU968" s="600"/>
      <c r="AV968" s="600"/>
    </row>
    <row r="969" spans="5:48">
      <c r="E969" s="39"/>
      <c r="F969" s="39"/>
      <c r="G969" s="39"/>
      <c r="H969" s="39"/>
      <c r="I969" s="39"/>
      <c r="J969" s="39"/>
      <c r="K969" s="39"/>
      <c r="L969" s="39"/>
      <c r="M969" s="660"/>
      <c r="R969" s="600"/>
      <c r="S969" s="600"/>
      <c r="T969" s="600"/>
      <c r="U969" s="600"/>
      <c r="V969" s="600"/>
      <c r="W969" s="600"/>
      <c r="X969" s="600"/>
      <c r="Y969" s="600"/>
      <c r="Z969" s="600"/>
      <c r="AD969" s="600">
        <v>958</v>
      </c>
      <c r="AF969" s="600"/>
      <c r="AG969" s="600"/>
      <c r="AH969" s="600"/>
      <c r="AI969" s="600"/>
      <c r="AJ969" s="600"/>
      <c r="AK969" s="600"/>
      <c r="AL969" s="600"/>
      <c r="AM969" s="600"/>
      <c r="AO969" s="600"/>
      <c r="AP969" s="600"/>
      <c r="AQ969" s="600"/>
      <c r="AR969" s="600"/>
      <c r="AS969" s="600"/>
      <c r="AT969" s="600"/>
      <c r="AU969" s="600"/>
      <c r="AV969" s="600"/>
    </row>
    <row r="970" spans="5:48">
      <c r="E970" s="39"/>
      <c r="F970" s="39"/>
      <c r="G970" s="39"/>
      <c r="H970" s="39"/>
      <c r="I970" s="39"/>
      <c r="J970" s="39"/>
      <c r="K970" s="39"/>
      <c r="L970" s="39"/>
      <c r="M970" s="660"/>
      <c r="R970" s="600"/>
      <c r="S970" s="600"/>
      <c r="T970" s="600"/>
      <c r="U970" s="600"/>
      <c r="V970" s="600"/>
      <c r="W970" s="600"/>
      <c r="X970" s="600"/>
      <c r="Y970" s="600"/>
      <c r="Z970" s="600"/>
      <c r="AD970" s="600">
        <v>959</v>
      </c>
      <c r="AF970" s="600"/>
      <c r="AG970" s="600"/>
      <c r="AH970" s="600"/>
      <c r="AI970" s="600"/>
      <c r="AJ970" s="600"/>
      <c r="AK970" s="600"/>
      <c r="AL970" s="600"/>
      <c r="AM970" s="600"/>
      <c r="AO970" s="600"/>
      <c r="AP970" s="600"/>
      <c r="AQ970" s="600"/>
      <c r="AR970" s="600"/>
      <c r="AS970" s="600"/>
      <c r="AT970" s="600"/>
      <c r="AU970" s="600"/>
      <c r="AV970" s="600"/>
    </row>
    <row r="971" spans="5:48">
      <c r="E971" s="39"/>
      <c r="F971" s="39"/>
      <c r="G971" s="39"/>
      <c r="H971" s="39"/>
      <c r="I971" s="39"/>
      <c r="J971" s="39"/>
      <c r="K971" s="39"/>
      <c r="L971" s="39"/>
      <c r="M971" s="660"/>
      <c r="R971" s="600"/>
      <c r="S971" s="600"/>
      <c r="T971" s="600"/>
      <c r="U971" s="600"/>
      <c r="V971" s="600"/>
      <c r="W971" s="600"/>
      <c r="X971" s="600"/>
      <c r="Y971" s="600"/>
      <c r="Z971" s="600"/>
      <c r="AD971" s="600">
        <v>960</v>
      </c>
      <c r="AF971" s="600"/>
      <c r="AG971" s="600"/>
      <c r="AH971" s="600"/>
      <c r="AI971" s="600"/>
      <c r="AJ971" s="600"/>
      <c r="AK971" s="600"/>
      <c r="AL971" s="600"/>
      <c r="AM971" s="600"/>
      <c r="AO971" s="600"/>
      <c r="AP971" s="600"/>
      <c r="AQ971" s="600"/>
      <c r="AR971" s="600"/>
      <c r="AS971" s="600"/>
      <c r="AT971" s="600"/>
      <c r="AU971" s="600"/>
      <c r="AV971" s="600"/>
    </row>
    <row r="972" spans="5:48">
      <c r="E972" s="39"/>
      <c r="F972" s="39"/>
      <c r="G972" s="39"/>
      <c r="H972" s="39"/>
      <c r="I972" s="39"/>
      <c r="J972" s="39"/>
      <c r="K972" s="39"/>
      <c r="L972" s="39"/>
      <c r="M972" s="660"/>
      <c r="R972" s="600"/>
      <c r="S972" s="600"/>
      <c r="T972" s="600"/>
      <c r="U972" s="600"/>
      <c r="V972" s="600"/>
      <c r="W972" s="600"/>
      <c r="X972" s="600"/>
      <c r="Y972" s="600"/>
      <c r="Z972" s="600"/>
      <c r="AD972" s="600">
        <v>961</v>
      </c>
      <c r="AF972" s="600"/>
      <c r="AG972" s="600"/>
      <c r="AH972" s="600"/>
      <c r="AI972" s="600"/>
      <c r="AJ972" s="600"/>
      <c r="AK972" s="600"/>
      <c r="AL972" s="600"/>
      <c r="AM972" s="600"/>
      <c r="AO972" s="600"/>
      <c r="AP972" s="600"/>
      <c r="AQ972" s="600"/>
      <c r="AR972" s="600"/>
      <c r="AS972" s="600"/>
      <c r="AT972" s="600"/>
      <c r="AU972" s="600"/>
      <c r="AV972" s="600"/>
    </row>
    <row r="973" spans="5:48">
      <c r="E973" s="39"/>
      <c r="F973" s="39"/>
      <c r="G973" s="39"/>
      <c r="H973" s="39"/>
      <c r="I973" s="39"/>
      <c r="J973" s="39"/>
      <c r="K973" s="39"/>
      <c r="L973" s="39"/>
      <c r="M973" s="660"/>
      <c r="R973" s="600"/>
      <c r="S973" s="600"/>
      <c r="T973" s="600"/>
      <c r="U973" s="600"/>
      <c r="V973" s="600"/>
      <c r="W973" s="600"/>
      <c r="X973" s="600"/>
      <c r="Y973" s="600"/>
      <c r="Z973" s="600"/>
      <c r="AD973" s="600">
        <v>962</v>
      </c>
      <c r="AF973" s="600"/>
      <c r="AG973" s="600"/>
      <c r="AH973" s="600"/>
      <c r="AI973" s="600"/>
      <c r="AJ973" s="600"/>
      <c r="AK973" s="600"/>
      <c r="AL973" s="600"/>
      <c r="AM973" s="600"/>
      <c r="AO973" s="600"/>
      <c r="AP973" s="600"/>
      <c r="AQ973" s="600"/>
      <c r="AR973" s="600"/>
      <c r="AS973" s="600"/>
      <c r="AT973" s="600"/>
      <c r="AU973" s="600"/>
      <c r="AV973" s="600"/>
    </row>
    <row r="974" spans="5:48">
      <c r="E974" s="39"/>
      <c r="F974" s="39"/>
      <c r="G974" s="39"/>
      <c r="H974" s="39"/>
      <c r="I974" s="39"/>
      <c r="J974" s="39"/>
      <c r="K974" s="39"/>
      <c r="L974" s="39"/>
      <c r="M974" s="660"/>
      <c r="R974" s="600"/>
      <c r="S974" s="600"/>
      <c r="T974" s="600"/>
      <c r="U974" s="600"/>
      <c r="V974" s="600"/>
      <c r="W974" s="600"/>
      <c r="X974" s="600"/>
      <c r="Y974" s="600"/>
      <c r="Z974" s="600"/>
      <c r="AD974" s="600">
        <v>963</v>
      </c>
      <c r="AF974" s="600"/>
      <c r="AG974" s="600"/>
      <c r="AH974" s="600"/>
      <c r="AI974" s="600"/>
      <c r="AJ974" s="600"/>
      <c r="AK974" s="600"/>
      <c r="AL974" s="600"/>
      <c r="AM974" s="600"/>
      <c r="AO974" s="600"/>
      <c r="AP974" s="600"/>
      <c r="AQ974" s="600"/>
      <c r="AR974" s="600"/>
      <c r="AS974" s="600"/>
      <c r="AT974" s="600"/>
      <c r="AU974" s="600"/>
      <c r="AV974" s="600"/>
    </row>
    <row r="975" spans="5:48">
      <c r="E975" s="39"/>
      <c r="F975" s="39"/>
      <c r="G975" s="39"/>
      <c r="H975" s="39"/>
      <c r="I975" s="39"/>
      <c r="J975" s="39"/>
      <c r="K975" s="39"/>
      <c r="L975" s="39"/>
      <c r="M975" s="660"/>
      <c r="R975" s="600"/>
      <c r="S975" s="600"/>
      <c r="T975" s="600"/>
      <c r="U975" s="600"/>
      <c r="V975" s="600"/>
      <c r="W975" s="600"/>
      <c r="X975" s="600"/>
      <c r="Y975" s="600"/>
      <c r="Z975" s="600"/>
      <c r="AD975" s="600">
        <v>964</v>
      </c>
      <c r="AF975" s="600"/>
      <c r="AG975" s="600"/>
      <c r="AH975" s="600"/>
      <c r="AI975" s="600"/>
      <c r="AJ975" s="600"/>
      <c r="AK975" s="600"/>
      <c r="AL975" s="600"/>
      <c r="AM975" s="600"/>
      <c r="AO975" s="600"/>
      <c r="AP975" s="600"/>
      <c r="AQ975" s="600"/>
      <c r="AR975" s="600"/>
      <c r="AS975" s="600"/>
      <c r="AT975" s="600"/>
      <c r="AU975" s="600"/>
      <c r="AV975" s="600"/>
    </row>
    <row r="976" spans="5:48">
      <c r="E976" s="39"/>
      <c r="F976" s="39"/>
      <c r="G976" s="39"/>
      <c r="H976" s="39"/>
      <c r="I976" s="39"/>
      <c r="J976" s="39"/>
      <c r="K976" s="39"/>
      <c r="L976" s="39"/>
      <c r="M976" s="660"/>
      <c r="R976" s="600"/>
      <c r="S976" s="600"/>
      <c r="T976" s="600"/>
      <c r="U976" s="600"/>
      <c r="V976" s="600"/>
      <c r="W976" s="600"/>
      <c r="X976" s="600"/>
      <c r="Y976" s="600"/>
      <c r="Z976" s="600"/>
      <c r="AD976" s="600">
        <v>965</v>
      </c>
      <c r="AF976" s="600"/>
      <c r="AG976" s="600"/>
      <c r="AH976" s="600"/>
      <c r="AI976" s="600"/>
      <c r="AJ976" s="600"/>
      <c r="AK976" s="600"/>
      <c r="AL976" s="600"/>
      <c r="AM976" s="600"/>
      <c r="AO976" s="600"/>
      <c r="AP976" s="600"/>
      <c r="AQ976" s="600"/>
      <c r="AR976" s="600"/>
      <c r="AS976" s="600"/>
      <c r="AT976" s="600"/>
      <c r="AU976" s="600"/>
      <c r="AV976" s="600"/>
    </row>
    <row r="977" spans="5:48">
      <c r="E977" s="39"/>
      <c r="F977" s="39"/>
      <c r="G977" s="39"/>
      <c r="H977" s="39"/>
      <c r="I977" s="39"/>
      <c r="J977" s="39"/>
      <c r="K977" s="39"/>
      <c r="L977" s="39"/>
      <c r="M977" s="660"/>
      <c r="R977" s="600"/>
      <c r="S977" s="600"/>
      <c r="T977" s="600"/>
      <c r="U977" s="600"/>
      <c r="V977" s="600"/>
      <c r="W977" s="600"/>
      <c r="X977" s="600"/>
      <c r="Y977" s="600"/>
      <c r="Z977" s="600"/>
      <c r="AD977" s="600">
        <v>966</v>
      </c>
      <c r="AF977" s="600"/>
      <c r="AG977" s="600"/>
      <c r="AH977" s="600"/>
      <c r="AI977" s="600"/>
      <c r="AJ977" s="600"/>
      <c r="AK977" s="600"/>
      <c r="AL977" s="600"/>
      <c r="AM977" s="600"/>
      <c r="AO977" s="600"/>
      <c r="AP977" s="600"/>
      <c r="AQ977" s="600"/>
      <c r="AR977" s="600"/>
      <c r="AS977" s="600"/>
      <c r="AT977" s="600"/>
      <c r="AU977" s="600"/>
      <c r="AV977" s="600"/>
    </row>
    <row r="978" spans="5:48">
      <c r="E978" s="39"/>
      <c r="F978" s="39"/>
      <c r="G978" s="39"/>
      <c r="H978" s="39"/>
      <c r="I978" s="39"/>
      <c r="J978" s="39"/>
      <c r="K978" s="39"/>
      <c r="L978" s="39"/>
      <c r="M978" s="660"/>
      <c r="R978" s="600"/>
      <c r="S978" s="600"/>
      <c r="T978" s="600"/>
      <c r="U978" s="600"/>
      <c r="V978" s="600"/>
      <c r="W978" s="600"/>
      <c r="X978" s="600"/>
      <c r="Y978" s="600"/>
      <c r="Z978" s="600"/>
      <c r="AD978" s="600">
        <v>967</v>
      </c>
      <c r="AF978" s="600"/>
      <c r="AG978" s="600"/>
      <c r="AH978" s="600"/>
      <c r="AI978" s="600"/>
      <c r="AJ978" s="600"/>
      <c r="AK978" s="600"/>
      <c r="AL978" s="600"/>
      <c r="AM978" s="600"/>
      <c r="AO978" s="600"/>
      <c r="AP978" s="600"/>
      <c r="AQ978" s="600"/>
      <c r="AR978" s="600"/>
      <c r="AS978" s="600"/>
      <c r="AT978" s="600"/>
      <c r="AU978" s="600"/>
      <c r="AV978" s="600"/>
    </row>
    <row r="979" spans="5:48">
      <c r="E979" s="39"/>
      <c r="F979" s="39"/>
      <c r="G979" s="39"/>
      <c r="H979" s="39"/>
      <c r="I979" s="39"/>
      <c r="J979" s="39"/>
      <c r="K979" s="39"/>
      <c r="L979" s="39"/>
      <c r="M979" s="660"/>
      <c r="R979" s="600"/>
      <c r="S979" s="600"/>
      <c r="T979" s="600"/>
      <c r="U979" s="600"/>
      <c r="V979" s="600"/>
      <c r="W979" s="600"/>
      <c r="X979" s="600"/>
      <c r="Y979" s="600"/>
      <c r="Z979" s="600"/>
      <c r="AD979" s="600">
        <v>968</v>
      </c>
      <c r="AF979" s="600"/>
      <c r="AG979" s="600"/>
      <c r="AH979" s="600"/>
      <c r="AI979" s="600"/>
      <c r="AJ979" s="600"/>
      <c r="AK979" s="600"/>
      <c r="AL979" s="600"/>
      <c r="AM979" s="600"/>
      <c r="AO979" s="600"/>
      <c r="AP979" s="600"/>
      <c r="AQ979" s="600"/>
      <c r="AR979" s="600"/>
      <c r="AS979" s="600"/>
      <c r="AT979" s="600"/>
      <c r="AU979" s="600"/>
      <c r="AV979" s="600"/>
    </row>
    <row r="980" spans="5:48">
      <c r="E980" s="39"/>
      <c r="F980" s="39"/>
      <c r="G980" s="39"/>
      <c r="H980" s="39"/>
      <c r="I980" s="39"/>
      <c r="J980" s="39"/>
      <c r="K980" s="39"/>
      <c r="L980" s="39"/>
      <c r="M980" s="660"/>
      <c r="R980" s="600"/>
      <c r="S980" s="600"/>
      <c r="T980" s="600"/>
      <c r="U980" s="600"/>
      <c r="V980" s="600"/>
      <c r="W980" s="600"/>
      <c r="X980" s="600"/>
      <c r="Y980" s="600"/>
      <c r="Z980" s="600"/>
      <c r="AD980" s="600">
        <v>969</v>
      </c>
      <c r="AF980" s="600"/>
      <c r="AG980" s="600"/>
      <c r="AH980" s="600"/>
      <c r="AI980" s="600"/>
      <c r="AJ980" s="600"/>
      <c r="AK980" s="600"/>
      <c r="AL980" s="600"/>
      <c r="AM980" s="600"/>
      <c r="AO980" s="600"/>
      <c r="AP980" s="600"/>
      <c r="AQ980" s="600"/>
      <c r="AR980" s="600"/>
      <c r="AS980" s="600"/>
      <c r="AT980" s="600"/>
      <c r="AU980" s="600"/>
      <c r="AV980" s="600"/>
    </row>
    <row r="981" spans="5:48">
      <c r="E981" s="39"/>
      <c r="F981" s="39"/>
      <c r="G981" s="39"/>
      <c r="H981" s="39"/>
      <c r="I981" s="39"/>
      <c r="J981" s="39"/>
      <c r="K981" s="39"/>
      <c r="L981" s="39"/>
      <c r="M981" s="660"/>
      <c r="R981" s="600"/>
      <c r="S981" s="600"/>
      <c r="T981" s="600"/>
      <c r="U981" s="600"/>
      <c r="V981" s="600"/>
      <c r="W981" s="600"/>
      <c r="X981" s="600"/>
      <c r="Y981" s="600"/>
      <c r="Z981" s="600"/>
      <c r="AD981" s="600">
        <v>970</v>
      </c>
      <c r="AF981" s="600"/>
      <c r="AG981" s="600"/>
      <c r="AH981" s="600"/>
      <c r="AI981" s="600"/>
      <c r="AJ981" s="600"/>
      <c r="AK981" s="600"/>
      <c r="AL981" s="600"/>
      <c r="AM981" s="600"/>
      <c r="AO981" s="600"/>
      <c r="AP981" s="600"/>
      <c r="AQ981" s="600"/>
      <c r="AR981" s="600"/>
      <c r="AS981" s="600"/>
      <c r="AT981" s="600"/>
      <c r="AU981" s="600"/>
      <c r="AV981" s="600"/>
    </row>
    <row r="982" spans="5:48">
      <c r="E982" s="39"/>
      <c r="F982" s="39"/>
      <c r="G982" s="39"/>
      <c r="H982" s="39"/>
      <c r="I982" s="39"/>
      <c r="J982" s="39"/>
      <c r="K982" s="39"/>
      <c r="L982" s="39"/>
      <c r="M982" s="660"/>
      <c r="R982" s="600"/>
      <c r="S982" s="600"/>
      <c r="T982" s="600"/>
      <c r="U982" s="600"/>
      <c r="V982" s="600"/>
      <c r="W982" s="600"/>
      <c r="X982" s="600"/>
      <c r="Y982" s="600"/>
      <c r="Z982" s="600"/>
      <c r="AD982" s="600">
        <v>971</v>
      </c>
      <c r="AF982" s="600"/>
      <c r="AG982" s="600"/>
      <c r="AH982" s="600"/>
      <c r="AI982" s="600"/>
      <c r="AJ982" s="600"/>
      <c r="AK982" s="600"/>
      <c r="AL982" s="600"/>
      <c r="AM982" s="600"/>
      <c r="AO982" s="600"/>
      <c r="AP982" s="600"/>
      <c r="AQ982" s="600"/>
      <c r="AR982" s="600"/>
      <c r="AS982" s="600"/>
      <c r="AT982" s="600"/>
      <c r="AU982" s="600"/>
      <c r="AV982" s="600"/>
    </row>
    <row r="983" spans="5:48">
      <c r="E983" s="39"/>
      <c r="F983" s="39"/>
      <c r="G983" s="39"/>
      <c r="H983" s="39"/>
      <c r="I983" s="39"/>
      <c r="J983" s="39"/>
      <c r="K983" s="39"/>
      <c r="L983" s="39"/>
      <c r="M983" s="660"/>
      <c r="R983" s="600"/>
      <c r="S983" s="600"/>
      <c r="T983" s="600"/>
      <c r="U983" s="600"/>
      <c r="V983" s="600"/>
      <c r="W983" s="600"/>
      <c r="X983" s="600"/>
      <c r="Y983" s="600"/>
      <c r="Z983" s="600"/>
      <c r="AD983" s="600">
        <v>972</v>
      </c>
      <c r="AF983" s="600"/>
      <c r="AG983" s="600"/>
      <c r="AH983" s="600"/>
      <c r="AI983" s="600"/>
      <c r="AJ983" s="600"/>
      <c r="AK983" s="600"/>
      <c r="AL983" s="600"/>
      <c r="AM983" s="600"/>
      <c r="AO983" s="600"/>
      <c r="AP983" s="600"/>
      <c r="AQ983" s="600"/>
      <c r="AR983" s="600"/>
      <c r="AS983" s="600"/>
      <c r="AT983" s="600"/>
      <c r="AU983" s="600"/>
      <c r="AV983" s="600"/>
    </row>
    <row r="984" spans="5:48">
      <c r="E984" s="39"/>
      <c r="F984" s="39"/>
      <c r="G984" s="39"/>
      <c r="H984" s="39"/>
      <c r="I984" s="39"/>
      <c r="J984" s="39"/>
      <c r="K984" s="39"/>
      <c r="L984" s="39"/>
      <c r="M984" s="660"/>
      <c r="R984" s="600"/>
      <c r="S984" s="600"/>
      <c r="T984" s="600"/>
      <c r="U984" s="600"/>
      <c r="V984" s="600"/>
      <c r="W984" s="600"/>
      <c r="X984" s="600"/>
      <c r="Y984" s="600"/>
      <c r="Z984" s="600"/>
      <c r="AD984" s="600">
        <v>973</v>
      </c>
      <c r="AF984" s="600"/>
      <c r="AG984" s="600"/>
      <c r="AH984" s="600"/>
      <c r="AI984" s="600"/>
      <c r="AJ984" s="600"/>
      <c r="AK984" s="600"/>
      <c r="AL984" s="600"/>
      <c r="AM984" s="600"/>
      <c r="AO984" s="600"/>
      <c r="AP984" s="600"/>
      <c r="AQ984" s="600"/>
      <c r="AR984" s="600"/>
      <c r="AS984" s="600"/>
      <c r="AT984" s="600"/>
      <c r="AU984" s="600"/>
      <c r="AV984" s="600"/>
    </row>
    <row r="985" spans="5:48">
      <c r="E985" s="39"/>
      <c r="F985" s="39"/>
      <c r="G985" s="39"/>
      <c r="H985" s="39"/>
      <c r="I985" s="39"/>
      <c r="J985" s="39"/>
      <c r="K985" s="39"/>
      <c r="L985" s="39"/>
      <c r="M985" s="660"/>
      <c r="R985" s="600"/>
      <c r="S985" s="600"/>
      <c r="T985" s="600"/>
      <c r="U985" s="600"/>
      <c r="V985" s="600"/>
      <c r="W985" s="600"/>
      <c r="X985" s="600"/>
      <c r="Y985" s="600"/>
      <c r="Z985" s="600"/>
      <c r="AD985" s="600">
        <v>974</v>
      </c>
      <c r="AF985" s="600"/>
      <c r="AG985" s="600"/>
      <c r="AH985" s="600"/>
      <c r="AI985" s="600"/>
      <c r="AJ985" s="600"/>
      <c r="AK985" s="600"/>
      <c r="AL985" s="600"/>
      <c r="AM985" s="600"/>
      <c r="AO985" s="600"/>
      <c r="AP985" s="600"/>
      <c r="AQ985" s="600"/>
      <c r="AR985" s="600"/>
      <c r="AS985" s="600"/>
      <c r="AT985" s="600"/>
      <c r="AU985" s="600"/>
      <c r="AV985" s="600"/>
    </row>
    <row r="986" spans="5:48">
      <c r="E986" s="39"/>
      <c r="F986" s="39"/>
      <c r="G986" s="39"/>
      <c r="H986" s="39"/>
      <c r="I986" s="39"/>
      <c r="J986" s="39"/>
      <c r="K986" s="39"/>
      <c r="L986" s="39"/>
      <c r="M986" s="660"/>
      <c r="R986" s="600"/>
      <c r="S986" s="600"/>
      <c r="T986" s="600"/>
      <c r="U986" s="600"/>
      <c r="V986" s="600"/>
      <c r="W986" s="600"/>
      <c r="X986" s="600"/>
      <c r="Y986" s="600"/>
      <c r="Z986" s="600"/>
      <c r="AD986" s="600">
        <v>975</v>
      </c>
      <c r="AF986" s="600"/>
      <c r="AG986" s="600"/>
      <c r="AH986" s="600"/>
      <c r="AI986" s="600"/>
      <c r="AJ986" s="600"/>
      <c r="AK986" s="600"/>
      <c r="AL986" s="600"/>
      <c r="AM986" s="600"/>
      <c r="AO986" s="600"/>
      <c r="AP986" s="600"/>
      <c r="AQ986" s="600"/>
      <c r="AR986" s="600"/>
      <c r="AS986" s="600"/>
      <c r="AT986" s="600"/>
      <c r="AU986" s="600"/>
      <c r="AV986" s="600"/>
    </row>
    <row r="987" spans="5:48">
      <c r="E987" s="39"/>
      <c r="F987" s="39"/>
      <c r="G987" s="39"/>
      <c r="H987" s="39"/>
      <c r="I987" s="39"/>
      <c r="J987" s="39"/>
      <c r="K987" s="39"/>
      <c r="L987" s="39"/>
      <c r="M987" s="660"/>
      <c r="R987" s="600"/>
      <c r="S987" s="600"/>
      <c r="T987" s="600"/>
      <c r="U987" s="600"/>
      <c r="V987" s="600"/>
      <c r="W987" s="600"/>
      <c r="X987" s="600"/>
      <c r="Y987" s="600"/>
      <c r="Z987" s="600"/>
      <c r="AD987" s="600">
        <v>976</v>
      </c>
      <c r="AF987" s="600"/>
      <c r="AG987" s="600"/>
      <c r="AH987" s="600"/>
      <c r="AI987" s="600"/>
      <c r="AJ987" s="600"/>
      <c r="AK987" s="600"/>
      <c r="AL987" s="600"/>
      <c r="AM987" s="600"/>
      <c r="AO987" s="600"/>
      <c r="AP987" s="600"/>
      <c r="AQ987" s="600"/>
      <c r="AR987" s="600"/>
      <c r="AS987" s="600"/>
      <c r="AT987" s="600"/>
      <c r="AU987" s="600"/>
      <c r="AV987" s="600"/>
    </row>
    <row r="988" spans="5:48">
      <c r="E988" s="39"/>
      <c r="F988" s="39"/>
      <c r="G988" s="39"/>
      <c r="H988" s="39"/>
      <c r="I988" s="39"/>
      <c r="J988" s="39"/>
      <c r="K988" s="39"/>
      <c r="L988" s="39"/>
      <c r="M988" s="660"/>
      <c r="R988" s="600"/>
      <c r="S988" s="600"/>
      <c r="T988" s="600"/>
      <c r="U988" s="600"/>
      <c r="V988" s="600"/>
      <c r="W988" s="600"/>
      <c r="X988" s="600"/>
      <c r="Y988" s="600"/>
      <c r="Z988" s="600"/>
      <c r="AD988" s="600">
        <v>977</v>
      </c>
      <c r="AF988" s="600"/>
      <c r="AG988" s="600"/>
      <c r="AH988" s="600"/>
      <c r="AI988" s="600"/>
      <c r="AJ988" s="600"/>
      <c r="AK988" s="600"/>
      <c r="AL988" s="600"/>
      <c r="AM988" s="600"/>
      <c r="AO988" s="600"/>
      <c r="AP988" s="600"/>
      <c r="AQ988" s="600"/>
      <c r="AR988" s="600"/>
      <c r="AS988" s="600"/>
      <c r="AT988" s="600"/>
      <c r="AU988" s="600"/>
      <c r="AV988" s="600"/>
    </row>
    <row r="989" spans="5:48">
      <c r="E989" s="39"/>
      <c r="F989" s="39"/>
      <c r="G989" s="39"/>
      <c r="H989" s="39"/>
      <c r="I989" s="39"/>
      <c r="J989" s="39"/>
      <c r="K989" s="39"/>
      <c r="L989" s="39"/>
      <c r="M989" s="660"/>
      <c r="R989" s="600"/>
      <c r="S989" s="600"/>
      <c r="T989" s="600"/>
      <c r="U989" s="600"/>
      <c r="V989" s="600"/>
      <c r="W989" s="600"/>
      <c r="X989" s="600"/>
      <c r="Y989" s="600"/>
      <c r="Z989" s="600"/>
      <c r="AD989" s="600">
        <v>978</v>
      </c>
      <c r="AF989" s="600"/>
      <c r="AG989" s="600"/>
      <c r="AH989" s="600"/>
      <c r="AI989" s="600"/>
      <c r="AJ989" s="600"/>
      <c r="AK989" s="600"/>
      <c r="AL989" s="600"/>
      <c r="AM989" s="600"/>
      <c r="AO989" s="600"/>
      <c r="AP989" s="600"/>
      <c r="AQ989" s="600"/>
      <c r="AR989" s="600"/>
      <c r="AS989" s="600"/>
      <c r="AT989" s="600"/>
      <c r="AU989" s="600"/>
      <c r="AV989" s="600"/>
    </row>
    <row r="990" spans="5:48">
      <c r="E990" s="39"/>
      <c r="F990" s="39"/>
      <c r="G990" s="39"/>
      <c r="H990" s="39"/>
      <c r="I990" s="39"/>
      <c r="J990" s="39"/>
      <c r="K990" s="39"/>
      <c r="L990" s="39"/>
      <c r="M990" s="660"/>
      <c r="R990" s="600"/>
      <c r="S990" s="600"/>
      <c r="T990" s="600"/>
      <c r="U990" s="600"/>
      <c r="V990" s="600"/>
      <c r="W990" s="600"/>
      <c r="X990" s="600"/>
      <c r="Y990" s="600"/>
      <c r="Z990" s="600"/>
      <c r="AD990" s="600">
        <v>979</v>
      </c>
      <c r="AF990" s="600"/>
      <c r="AG990" s="600"/>
      <c r="AH990" s="600"/>
      <c r="AI990" s="600"/>
      <c r="AJ990" s="600"/>
      <c r="AK990" s="600"/>
      <c r="AL990" s="600"/>
      <c r="AM990" s="600"/>
      <c r="AO990" s="600"/>
      <c r="AP990" s="600"/>
      <c r="AQ990" s="600"/>
      <c r="AR990" s="600"/>
      <c r="AS990" s="600"/>
      <c r="AT990" s="600"/>
      <c r="AU990" s="600"/>
      <c r="AV990" s="600"/>
    </row>
    <row r="991" spans="5:48">
      <c r="E991" s="39"/>
      <c r="F991" s="39"/>
      <c r="G991" s="39"/>
      <c r="H991" s="39"/>
      <c r="I991" s="39"/>
      <c r="J991" s="39"/>
      <c r="K991" s="39"/>
      <c r="L991" s="39"/>
      <c r="M991" s="660"/>
      <c r="R991" s="600"/>
      <c r="S991" s="600"/>
      <c r="T991" s="600"/>
      <c r="U991" s="600"/>
      <c r="V991" s="600"/>
      <c r="W991" s="600"/>
      <c r="X991" s="600"/>
      <c r="Y991" s="600"/>
      <c r="Z991" s="600"/>
      <c r="AD991" s="600">
        <v>980</v>
      </c>
      <c r="AF991" s="600"/>
      <c r="AG991" s="600"/>
      <c r="AH991" s="600"/>
      <c r="AI991" s="600"/>
      <c r="AJ991" s="600"/>
      <c r="AK991" s="600"/>
      <c r="AL991" s="600"/>
      <c r="AM991" s="600"/>
      <c r="AO991" s="600"/>
      <c r="AP991" s="600"/>
      <c r="AQ991" s="600"/>
      <c r="AR991" s="600"/>
      <c r="AS991" s="600"/>
      <c r="AT991" s="600"/>
      <c r="AU991" s="600"/>
      <c r="AV991" s="600"/>
    </row>
    <row r="992" spans="5:48">
      <c r="E992" s="39"/>
      <c r="F992" s="39"/>
      <c r="G992" s="39"/>
      <c r="H992" s="39"/>
      <c r="I992" s="39"/>
      <c r="J992" s="39"/>
      <c r="K992" s="39"/>
      <c r="L992" s="39"/>
      <c r="M992" s="660"/>
      <c r="R992" s="600"/>
      <c r="S992" s="600"/>
      <c r="T992" s="600"/>
      <c r="U992" s="600"/>
      <c r="V992" s="600"/>
      <c r="W992" s="600"/>
      <c r="X992" s="600"/>
      <c r="Y992" s="600"/>
      <c r="Z992" s="600"/>
      <c r="AD992" s="600">
        <v>981</v>
      </c>
      <c r="AF992" s="600"/>
      <c r="AG992" s="600"/>
      <c r="AH992" s="600"/>
      <c r="AI992" s="600"/>
      <c r="AJ992" s="600"/>
      <c r="AK992" s="600"/>
      <c r="AL992" s="600"/>
      <c r="AM992" s="600"/>
      <c r="AO992" s="600"/>
      <c r="AP992" s="600"/>
      <c r="AQ992" s="600"/>
      <c r="AR992" s="600"/>
      <c r="AS992" s="600"/>
      <c r="AT992" s="600"/>
      <c r="AU992" s="600"/>
      <c r="AV992" s="600"/>
    </row>
    <row r="993" spans="5:48">
      <c r="E993" s="39"/>
      <c r="F993" s="39"/>
      <c r="G993" s="39"/>
      <c r="H993" s="39"/>
      <c r="I993" s="39"/>
      <c r="J993" s="39"/>
      <c r="K993" s="39"/>
      <c r="L993" s="39"/>
      <c r="M993" s="660"/>
      <c r="R993" s="600"/>
      <c r="S993" s="600"/>
      <c r="T993" s="600"/>
      <c r="U993" s="600"/>
      <c r="V993" s="600"/>
      <c r="W993" s="600"/>
      <c r="X993" s="600"/>
      <c r="Y993" s="600"/>
      <c r="Z993" s="600"/>
      <c r="AD993" s="600">
        <v>982</v>
      </c>
      <c r="AF993" s="600"/>
      <c r="AG993" s="600"/>
      <c r="AH993" s="600"/>
      <c r="AI993" s="600"/>
      <c r="AJ993" s="600"/>
      <c r="AK993" s="600"/>
      <c r="AL993" s="600"/>
      <c r="AM993" s="600"/>
      <c r="AO993" s="600"/>
      <c r="AP993" s="600"/>
      <c r="AQ993" s="600"/>
      <c r="AR993" s="600"/>
      <c r="AS993" s="600"/>
      <c r="AT993" s="600"/>
      <c r="AU993" s="600"/>
      <c r="AV993" s="600"/>
    </row>
    <row r="994" spans="5:48">
      <c r="E994" s="39"/>
      <c r="F994" s="39"/>
      <c r="G994" s="39"/>
      <c r="H994" s="39"/>
      <c r="I994" s="39"/>
      <c r="J994" s="39"/>
      <c r="K994" s="39"/>
      <c r="L994" s="39"/>
      <c r="M994" s="660"/>
      <c r="R994" s="600"/>
      <c r="S994" s="600"/>
      <c r="T994" s="600"/>
      <c r="U994" s="600"/>
      <c r="V994" s="600"/>
      <c r="W994" s="600"/>
      <c r="X994" s="600"/>
      <c r="Y994" s="600"/>
      <c r="Z994" s="600"/>
      <c r="AD994" s="600">
        <v>983</v>
      </c>
      <c r="AF994" s="600"/>
      <c r="AG994" s="600"/>
      <c r="AH994" s="600"/>
      <c r="AI994" s="600"/>
      <c r="AJ994" s="600"/>
      <c r="AK994" s="600"/>
      <c r="AL994" s="600"/>
      <c r="AM994" s="600"/>
      <c r="AO994" s="600"/>
      <c r="AP994" s="600"/>
      <c r="AQ994" s="600"/>
      <c r="AR994" s="600"/>
      <c r="AS994" s="600"/>
      <c r="AT994" s="600"/>
      <c r="AU994" s="600"/>
      <c r="AV994" s="600"/>
    </row>
    <row r="995" spans="5:48">
      <c r="E995" s="39"/>
      <c r="F995" s="39"/>
      <c r="G995" s="39"/>
      <c r="H995" s="39"/>
      <c r="I995" s="39"/>
      <c r="J995" s="39"/>
      <c r="K995" s="39"/>
      <c r="L995" s="39"/>
      <c r="M995" s="660"/>
      <c r="R995" s="600"/>
      <c r="S995" s="600"/>
      <c r="T995" s="600"/>
      <c r="U995" s="600"/>
      <c r="V995" s="600"/>
      <c r="W995" s="600"/>
      <c r="X995" s="600"/>
      <c r="Y995" s="600"/>
      <c r="Z995" s="600"/>
      <c r="AD995" s="600">
        <v>984</v>
      </c>
      <c r="AF995" s="600"/>
      <c r="AG995" s="600"/>
      <c r="AH995" s="600"/>
      <c r="AI995" s="600"/>
      <c r="AJ995" s="600"/>
      <c r="AK995" s="600"/>
      <c r="AL995" s="600"/>
      <c r="AM995" s="600"/>
      <c r="AO995" s="600"/>
      <c r="AP995" s="600"/>
      <c r="AQ995" s="600"/>
      <c r="AR995" s="600"/>
      <c r="AS995" s="600"/>
      <c r="AT995" s="600"/>
      <c r="AU995" s="600"/>
      <c r="AV995" s="600"/>
    </row>
    <row r="996" spans="5:48">
      <c r="E996" s="39"/>
      <c r="F996" s="39"/>
      <c r="G996" s="39"/>
      <c r="H996" s="39"/>
      <c r="I996" s="39"/>
      <c r="J996" s="39"/>
      <c r="K996" s="39"/>
      <c r="L996" s="39"/>
      <c r="M996" s="660"/>
      <c r="R996" s="600"/>
      <c r="S996" s="600"/>
      <c r="T996" s="600"/>
      <c r="U996" s="600"/>
      <c r="V996" s="600"/>
      <c r="W996" s="600"/>
      <c r="X996" s="600"/>
      <c r="Y996" s="600"/>
      <c r="Z996" s="600"/>
      <c r="AD996" s="600">
        <v>985</v>
      </c>
      <c r="AF996" s="600"/>
      <c r="AG996" s="600"/>
      <c r="AH996" s="600"/>
      <c r="AI996" s="600"/>
      <c r="AJ996" s="600"/>
      <c r="AK996" s="600"/>
      <c r="AL996" s="600"/>
      <c r="AM996" s="600"/>
      <c r="AO996" s="600"/>
      <c r="AP996" s="600"/>
      <c r="AQ996" s="600"/>
      <c r="AR996" s="600"/>
      <c r="AS996" s="600"/>
      <c r="AT996" s="600"/>
      <c r="AU996" s="600"/>
      <c r="AV996" s="600"/>
    </row>
    <row r="997" spans="5:48">
      <c r="E997" s="39"/>
      <c r="F997" s="39"/>
      <c r="G997" s="39"/>
      <c r="H997" s="39"/>
      <c r="I997" s="39"/>
      <c r="J997" s="39"/>
      <c r="K997" s="39"/>
      <c r="L997" s="39"/>
      <c r="M997" s="660"/>
      <c r="R997" s="600"/>
      <c r="S997" s="600"/>
      <c r="T997" s="600"/>
      <c r="U997" s="600"/>
      <c r="V997" s="600"/>
      <c r="W997" s="600"/>
      <c r="X997" s="600"/>
      <c r="Y997" s="600"/>
      <c r="Z997" s="600"/>
      <c r="AD997" s="600">
        <v>986</v>
      </c>
      <c r="AF997" s="600"/>
      <c r="AG997" s="600"/>
      <c r="AH997" s="600"/>
      <c r="AI997" s="600"/>
      <c r="AJ997" s="600"/>
      <c r="AK997" s="600"/>
      <c r="AL997" s="600"/>
      <c r="AM997" s="600"/>
      <c r="AO997" s="600"/>
      <c r="AP997" s="600"/>
      <c r="AQ997" s="600"/>
      <c r="AR997" s="600"/>
      <c r="AS997" s="600"/>
      <c r="AT997" s="600"/>
      <c r="AU997" s="600"/>
      <c r="AV997" s="600"/>
    </row>
    <row r="998" spans="5:48">
      <c r="E998" s="39"/>
      <c r="F998" s="39"/>
      <c r="G998" s="39"/>
      <c r="H998" s="39"/>
      <c r="I998" s="39"/>
      <c r="J998" s="39"/>
      <c r="K998" s="39"/>
      <c r="L998" s="39"/>
      <c r="M998" s="660"/>
      <c r="R998" s="600"/>
      <c r="S998" s="600"/>
      <c r="T998" s="600"/>
      <c r="U998" s="600"/>
      <c r="V998" s="600"/>
      <c r="W998" s="600"/>
      <c r="X998" s="600"/>
      <c r="Y998" s="600"/>
      <c r="Z998" s="600"/>
      <c r="AD998" s="600">
        <v>987</v>
      </c>
      <c r="AF998" s="600"/>
      <c r="AG998" s="600"/>
      <c r="AH998" s="600"/>
      <c r="AI998" s="600"/>
      <c r="AJ998" s="600"/>
      <c r="AK998" s="600"/>
      <c r="AL998" s="600"/>
      <c r="AM998" s="600"/>
      <c r="AO998" s="600"/>
      <c r="AP998" s="600"/>
      <c r="AQ998" s="600"/>
      <c r="AR998" s="600"/>
      <c r="AS998" s="600"/>
      <c r="AT998" s="600"/>
      <c r="AU998" s="600"/>
      <c r="AV998" s="600"/>
    </row>
    <row r="999" spans="5:48">
      <c r="E999" s="39"/>
      <c r="F999" s="39"/>
      <c r="G999" s="39"/>
      <c r="H999" s="39"/>
      <c r="I999" s="39"/>
      <c r="J999" s="39"/>
      <c r="K999" s="39"/>
      <c r="L999" s="39"/>
      <c r="M999" s="661"/>
      <c r="R999" s="600"/>
      <c r="S999" s="600"/>
      <c r="T999" s="600"/>
      <c r="U999" s="600"/>
      <c r="V999" s="600"/>
      <c r="W999" s="600"/>
      <c r="X999" s="600"/>
      <c r="Y999" s="600"/>
      <c r="Z999" s="600"/>
      <c r="AD999" s="600">
        <v>988</v>
      </c>
      <c r="AF999" s="600"/>
      <c r="AG999" s="600"/>
      <c r="AH999" s="600"/>
      <c r="AI999" s="600"/>
      <c r="AJ999" s="600"/>
      <c r="AK999" s="600"/>
      <c r="AL999" s="600"/>
      <c r="AM999" s="600"/>
      <c r="AO999" s="600"/>
      <c r="AP999" s="600"/>
      <c r="AQ999" s="600"/>
      <c r="AR999" s="600"/>
      <c r="AS999" s="600"/>
      <c r="AT999" s="600"/>
      <c r="AU999" s="600"/>
      <c r="AV999" s="600"/>
    </row>
    <row r="1000" spans="5:48">
      <c r="M1000" s="661"/>
      <c r="AO1000" s="600"/>
      <c r="AP1000" s="600"/>
      <c r="AQ1000" s="600"/>
      <c r="AR1000" s="600"/>
      <c r="AS1000" s="600"/>
      <c r="AT1000" s="600"/>
      <c r="AU1000" s="600"/>
      <c r="AV1000" s="600"/>
    </row>
    <row r="1001" spans="5:48">
      <c r="M1001" s="661"/>
    </row>
    <row r="1002" spans="5:48">
      <c r="M1002" s="661"/>
    </row>
    <row r="1003" spans="5:48">
      <c r="M1003" s="661"/>
    </row>
    <row r="1004" spans="5:48">
      <c r="M1004" s="661"/>
    </row>
    <row r="1005" spans="5:48">
      <c r="M1005" s="661"/>
    </row>
    <row r="1006" spans="5:48">
      <c r="M1006" s="661"/>
    </row>
    <row r="1007" spans="5:48">
      <c r="M1007" s="661"/>
    </row>
    <row r="1008" spans="5:48">
      <c r="M1008" s="661"/>
    </row>
    <row r="1009" spans="13:13">
      <c r="M1009" s="661"/>
    </row>
    <row r="1010" spans="13:13">
      <c r="M1010" s="661"/>
    </row>
    <row r="1011" spans="13:13">
      <c r="M1011" s="661"/>
    </row>
    <row r="1012" spans="13:13">
      <c r="M1012" s="661"/>
    </row>
    <row r="1013" spans="13:13">
      <c r="M1013" s="661"/>
    </row>
    <row r="1014" spans="13:13">
      <c r="M1014" s="661"/>
    </row>
    <row r="1015" spans="13:13">
      <c r="M1015" s="661"/>
    </row>
    <row r="1016" spans="13:13">
      <c r="M1016" s="661"/>
    </row>
    <row r="1017" spans="13:13">
      <c r="M1017" s="661"/>
    </row>
    <row r="1018" spans="13:13">
      <c r="M1018" s="661"/>
    </row>
    <row r="1019" spans="13:13">
      <c r="M1019" s="661"/>
    </row>
    <row r="1020" spans="13:13">
      <c r="M1020" s="661"/>
    </row>
    <row r="1021" spans="13:13">
      <c r="M1021" s="661"/>
    </row>
    <row r="1022" spans="13:13">
      <c r="M1022" s="661"/>
    </row>
    <row r="1023" spans="13:13">
      <c r="M1023" s="661"/>
    </row>
    <row r="1024" spans="13:13">
      <c r="M1024" s="661"/>
    </row>
    <row r="1025" spans="13:13">
      <c r="M1025" s="661"/>
    </row>
    <row r="1026" spans="13:13">
      <c r="M1026" s="661"/>
    </row>
    <row r="1027" spans="13:13">
      <c r="M1027" s="661"/>
    </row>
    <row r="1028" spans="13:13">
      <c r="M1028" s="661"/>
    </row>
    <row r="1029" spans="13:13">
      <c r="M1029" s="661"/>
    </row>
    <row r="1030" spans="13:13">
      <c r="M1030" s="661"/>
    </row>
    <row r="1031" spans="13:13">
      <c r="M1031" s="661"/>
    </row>
    <row r="1032" spans="13:13">
      <c r="M1032" s="661"/>
    </row>
    <row r="1033" spans="13:13">
      <c r="M1033" s="661"/>
    </row>
    <row r="1034" spans="13:13">
      <c r="M1034" s="661"/>
    </row>
    <row r="1035" spans="13:13">
      <c r="M1035" s="661"/>
    </row>
    <row r="1036" spans="13:13">
      <c r="M1036" s="661"/>
    </row>
    <row r="1037" spans="13:13">
      <c r="M1037" s="661"/>
    </row>
    <row r="1038" spans="13:13">
      <c r="M1038" s="661"/>
    </row>
    <row r="1039" spans="13:13">
      <c r="M1039" s="661"/>
    </row>
    <row r="1040" spans="13:13">
      <c r="M1040" s="661"/>
    </row>
    <row r="1041" spans="13:13">
      <c r="M1041" s="661"/>
    </row>
    <row r="1042" spans="13:13">
      <c r="M1042" s="661"/>
    </row>
    <row r="1043" spans="13:13">
      <c r="M1043" s="661"/>
    </row>
    <row r="1044" spans="13:13">
      <c r="M1044" s="661"/>
    </row>
    <row r="1045" spans="13:13">
      <c r="M1045" s="661"/>
    </row>
    <row r="1046" spans="13:13">
      <c r="M1046" s="661"/>
    </row>
    <row r="1047" spans="13:13">
      <c r="M1047" s="661"/>
    </row>
    <row r="1048" spans="13:13">
      <c r="M1048" s="661"/>
    </row>
    <row r="1049" spans="13:13">
      <c r="M1049" s="661"/>
    </row>
    <row r="1050" spans="13:13">
      <c r="M1050" s="661"/>
    </row>
    <row r="1051" spans="13:13">
      <c r="M1051" s="661"/>
    </row>
    <row r="1052" spans="13:13">
      <c r="M1052" s="661"/>
    </row>
    <row r="1053" spans="13:13">
      <c r="M1053" s="661"/>
    </row>
    <row r="1054" spans="13:13">
      <c r="M1054" s="661"/>
    </row>
    <row r="1055" spans="13:13">
      <c r="M1055" s="661"/>
    </row>
    <row r="1056" spans="13:13">
      <c r="M1056" s="661"/>
    </row>
    <row r="1057" spans="13:13">
      <c r="M1057" s="661"/>
    </row>
    <row r="1058" spans="13:13">
      <c r="M1058" s="661"/>
    </row>
    <row r="1059" spans="13:13">
      <c r="M1059" s="661"/>
    </row>
    <row r="1060" spans="13:13">
      <c r="M1060" s="661"/>
    </row>
    <row r="1061" spans="13:13">
      <c r="M1061" s="661"/>
    </row>
    <row r="1062" spans="13:13">
      <c r="M1062" s="661"/>
    </row>
    <row r="1063" spans="13:13">
      <c r="M1063" s="661"/>
    </row>
    <row r="1064" spans="13:13">
      <c r="M1064" s="661"/>
    </row>
    <row r="1065" spans="13:13">
      <c r="M1065" s="661"/>
    </row>
    <row r="1066" spans="13:13">
      <c r="M1066" s="661"/>
    </row>
    <row r="1067" spans="13:13">
      <c r="M1067" s="661"/>
    </row>
    <row r="1068" spans="13:13">
      <c r="M1068" s="661"/>
    </row>
    <row r="1069" spans="13:13">
      <c r="M1069" s="661"/>
    </row>
    <row r="1070" spans="13:13">
      <c r="M1070" s="661"/>
    </row>
    <row r="1071" spans="13:13">
      <c r="M1071" s="661"/>
    </row>
    <row r="1072" spans="13:13">
      <c r="M1072" s="661"/>
    </row>
    <row r="1073" spans="13:13">
      <c r="M1073" s="661"/>
    </row>
    <row r="1074" spans="13:13">
      <c r="M1074" s="661"/>
    </row>
    <row r="1075" spans="13:13">
      <c r="M1075" s="661"/>
    </row>
    <row r="1076" spans="13:13">
      <c r="M1076" s="661"/>
    </row>
    <row r="1077" spans="13:13">
      <c r="M1077" s="661"/>
    </row>
    <row r="1078" spans="13:13">
      <c r="M1078" s="661"/>
    </row>
    <row r="1079" spans="13:13">
      <c r="M1079" s="661"/>
    </row>
    <row r="1080" spans="13:13">
      <c r="M1080" s="661"/>
    </row>
    <row r="1081" spans="13:13">
      <c r="M1081" s="661"/>
    </row>
    <row r="1082" spans="13:13">
      <c r="M1082" s="661"/>
    </row>
    <row r="1083" spans="13:13">
      <c r="M1083" s="661"/>
    </row>
    <row r="1084" spans="13:13">
      <c r="M1084" s="661"/>
    </row>
    <row r="1085" spans="13:13">
      <c r="M1085" s="661"/>
    </row>
    <row r="1086" spans="13:13">
      <c r="M1086" s="661"/>
    </row>
    <row r="1087" spans="13:13">
      <c r="M1087" s="661"/>
    </row>
    <row r="1088" spans="13:13">
      <c r="M1088" s="661"/>
    </row>
    <row r="1089" spans="13:13">
      <c r="M1089" s="661"/>
    </row>
    <row r="1090" spans="13:13">
      <c r="M1090" s="661"/>
    </row>
    <row r="1091" spans="13:13">
      <c r="M1091" s="661"/>
    </row>
    <row r="1092" spans="13:13">
      <c r="M1092" s="661"/>
    </row>
    <row r="1093" spans="13:13">
      <c r="M1093" s="661"/>
    </row>
    <row r="1094" spans="13:13">
      <c r="M1094" s="661"/>
    </row>
    <row r="1095" spans="13:13">
      <c r="M1095" s="661"/>
    </row>
    <row r="1096" spans="13:13">
      <c r="M1096" s="661"/>
    </row>
    <row r="1097" spans="13:13">
      <c r="M1097" s="661"/>
    </row>
    <row r="1098" spans="13:13">
      <c r="M1098" s="661"/>
    </row>
    <row r="1099" spans="13:13">
      <c r="M1099" s="661"/>
    </row>
    <row r="1100" spans="13:13">
      <c r="M1100" s="661"/>
    </row>
    <row r="1101" spans="13:13">
      <c r="M1101" s="661"/>
    </row>
    <row r="1102" spans="13:13">
      <c r="M1102" s="661"/>
    </row>
    <row r="1103" spans="13:13">
      <c r="M1103" s="661"/>
    </row>
    <row r="1104" spans="13:13">
      <c r="M1104" s="661"/>
    </row>
    <row r="1105" spans="13:13">
      <c r="M1105" s="661"/>
    </row>
    <row r="1106" spans="13:13">
      <c r="M1106" s="661"/>
    </row>
    <row r="1107" spans="13:13">
      <c r="M1107" s="661"/>
    </row>
    <row r="1108" spans="13:13">
      <c r="M1108" s="661"/>
    </row>
    <row r="1109" spans="13:13">
      <c r="M1109" s="661"/>
    </row>
    <row r="1110" spans="13:13">
      <c r="M1110" s="661"/>
    </row>
    <row r="1111" spans="13:13">
      <c r="M1111" s="661"/>
    </row>
    <row r="1112" spans="13:13">
      <c r="M1112" s="661"/>
    </row>
    <row r="1113" spans="13:13">
      <c r="M1113" s="661"/>
    </row>
    <row r="1114" spans="13:13">
      <c r="M1114" s="661"/>
    </row>
    <row r="1115" spans="13:13">
      <c r="M1115" s="661"/>
    </row>
    <row r="1116" spans="13:13">
      <c r="M1116" s="661"/>
    </row>
    <row r="1117" spans="13:13">
      <c r="M1117" s="661"/>
    </row>
    <row r="1118" spans="13:13">
      <c r="M1118" s="661"/>
    </row>
    <row r="1119" spans="13:13">
      <c r="M1119" s="661"/>
    </row>
    <row r="1120" spans="13:13">
      <c r="M1120" s="661"/>
    </row>
    <row r="1121" spans="13:13">
      <c r="M1121" s="661"/>
    </row>
    <row r="1122" spans="13:13">
      <c r="M1122" s="661"/>
    </row>
    <row r="1123" spans="13:13">
      <c r="M1123" s="661"/>
    </row>
    <row r="1124" spans="13:13">
      <c r="M1124" s="661"/>
    </row>
    <row r="1125" spans="13:13">
      <c r="M1125" s="661"/>
    </row>
    <row r="1126" spans="13:13">
      <c r="M1126" s="661"/>
    </row>
    <row r="1127" spans="13:13">
      <c r="M1127" s="661"/>
    </row>
    <row r="1128" spans="13:13">
      <c r="M1128" s="661"/>
    </row>
    <row r="1129" spans="13:13">
      <c r="M1129" s="661"/>
    </row>
    <row r="1130" spans="13:13">
      <c r="M1130" s="661"/>
    </row>
    <row r="1131" spans="13:13">
      <c r="M1131" s="661"/>
    </row>
    <row r="1132" spans="13:13">
      <c r="M1132" s="661"/>
    </row>
    <row r="1133" spans="13:13">
      <c r="M1133" s="661"/>
    </row>
    <row r="1134" spans="13:13">
      <c r="M1134" s="661"/>
    </row>
    <row r="1135" spans="13:13">
      <c r="M1135" s="661"/>
    </row>
    <row r="1136" spans="13:13">
      <c r="M1136" s="661"/>
    </row>
    <row r="1137" spans="13:13">
      <c r="M1137" s="661"/>
    </row>
    <row r="1138" spans="13:13">
      <c r="M1138" s="661"/>
    </row>
    <row r="1139" spans="13:13">
      <c r="M1139" s="661"/>
    </row>
    <row r="1140" spans="13:13">
      <c r="M1140" s="661"/>
    </row>
    <row r="1141" spans="13:13">
      <c r="M1141" s="661"/>
    </row>
    <row r="1142" spans="13:13">
      <c r="M1142" s="661"/>
    </row>
    <row r="1143" spans="13:13">
      <c r="M1143" s="661"/>
    </row>
    <row r="1144" spans="13:13">
      <c r="M1144" s="661"/>
    </row>
    <row r="1145" spans="13:13">
      <c r="M1145" s="661"/>
    </row>
    <row r="1146" spans="13:13">
      <c r="M1146" s="661"/>
    </row>
    <row r="1147" spans="13:13">
      <c r="M1147" s="661"/>
    </row>
    <row r="1148" spans="13:13">
      <c r="M1148" s="661"/>
    </row>
    <row r="1149" spans="13:13">
      <c r="M1149" s="661"/>
    </row>
    <row r="1150" spans="13:13">
      <c r="M1150" s="661"/>
    </row>
    <row r="1151" spans="13:13">
      <c r="M1151" s="661"/>
    </row>
    <row r="1152" spans="13:13">
      <c r="M1152" s="661"/>
    </row>
    <row r="1153" spans="13:13">
      <c r="M1153" s="661"/>
    </row>
    <row r="1154" spans="13:13">
      <c r="M1154" s="661"/>
    </row>
    <row r="1155" spans="13:13">
      <c r="M1155" s="661"/>
    </row>
    <row r="1156" spans="13:13">
      <c r="M1156" s="661"/>
    </row>
    <row r="1157" spans="13:13">
      <c r="M1157" s="661"/>
    </row>
    <row r="1158" spans="13:13">
      <c r="M1158" s="661"/>
    </row>
    <row r="1159" spans="13:13">
      <c r="M1159" s="661"/>
    </row>
    <row r="1160" spans="13:13">
      <c r="M1160" s="661"/>
    </row>
    <row r="1161" spans="13:13">
      <c r="M1161" s="661"/>
    </row>
    <row r="1162" spans="13:13">
      <c r="M1162" s="661"/>
    </row>
    <row r="1163" spans="13:13">
      <c r="M1163" s="661"/>
    </row>
    <row r="1164" spans="13:13">
      <c r="M1164" s="661"/>
    </row>
    <row r="1165" spans="13:13">
      <c r="M1165" s="661"/>
    </row>
    <row r="1166" spans="13:13">
      <c r="M1166" s="661"/>
    </row>
    <row r="1167" spans="13:13">
      <c r="M1167" s="661"/>
    </row>
    <row r="1168" spans="13:13">
      <c r="M1168" s="661"/>
    </row>
    <row r="1169" spans="13:13">
      <c r="M1169" s="661"/>
    </row>
    <row r="1170" spans="13:13">
      <c r="M1170" s="661"/>
    </row>
    <row r="1171" spans="13:13">
      <c r="M1171" s="661"/>
    </row>
    <row r="1172" spans="13:13">
      <c r="M1172" s="661"/>
    </row>
    <row r="1173" spans="13:13">
      <c r="M1173" s="661"/>
    </row>
    <row r="1174" spans="13:13">
      <c r="M1174" s="661"/>
    </row>
    <row r="1175" spans="13:13">
      <c r="M1175" s="661"/>
    </row>
    <row r="1176" spans="13:13">
      <c r="M1176" s="661"/>
    </row>
    <row r="1177" spans="13:13">
      <c r="M1177" s="661"/>
    </row>
    <row r="1178" spans="13:13">
      <c r="M1178" s="661"/>
    </row>
    <row r="1179" spans="13:13">
      <c r="M1179" s="661"/>
    </row>
    <row r="1180" spans="13:13">
      <c r="M1180" s="661"/>
    </row>
    <row r="1181" spans="13:13">
      <c r="M1181" s="661"/>
    </row>
    <row r="1182" spans="13:13">
      <c r="M1182" s="661"/>
    </row>
    <row r="1183" spans="13:13">
      <c r="M1183" s="661"/>
    </row>
    <row r="1184" spans="13:13">
      <c r="M1184" s="661"/>
    </row>
    <row r="1185" spans="13:13">
      <c r="M1185" s="661"/>
    </row>
    <row r="1186" spans="13:13">
      <c r="M1186" s="661"/>
    </row>
    <row r="1187" spans="13:13">
      <c r="M1187" s="661"/>
    </row>
    <row r="1188" spans="13:13">
      <c r="M1188" s="661"/>
    </row>
    <row r="1189" spans="13:13">
      <c r="M1189" s="661"/>
    </row>
    <row r="1190" spans="13:13">
      <c r="M1190" s="661"/>
    </row>
    <row r="1191" spans="13:13">
      <c r="M1191" s="661"/>
    </row>
    <row r="1192" spans="13:13">
      <c r="M1192" s="661"/>
    </row>
    <row r="1193" spans="13:13">
      <c r="M1193" s="661"/>
    </row>
    <row r="1194" spans="13:13">
      <c r="M1194" s="661"/>
    </row>
    <row r="1195" spans="13:13">
      <c r="M1195" s="661"/>
    </row>
    <row r="1196" spans="13:13">
      <c r="M1196" s="661"/>
    </row>
    <row r="1197" spans="13:13">
      <c r="M1197" s="661"/>
    </row>
    <row r="1198" spans="13:13">
      <c r="M1198" s="661"/>
    </row>
    <row r="1199" spans="13:13">
      <c r="M1199" s="661"/>
    </row>
    <row r="1200" spans="13:13">
      <c r="M1200" s="661"/>
    </row>
    <row r="1201" spans="13:13">
      <c r="M1201" s="661"/>
    </row>
    <row r="1202" spans="13:13">
      <c r="M1202" s="661"/>
    </row>
    <row r="1203" spans="13:13">
      <c r="M1203" s="661"/>
    </row>
    <row r="1204" spans="13:13">
      <c r="M1204" s="661"/>
    </row>
    <row r="1205" spans="13:13">
      <c r="M1205" s="661"/>
    </row>
    <row r="1206" spans="13:13">
      <c r="M1206" s="661"/>
    </row>
    <row r="1207" spans="13:13">
      <c r="M1207" s="661"/>
    </row>
    <row r="1208" spans="13:13">
      <c r="M1208" s="661"/>
    </row>
    <row r="1209" spans="13:13">
      <c r="M1209" s="661"/>
    </row>
    <row r="1210" spans="13:13">
      <c r="M1210" s="661"/>
    </row>
    <row r="1211" spans="13:13">
      <c r="M1211" s="661"/>
    </row>
    <row r="1212" spans="13:13">
      <c r="M1212" s="661"/>
    </row>
    <row r="1213" spans="13:13">
      <c r="M1213" s="661"/>
    </row>
    <row r="1214" spans="13:13">
      <c r="M1214" s="661"/>
    </row>
    <row r="1215" spans="13:13">
      <c r="M1215" s="661"/>
    </row>
    <row r="1216" spans="13:13">
      <c r="M1216" s="661"/>
    </row>
    <row r="1217" spans="13:13">
      <c r="M1217" s="661"/>
    </row>
    <row r="1218" spans="13:13">
      <c r="M1218" s="661"/>
    </row>
    <row r="1219" spans="13:13">
      <c r="M1219" s="661"/>
    </row>
    <row r="1220" spans="13:13">
      <c r="M1220" s="661"/>
    </row>
    <row r="1221" spans="13:13">
      <c r="M1221" s="661"/>
    </row>
    <row r="1222" spans="13:13">
      <c r="M1222" s="661"/>
    </row>
    <row r="1223" spans="13:13">
      <c r="M1223" s="661"/>
    </row>
    <row r="1224" spans="13:13">
      <c r="M1224" s="661"/>
    </row>
    <row r="1225" spans="13:13">
      <c r="M1225" s="661"/>
    </row>
    <row r="1226" spans="13:13">
      <c r="M1226" s="661"/>
    </row>
    <row r="1227" spans="13:13">
      <c r="M1227" s="661"/>
    </row>
    <row r="1228" spans="13:13">
      <c r="M1228" s="661"/>
    </row>
    <row r="1229" spans="13:13">
      <c r="M1229" s="661"/>
    </row>
    <row r="1230" spans="13:13">
      <c r="M1230" s="661"/>
    </row>
    <row r="1231" spans="13:13">
      <c r="M1231" s="661"/>
    </row>
    <row r="1232" spans="13:13">
      <c r="M1232" s="661"/>
    </row>
    <row r="1233" spans="13:13">
      <c r="M1233" s="661"/>
    </row>
    <row r="1234" spans="13:13">
      <c r="M1234" s="661"/>
    </row>
    <row r="1235" spans="13:13">
      <c r="M1235" s="661"/>
    </row>
    <row r="1236" spans="13:13">
      <c r="M1236" s="661"/>
    </row>
    <row r="1237" spans="13:13">
      <c r="M1237" s="661"/>
    </row>
    <row r="1238" spans="13:13">
      <c r="M1238" s="661"/>
    </row>
    <row r="1239" spans="13:13">
      <c r="M1239" s="661"/>
    </row>
    <row r="1240" spans="13:13">
      <c r="M1240" s="661"/>
    </row>
    <row r="1241" spans="13:13">
      <c r="M1241" s="661"/>
    </row>
    <row r="1242" spans="13:13">
      <c r="M1242" s="661"/>
    </row>
    <row r="1243" spans="13:13">
      <c r="M1243" s="661"/>
    </row>
    <row r="1244" spans="13:13">
      <c r="M1244" s="661"/>
    </row>
    <row r="1245" spans="13:13">
      <c r="M1245" s="661"/>
    </row>
    <row r="1246" spans="13:13">
      <c r="M1246" s="661"/>
    </row>
    <row r="1247" spans="13:13">
      <c r="M1247" s="661"/>
    </row>
    <row r="1248" spans="13:13">
      <c r="M1248" s="661"/>
    </row>
    <row r="1249" spans="13:13">
      <c r="M1249" s="661"/>
    </row>
    <row r="1250" spans="13:13">
      <c r="M1250" s="661"/>
    </row>
    <row r="1251" spans="13:13">
      <c r="M1251" s="661"/>
    </row>
    <row r="1252" spans="13:13">
      <c r="M1252" s="661"/>
    </row>
    <row r="1253" spans="13:13">
      <c r="M1253" s="661"/>
    </row>
    <row r="1254" spans="13:13">
      <c r="M1254" s="661"/>
    </row>
    <row r="1255" spans="13:13">
      <c r="M1255" s="661"/>
    </row>
    <row r="1256" spans="13:13">
      <c r="M1256" s="661"/>
    </row>
    <row r="1257" spans="13:13">
      <c r="M1257" s="661"/>
    </row>
    <row r="1258" spans="13:13">
      <c r="M1258" s="661"/>
    </row>
    <row r="1259" spans="13:13">
      <c r="M1259" s="661"/>
    </row>
    <row r="1260" spans="13:13">
      <c r="M1260" s="661"/>
    </row>
    <row r="1261" spans="13:13">
      <c r="M1261" s="661"/>
    </row>
    <row r="1262" spans="13:13">
      <c r="M1262" s="661"/>
    </row>
    <row r="1263" spans="13:13">
      <c r="M1263" s="661"/>
    </row>
    <row r="1264" spans="13:13">
      <c r="M1264" s="661"/>
    </row>
    <row r="1265" spans="13:13">
      <c r="M1265" s="661"/>
    </row>
    <row r="1266" spans="13:13">
      <c r="M1266" s="661"/>
    </row>
    <row r="1267" spans="13:13">
      <c r="M1267" s="661"/>
    </row>
    <row r="1268" spans="13:13">
      <c r="M1268" s="661"/>
    </row>
    <row r="1269" spans="13:13">
      <c r="M1269" s="661"/>
    </row>
    <row r="1270" spans="13:13">
      <c r="M1270" s="661"/>
    </row>
    <row r="1271" spans="13:13">
      <c r="M1271" s="661"/>
    </row>
    <row r="1272" spans="13:13">
      <c r="M1272" s="661"/>
    </row>
    <row r="1273" spans="13:13">
      <c r="M1273" s="661"/>
    </row>
    <row r="1274" spans="13:13">
      <c r="M1274" s="661"/>
    </row>
    <row r="1275" spans="13:13">
      <c r="M1275" s="661"/>
    </row>
    <row r="1276" spans="13:13">
      <c r="M1276" s="661"/>
    </row>
    <row r="1277" spans="13:13">
      <c r="M1277" s="661"/>
    </row>
    <row r="1278" spans="13:13">
      <c r="M1278" s="661"/>
    </row>
    <row r="1279" spans="13:13">
      <c r="M1279" s="661"/>
    </row>
    <row r="1280" spans="13:13">
      <c r="M1280" s="661"/>
    </row>
    <row r="1281" spans="13:13">
      <c r="M1281" s="661"/>
    </row>
    <row r="1282" spans="13:13">
      <c r="M1282" s="661"/>
    </row>
    <row r="1283" spans="13:13">
      <c r="M1283" s="661"/>
    </row>
    <row r="1284" spans="13:13">
      <c r="M1284" s="661"/>
    </row>
    <row r="1285" spans="13:13">
      <c r="M1285" s="661"/>
    </row>
    <row r="1286" spans="13:13">
      <c r="M1286" s="661"/>
    </row>
    <row r="1287" spans="13:13">
      <c r="M1287" s="661"/>
    </row>
    <row r="1288" spans="13:13">
      <c r="M1288" s="661"/>
    </row>
  </sheetData>
  <sheetProtection algorithmName="SHA-512" hashValue="ogGr9PvOdj3q4+0f+dZosaN9nZfxkG5LEp4xjJnt7xdqvdMoCXpRG6w3U80exgMkzD8pLyAanUbkT8VnJ1tGRQ==" saltValue="L74J+q9quPP95+aGpltcdg==" spinCount="100000" sheet="1" objects="1" scenarios="1"/>
  <mergeCells count="7">
    <mergeCell ref="G9:I9"/>
    <mergeCell ref="J9:M9"/>
    <mergeCell ref="C8:M8"/>
    <mergeCell ref="U2:V2"/>
    <mergeCell ref="Q2:R2"/>
    <mergeCell ref="S2:T2"/>
    <mergeCell ref="O5:R5"/>
  </mergeCells>
  <phoneticPr fontId="0" type="noConversion"/>
  <dataValidations count="2">
    <dataValidation type="list" allowBlank="1" showInputMessage="1" showErrorMessage="1" sqref="G9" xr:uid="{00000000-0002-0000-0800-000000000000}">
      <formula1>"Force at Face of Column, Force at CL Support"</formula1>
    </dataValidation>
    <dataValidation type="list" allowBlank="1" showInputMessage="1" showErrorMessage="1" sqref="H9:I9" xr:uid="{00000000-0002-0000-0800-000001000000}">
      <formula1>"For Negative Bending Moment: Use Design Force at Face of Column"</formula1>
    </dataValidation>
  </dataValidations>
  <pageMargins left="0.75" right="0.375" top="0.25" bottom="0.25" header="0.75" footer="0.25"/>
  <pageSetup orientation="portrait" blackAndWhite="1" r:id="rId1"/>
  <headerFooter alignWithMargins="0">
    <oddHeader>&amp;L&amp;6
&amp;Z&amp;F&amp;R&amp;P                                &amp;N</oddHeader>
    <oddFooter>&amp;L&amp;D   &amp;T&amp;C&amp;8Rev. 8.0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709" r:id="rId4" name="Button 37">
              <controlPr defaultSize="0" print="0" autoFill="0" autoPict="0" macro="[0]!CAP18Output">
                <anchor moveWithCells="1" sizeWithCells="1">
                  <from>
                    <xdr:col>0</xdr:col>
                    <xdr:colOff>200025</xdr:colOff>
                    <xdr:row>4</xdr:row>
                    <xdr:rowOff>152400</xdr:rowOff>
                  </from>
                  <to>
                    <xdr:col>1</xdr:col>
                    <xdr:colOff>0</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6">
    <tabColor indexed="47"/>
  </sheetPr>
  <dimension ref="A1:AY446"/>
  <sheetViews>
    <sheetView showGridLines="0" view="pageBreakPreview" zoomScaleNormal="100" zoomScaleSheetLayoutView="100" workbookViewId="0">
      <selection activeCell="C58" sqref="C58:M59"/>
    </sheetView>
  </sheetViews>
  <sheetFormatPr defaultColWidth="9.140625" defaultRowHeight="12.75"/>
  <cols>
    <col min="1" max="1" width="24.7109375" style="343" customWidth="1"/>
    <col min="2" max="2" width="3.42578125" style="59" customWidth="1"/>
    <col min="3" max="3" width="9.7109375" style="64" customWidth="1"/>
    <col min="4" max="4" width="3.42578125" style="64" customWidth="1"/>
    <col min="5" max="5" width="10.5703125" style="97" customWidth="1"/>
    <col min="6" max="7" width="9.7109375" style="97" customWidth="1"/>
    <col min="8" max="8" width="3.42578125" style="97" customWidth="1"/>
    <col min="9" max="9" width="9.7109375" style="97" customWidth="1"/>
    <col min="10" max="10" width="9.7109375" style="64" customWidth="1"/>
    <col min="11" max="11" width="3.42578125" style="64" customWidth="1"/>
    <col min="12" max="12" width="9.7109375" style="64" customWidth="1"/>
    <col min="13" max="13" width="9.7109375" style="211" customWidth="1"/>
    <col min="14" max="14" width="3.42578125" style="211" customWidth="1"/>
    <col min="15" max="18" width="9.140625" style="343"/>
    <col min="19" max="25" width="9.140625" style="608"/>
    <col min="26" max="51" width="9.140625" style="343"/>
    <col min="52" max="16384" width="9.140625" style="211"/>
  </cols>
  <sheetData>
    <row r="1" spans="1:51" s="60" customFormat="1">
      <c r="A1" s="396"/>
      <c r="B1" s="59"/>
      <c r="C1" s="63"/>
      <c r="D1" s="63"/>
      <c r="E1" s="57"/>
      <c r="F1" s="57"/>
      <c r="G1" s="57"/>
      <c r="H1" s="57"/>
      <c r="I1" s="57"/>
      <c r="J1" s="63"/>
      <c r="K1" s="63"/>
      <c r="L1" s="63"/>
      <c r="O1" s="396"/>
      <c r="P1" s="396"/>
      <c r="Q1" s="396"/>
      <c r="R1" s="396"/>
      <c r="S1" s="584"/>
      <c r="T1" s="584"/>
      <c r="U1" s="584"/>
      <c r="V1" s="584"/>
      <c r="W1" s="584"/>
      <c r="X1" s="584"/>
      <c r="Y1" s="584"/>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row>
    <row r="2" spans="1:51" s="60" customFormat="1">
      <c r="A2" s="396"/>
      <c r="B2" s="59"/>
      <c r="C2" s="63"/>
      <c r="D2" s="63"/>
      <c r="E2" s="57"/>
      <c r="F2" s="57"/>
      <c r="G2" s="57"/>
      <c r="H2" s="57"/>
      <c r="I2" s="57"/>
      <c r="J2" s="63"/>
      <c r="K2" s="63"/>
      <c r="L2" s="63"/>
      <c r="O2" s="396"/>
      <c r="P2" s="396"/>
      <c r="Q2" s="396"/>
      <c r="R2" s="396"/>
      <c r="S2" s="584"/>
      <c r="T2" s="584"/>
      <c r="U2" s="584"/>
      <c r="V2" s="584"/>
      <c r="W2" s="584"/>
      <c r="X2" s="584"/>
      <c r="Y2" s="584"/>
      <c r="Z2" s="396"/>
      <c r="AA2" s="396"/>
      <c r="AB2" s="396"/>
      <c r="AC2" s="396"/>
      <c r="AD2" s="396"/>
      <c r="AE2" s="396"/>
      <c r="AF2" s="396"/>
      <c r="AG2" s="396"/>
      <c r="AH2" s="396"/>
      <c r="AI2" s="396"/>
      <c r="AJ2" s="396"/>
      <c r="AK2" s="396"/>
      <c r="AL2" s="396"/>
      <c r="AM2" s="396"/>
      <c r="AN2" s="396"/>
      <c r="AO2" s="396"/>
      <c r="AP2" s="396"/>
      <c r="AQ2" s="396"/>
      <c r="AR2" s="396"/>
      <c r="AS2" s="396"/>
      <c r="AT2" s="396"/>
      <c r="AU2" s="396"/>
      <c r="AV2" s="396"/>
      <c r="AW2" s="396"/>
      <c r="AX2" s="396"/>
      <c r="AY2" s="396"/>
    </row>
    <row r="3" spans="1:51" s="60" customFormat="1" ht="13.5" thickBot="1">
      <c r="A3" s="396"/>
      <c r="B3" s="59"/>
      <c r="C3" s="63"/>
      <c r="D3" s="63"/>
      <c r="E3" s="57"/>
      <c r="F3" s="57"/>
      <c r="G3" s="57"/>
      <c r="H3" s="57"/>
      <c r="I3" s="57"/>
      <c r="J3" s="63"/>
      <c r="K3" s="63"/>
      <c r="L3" s="63"/>
      <c r="O3" s="484"/>
      <c r="P3" s="396"/>
      <c r="Q3" s="396"/>
      <c r="R3" s="396"/>
      <c r="S3" s="584"/>
      <c r="T3" s="584"/>
      <c r="U3" s="584"/>
      <c r="V3" s="584"/>
      <c r="W3" s="584"/>
      <c r="X3" s="584"/>
      <c r="Y3" s="584"/>
      <c r="Z3" s="396"/>
      <c r="AA3" s="396"/>
      <c r="AB3" s="396"/>
      <c r="AC3" s="396"/>
      <c r="AD3" s="396"/>
      <c r="AE3" s="396"/>
      <c r="AF3" s="396"/>
      <c r="AG3" s="396"/>
      <c r="AH3" s="396"/>
      <c r="AI3" s="396"/>
      <c r="AJ3" s="396"/>
      <c r="AK3" s="396"/>
      <c r="AL3" s="396"/>
      <c r="AM3" s="396"/>
      <c r="AN3" s="396"/>
      <c r="AO3" s="396"/>
      <c r="AP3" s="396"/>
      <c r="AQ3" s="396"/>
      <c r="AR3" s="396"/>
      <c r="AS3" s="396"/>
      <c r="AT3" s="396"/>
      <c r="AU3" s="396"/>
      <c r="AV3" s="396"/>
      <c r="AW3" s="396"/>
      <c r="AX3" s="396"/>
      <c r="AY3" s="396"/>
    </row>
    <row r="4" spans="1:51" s="60" customFormat="1">
      <c r="A4" s="396"/>
      <c r="B4" s="59"/>
      <c r="C4" s="63"/>
      <c r="D4" s="63"/>
      <c r="E4" s="57"/>
      <c r="F4" s="57"/>
      <c r="G4" s="57"/>
      <c r="H4" s="57"/>
      <c r="I4" s="57"/>
      <c r="J4" s="63"/>
      <c r="K4" s="63"/>
      <c r="L4" s="63"/>
      <c r="O4" s="484"/>
      <c r="P4" s="601"/>
      <c r="Q4" s="602"/>
      <c r="R4" s="603" t="s">
        <v>397</v>
      </c>
      <c r="S4" s="1584" t="s">
        <v>430</v>
      </c>
      <c r="T4" s="1584"/>
      <c r="U4" s="1584" t="s">
        <v>431</v>
      </c>
      <c r="V4" s="1584"/>
      <c r="W4" s="604" t="s">
        <v>296</v>
      </c>
      <c r="X4" s="584"/>
      <c r="Y4" s="584"/>
      <c r="Z4" s="396"/>
      <c r="AA4" s="396"/>
      <c r="AB4" s="396"/>
      <c r="AC4" s="396"/>
      <c r="AD4" s="396"/>
      <c r="AE4" s="396"/>
      <c r="AF4" s="396"/>
      <c r="AG4" s="396"/>
      <c r="AH4" s="396"/>
      <c r="AI4" s="396"/>
      <c r="AJ4" s="396"/>
      <c r="AK4" s="396"/>
      <c r="AL4" s="396"/>
      <c r="AM4" s="396"/>
      <c r="AN4" s="396"/>
      <c r="AO4" s="396"/>
      <c r="AP4" s="396"/>
      <c r="AQ4" s="396"/>
      <c r="AR4" s="396"/>
      <c r="AS4" s="396"/>
      <c r="AT4" s="396"/>
      <c r="AU4" s="396"/>
      <c r="AV4" s="396"/>
      <c r="AW4" s="396"/>
      <c r="AX4" s="396"/>
      <c r="AY4" s="396"/>
    </row>
    <row r="5" spans="1:51" s="60" customFormat="1">
      <c r="A5" s="396"/>
      <c r="B5" s="59"/>
      <c r="C5" s="63"/>
      <c r="D5" s="63"/>
      <c r="E5" s="57"/>
      <c r="F5" s="57"/>
      <c r="G5" s="57"/>
      <c r="H5" s="57"/>
      <c r="I5" s="57"/>
      <c r="J5" s="63"/>
      <c r="K5" s="63"/>
      <c r="L5" s="63"/>
      <c r="O5" s="484"/>
      <c r="P5" s="588"/>
      <c r="Q5" s="484"/>
      <c r="R5" s="484"/>
      <c r="S5" s="596" t="s">
        <v>712</v>
      </c>
      <c r="T5" s="596" t="s">
        <v>713</v>
      </c>
      <c r="U5" s="596" t="s">
        <v>712</v>
      </c>
      <c r="V5" s="596" t="s">
        <v>713</v>
      </c>
      <c r="W5" s="605" t="s">
        <v>719</v>
      </c>
      <c r="X5" s="584"/>
      <c r="Y5" s="584"/>
      <c r="Z5" s="396"/>
      <c r="AA5" s="396"/>
      <c r="AB5" s="396"/>
      <c r="AC5" s="396"/>
      <c r="AD5" s="396"/>
      <c r="AE5" s="396"/>
      <c r="AF5" s="396"/>
      <c r="AG5" s="396"/>
      <c r="AH5" s="396"/>
      <c r="AI5" s="396"/>
      <c r="AJ5" s="396"/>
      <c r="AK5" s="396"/>
      <c r="AL5" s="396"/>
      <c r="AM5" s="396"/>
      <c r="AN5" s="396"/>
      <c r="AO5" s="396"/>
      <c r="AP5" s="396"/>
      <c r="AQ5" s="396"/>
      <c r="AR5" s="396"/>
      <c r="AS5" s="396"/>
      <c r="AT5" s="396"/>
      <c r="AU5" s="396"/>
      <c r="AV5" s="396"/>
      <c r="AW5" s="396"/>
      <c r="AX5" s="396"/>
      <c r="AY5" s="396"/>
    </row>
    <row r="6" spans="1:51" s="60" customFormat="1">
      <c r="A6" s="396"/>
      <c r="B6" s="59"/>
      <c r="C6" s="63"/>
      <c r="D6" s="63"/>
      <c r="E6" s="57"/>
      <c r="F6" s="57"/>
      <c r="G6" s="57"/>
      <c r="H6" s="57"/>
      <c r="I6" s="57"/>
      <c r="J6" s="63"/>
      <c r="K6" s="63"/>
      <c r="L6" s="63"/>
      <c r="O6" s="484"/>
      <c r="P6" s="588"/>
      <c r="Q6" s="484"/>
      <c r="R6" s="589" t="str">
        <f>ProbI1</f>
        <v>1-LB</v>
      </c>
      <c r="S6" s="589" t="s">
        <v>396</v>
      </c>
      <c r="T6" s="589" t="s">
        <v>396</v>
      </c>
      <c r="U6" s="589" t="s">
        <v>396</v>
      </c>
      <c r="V6" s="589" t="s">
        <v>396</v>
      </c>
      <c r="W6" s="590" t="s">
        <v>396</v>
      </c>
      <c r="X6" s="584"/>
      <c r="Y6" s="584"/>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row>
    <row r="7" spans="1:51" s="60" customFormat="1" ht="12.75" customHeight="1">
      <c r="A7" s="396"/>
      <c r="B7" s="59"/>
      <c r="C7" s="63"/>
      <c r="D7" s="63"/>
      <c r="E7" s="57"/>
      <c r="F7" s="57"/>
      <c r="G7" s="57"/>
      <c r="H7" s="57"/>
      <c r="I7" s="57"/>
      <c r="J7" s="63"/>
      <c r="K7" s="63"/>
      <c r="L7" s="63"/>
      <c r="O7" s="484"/>
      <c r="P7" s="588"/>
      <c r="Q7" s="484"/>
      <c r="R7" s="589" t="str">
        <f>ProbII1</f>
        <v>2-LF</v>
      </c>
      <c r="S7" s="589" t="s">
        <v>396</v>
      </c>
      <c r="T7" s="589" t="s">
        <v>396</v>
      </c>
      <c r="U7" s="589" t="s">
        <v>396</v>
      </c>
      <c r="V7" s="589" t="s">
        <v>396</v>
      </c>
      <c r="W7" s="590" t="s">
        <v>396</v>
      </c>
      <c r="X7" s="584"/>
      <c r="Y7" s="584"/>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row>
    <row r="8" spans="1:51" s="60" customFormat="1" ht="19.5" customHeight="1" thickBot="1">
      <c r="A8" s="396"/>
      <c r="B8" s="1579" t="s">
        <v>714</v>
      </c>
      <c r="C8" s="1579"/>
      <c r="D8" s="1579"/>
      <c r="E8" s="1579"/>
      <c r="F8" s="1579"/>
      <c r="G8" s="1579"/>
      <c r="H8" s="1579"/>
      <c r="I8" s="1579"/>
      <c r="J8" s="1579"/>
      <c r="K8" s="1579"/>
      <c r="L8" s="1579"/>
      <c r="M8" s="1579"/>
      <c r="N8" s="1579"/>
      <c r="O8" s="484"/>
      <c r="P8" s="588"/>
      <c r="Q8" s="484"/>
      <c r="R8" s="484"/>
      <c r="S8" s="349"/>
      <c r="T8" s="349"/>
      <c r="U8" s="349"/>
      <c r="V8" s="349"/>
      <c r="W8" s="606"/>
      <c r="X8" s="349"/>
      <c r="Y8" s="349"/>
      <c r="Z8" s="396"/>
      <c r="AA8" s="396"/>
      <c r="AB8" s="396"/>
      <c r="AC8" s="396"/>
      <c r="AD8" s="396"/>
      <c r="AE8" s="396"/>
      <c r="AF8" s="396"/>
      <c r="AG8" s="396"/>
      <c r="AH8" s="396"/>
      <c r="AI8" s="396"/>
      <c r="AJ8" s="396"/>
      <c r="AK8" s="396"/>
      <c r="AL8" s="396"/>
      <c r="AM8" s="396"/>
      <c r="AN8" s="396"/>
      <c r="AO8" s="396"/>
      <c r="AP8" s="396"/>
      <c r="AQ8" s="396"/>
      <c r="AR8" s="396"/>
      <c r="AS8" s="396"/>
      <c r="AT8" s="396"/>
      <c r="AU8" s="396"/>
      <c r="AV8" s="396"/>
      <c r="AW8" s="396"/>
      <c r="AX8" s="396"/>
      <c r="AY8" s="396"/>
    </row>
    <row r="9" spans="1:51" s="60" customFormat="1" ht="18.75" customHeight="1" thickTop="1" thickBot="1">
      <c r="A9" s="396"/>
      <c r="B9" s="1585" t="str">
        <f>Geometry!N61</f>
        <v/>
      </c>
      <c r="C9" s="1585"/>
      <c r="D9" s="1585"/>
      <c r="E9" s="1585"/>
      <c r="F9" s="1585"/>
      <c r="G9" s="1585"/>
      <c r="H9" s="1585"/>
      <c r="I9" s="1585"/>
      <c r="J9" s="1585"/>
      <c r="K9" s="1585"/>
      <c r="L9" s="1585"/>
      <c r="M9" s="1585"/>
      <c r="N9" s="1585"/>
      <c r="O9" s="484"/>
      <c r="P9" s="593"/>
      <c r="Q9" s="594"/>
      <c r="R9" s="594"/>
      <c r="S9" s="607"/>
      <c r="T9" s="607"/>
      <c r="U9" s="607"/>
      <c r="V9" s="594"/>
      <c r="W9" s="595"/>
      <c r="X9" s="396"/>
      <c r="Y9" s="396"/>
      <c r="Z9" s="396"/>
      <c r="AA9" s="396"/>
      <c r="AB9" s="396" t="str">
        <f>'CAP18 Out(1)'!R6</f>
        <v>1-LB</v>
      </c>
      <c r="AC9" s="584">
        <f>COUNTIF(R12:R51,"=1")</f>
        <v>0</v>
      </c>
      <c r="AD9" s="396"/>
      <c r="AE9" s="396"/>
      <c r="AF9" s="396"/>
      <c r="AG9" s="396" t="str">
        <f>'CAP18 Out(1)'!R7</f>
        <v>2-LF</v>
      </c>
      <c r="AH9" s="396"/>
      <c r="AI9" s="396"/>
      <c r="AJ9" s="396"/>
      <c r="AK9" s="396"/>
      <c r="AL9" s="396"/>
      <c r="AM9" s="396"/>
      <c r="AN9" s="396"/>
      <c r="AO9" s="396"/>
      <c r="AP9" s="396"/>
      <c r="AQ9" s="396"/>
      <c r="AR9" s="396"/>
      <c r="AS9" s="396"/>
      <c r="AT9" s="396"/>
      <c r="AU9" s="396"/>
      <c r="AV9" s="396"/>
      <c r="AW9" s="396"/>
      <c r="AX9" s="396"/>
      <c r="AY9" s="396"/>
    </row>
    <row r="10" spans="1:51">
      <c r="A10" s="396"/>
      <c r="B10" s="215" t="s">
        <v>715</v>
      </c>
      <c r="C10" s="63"/>
      <c r="D10" s="63"/>
      <c r="E10" s="57"/>
      <c r="F10" s="57"/>
      <c r="G10" s="57"/>
      <c r="H10" s="213"/>
      <c r="I10" s="213"/>
      <c r="J10" s="213"/>
      <c r="K10" s="213"/>
      <c r="L10" s="63"/>
      <c r="M10" s="60"/>
      <c r="N10" s="60"/>
      <c r="O10" s="482"/>
      <c r="V10" s="1581" t="s">
        <v>432</v>
      </c>
      <c r="W10" s="1581"/>
      <c r="X10" s="1581" t="s">
        <v>433</v>
      </c>
      <c r="Y10" s="1581"/>
      <c r="Z10" s="396" t="s">
        <v>296</v>
      </c>
      <c r="AA10" s="609"/>
      <c r="AE10" s="482"/>
      <c r="AF10" s="609"/>
      <c r="AG10" s="584">
        <v>1</v>
      </c>
      <c r="AH10" s="584">
        <v>2</v>
      </c>
      <c r="AI10" s="584">
        <v>3</v>
      </c>
      <c r="AJ10" s="349">
        <v>4</v>
      </c>
      <c r="AK10" s="610">
        <v>5</v>
      </c>
      <c r="AL10" s="482"/>
    </row>
    <row r="11" spans="1:51">
      <c r="B11" s="211"/>
      <c r="C11" s="221"/>
      <c r="D11" s="211"/>
      <c r="E11" s="219" t="s">
        <v>296</v>
      </c>
      <c r="F11" s="219" t="s">
        <v>720</v>
      </c>
      <c r="G11" s="219" t="s">
        <v>721</v>
      </c>
      <c r="I11" s="1587" t="s">
        <v>759</v>
      </c>
      <c r="J11" s="1588"/>
      <c r="L11" s="1587" t="s">
        <v>760</v>
      </c>
      <c r="M11" s="1588"/>
      <c r="O11" s="482"/>
      <c r="S11" s="596" t="s">
        <v>390</v>
      </c>
      <c r="T11" s="596" t="s">
        <v>381</v>
      </c>
      <c r="U11" s="596" t="s">
        <v>434</v>
      </c>
      <c r="V11" s="596" t="s">
        <v>712</v>
      </c>
      <c r="W11" s="596" t="s">
        <v>713</v>
      </c>
      <c r="X11" s="596" t="s">
        <v>712</v>
      </c>
      <c r="Y11" s="596" t="s">
        <v>713</v>
      </c>
      <c r="Z11" s="596" t="s">
        <v>719</v>
      </c>
      <c r="AA11" s="609"/>
      <c r="AB11" s="611" t="str">
        <f>S6</f>
        <v>X</v>
      </c>
      <c r="AC11" s="611" t="str">
        <f>T6</f>
        <v>X</v>
      </c>
      <c r="AD11" s="611" t="str">
        <f>U6</f>
        <v>X</v>
      </c>
      <c r="AE11" s="611" t="str">
        <f>V6</f>
        <v>X</v>
      </c>
      <c r="AF11" s="612" t="str">
        <f>W6</f>
        <v>X</v>
      </c>
      <c r="AG11" s="611" t="str">
        <f>S7</f>
        <v>X</v>
      </c>
      <c r="AH11" s="611" t="str">
        <f>T7</f>
        <v>X</v>
      </c>
      <c r="AI11" s="611" t="str">
        <f>U7</f>
        <v>X</v>
      </c>
      <c r="AJ11" s="611" t="str">
        <f>V7</f>
        <v>X</v>
      </c>
      <c r="AK11" s="610" t="str">
        <f>W7</f>
        <v>X</v>
      </c>
      <c r="AL11" s="482"/>
    </row>
    <row r="12" spans="1:51">
      <c r="C12" s="220" t="s">
        <v>711</v>
      </c>
      <c r="D12" s="212"/>
      <c r="E12" s="220" t="s">
        <v>719</v>
      </c>
      <c r="F12" s="223" t="e">
        <f>('Conc DL'!$G$51+'Conc DL'!$G$102)/E23</f>
        <v>#DIV/0!</v>
      </c>
      <c r="G12" s="224" t="e">
        <f>1-F12</f>
        <v>#DIV/0!</v>
      </c>
      <c r="I12" s="225" t="s">
        <v>712</v>
      </c>
      <c r="J12" s="218" t="s">
        <v>713</v>
      </c>
      <c r="L12" s="225" t="s">
        <v>712</v>
      </c>
      <c r="M12" s="218" t="s">
        <v>713</v>
      </c>
      <c r="O12" s="482"/>
      <c r="R12" s="600" t="str">
        <f>IF(TRIM(S12)=$R$6,1,IF(TRIM(S12)=$R$7,2,"NA"))</f>
        <v>NA</v>
      </c>
      <c r="AA12" s="613">
        <v>1</v>
      </c>
      <c r="AB12" s="343" t="str">
        <f t="shared" ref="AB12:AB21" si="0">IF(TRIM($S12)=$AB$9,IF(AB$11="X",V12,""),"")</f>
        <v/>
      </c>
      <c r="AC12" s="343" t="str">
        <f t="shared" ref="AC12:AC21" si="1">IF(TRIM($S12)=$AB$9,IF(AC$11="X",W12,""),"")</f>
        <v/>
      </c>
      <c r="AD12" s="343" t="str">
        <f t="shared" ref="AD12:AD21" si="2">IF(TRIM($S12)=$AB$9,IF(AD$11="X",X12,""),"")</f>
        <v/>
      </c>
      <c r="AE12" s="482" t="str">
        <f t="shared" ref="AE12:AF21" si="3">IF(TRIM($S12)=$AB$9,IF(AE$11="X",Y12,""),"")</f>
        <v/>
      </c>
      <c r="AF12" s="609" t="str">
        <f t="shared" si="3"/>
        <v/>
      </c>
      <c r="AG12" s="482" t="str">
        <f>IF(TRIM(INDEX($S$12:$S$51,$AC$9+$AA12,1))=$AG$9,IF(AG$11&lt;&gt;"X","",INDEX($V$12:$Y$51,$AC$9+$AA12,1)),"")</f>
        <v/>
      </c>
      <c r="AH12" s="482" t="str">
        <f>IF(TRIM(INDEX($S$12:$S$51,$AC$9+$AA12,1))=$AG$9,IF(AH$11&lt;&gt;"X","",INDEX($V$12:$Y$51,$AC$9+$AA12,2)),"")</f>
        <v/>
      </c>
      <c r="AI12" s="482" t="str">
        <f>IF(TRIM(INDEX($S$12:$S$51,$AC$9+$AA12,1))=$AG$9,IF(AI$11&lt;&gt;"X","",INDEX($V$12:$Y$51,$AC$9+$AA12,3)),"")</f>
        <v/>
      </c>
      <c r="AJ12" s="482" t="str">
        <f>IF(TRIM(INDEX($S$12:$S$51,$AC$9+$AA12,1))=$AG$9,IF(AJ$11&lt;&gt;"X","",INDEX($V$12:$Y$51,$AC$9+$AA12,4)),"")</f>
        <v/>
      </c>
      <c r="AK12" s="609" t="str">
        <f>IF(TRIM(INDEX($S$12:$S$51,$AC$9+$AA12,1))=$AG$9,IF(AK$11&lt;&gt;"X","",INDEX($V$12:$Z$51,$AC$9+$AA12,5)),"")</f>
        <v/>
      </c>
      <c r="AL12" s="482"/>
    </row>
    <row r="13" spans="1:51">
      <c r="C13" s="222">
        <f>IF(1&lt;=Geometry!$G$95,1,"")</f>
        <v>1</v>
      </c>
      <c r="D13" s="63"/>
      <c r="E13" s="845" t="str">
        <f>IF(C13="","",IF(OR(AK12&lt;&gt;"",AF12&lt;&gt;""),MAX(AK12,AF12),""))</f>
        <v/>
      </c>
      <c r="F13" s="845" t="e">
        <f>IF(C13="","",E13*$F$12)</f>
        <v>#VALUE!</v>
      </c>
      <c r="G13" s="845" t="e">
        <f>IF(C13="","",E13*$G$12)</f>
        <v>#VALUE!</v>
      </c>
      <c r="H13" s="846"/>
      <c r="I13" s="845" t="str">
        <f>IF(OR(AB12&lt;&gt;"",AG12&lt;&gt;""),MAX(AB12,AG12),"")</f>
        <v/>
      </c>
      <c r="J13" s="845" t="str">
        <f>IF(OR(AC12&lt;&gt;"",AH12&lt;&gt;""),MIN(AC12,AH12),"")</f>
        <v/>
      </c>
      <c r="K13" s="847"/>
      <c r="L13" s="845" t="str">
        <f t="shared" ref="L13:L22" si="4">IF(OR(AD12&lt;&gt;"",AI12&lt;&gt;""),MAX(AD12,AI12),"")</f>
        <v/>
      </c>
      <c r="M13" s="845" t="str">
        <f t="shared" ref="M13:M22" si="5">IF(OR(AE12&lt;&gt;"",AJ12&lt;&gt;""),MAX(AE12,AJ12),"")</f>
        <v/>
      </c>
      <c r="R13" s="600" t="str">
        <f t="shared" ref="R13:R51" si="6">IF(TRIM(S13)=$R$6,1,IF(TRIM(S13)=$R$7,2,"NA"))</f>
        <v>NA</v>
      </c>
      <c r="AA13" s="613">
        <v>2</v>
      </c>
      <c r="AB13" s="343" t="str">
        <f t="shared" si="0"/>
        <v/>
      </c>
      <c r="AC13" s="343" t="str">
        <f t="shared" si="1"/>
        <v/>
      </c>
      <c r="AD13" s="343" t="str">
        <f t="shared" si="2"/>
        <v/>
      </c>
      <c r="AE13" s="482" t="str">
        <f t="shared" si="3"/>
        <v/>
      </c>
      <c r="AF13" s="609" t="str">
        <f t="shared" si="3"/>
        <v/>
      </c>
      <c r="AG13" s="482" t="str">
        <f t="shared" ref="AG13:AG21" si="7">IF(TRIM(INDEX($S$12:$S$51,$AC$9+$AA13,1))=$AG$9,IF(AG$11&lt;&gt;"X","",INDEX($V$12:$Y$51,$AC$9+$AA13,1)),"")</f>
        <v/>
      </c>
      <c r="AH13" s="482" t="str">
        <f t="shared" ref="AH13:AH21" si="8">IF(TRIM(INDEX($S$12:$S$51,$AC$9+$AA13,1))=$AG$9,IF(AH$11&lt;&gt;"X","",INDEX($V$12:$Y$51,$AC$9+$AA13,2)),"")</f>
        <v/>
      </c>
      <c r="AI13" s="482" t="str">
        <f t="shared" ref="AI13:AI21" si="9">IF(TRIM(INDEX($S$12:$S$51,$AC$9+$AA13,1))=$AG$9,IF(AI$11&lt;&gt;"X","",INDEX($V$12:$Y$51,$AC$9+$AA13,3)),"")</f>
        <v/>
      </c>
      <c r="AJ13" s="482" t="str">
        <f t="shared" ref="AJ13:AJ21" si="10">IF(TRIM(INDEX($S$12:$S$51,$AC$9+$AA13,1))=$AG$9,IF(AJ$11&lt;&gt;"X","",INDEX($V$12:$Y$51,$AC$9+$AA13,4)),"")</f>
        <v/>
      </c>
      <c r="AK13" s="609" t="str">
        <f t="shared" ref="AK13:AK21" si="11">IF(TRIM(INDEX($S$12:$S$51,$AC$9+$AA13,1))=$AG$9,IF(AK$11&lt;&gt;"X","",INDEX($V$12:$Z$51,$AC$9+$AA13,5)),"")</f>
        <v/>
      </c>
      <c r="AL13" s="482"/>
    </row>
    <row r="14" spans="1:51">
      <c r="C14" s="222" t="str">
        <f>IF(2&lt;=Geometry!$G$95,2,"")</f>
        <v/>
      </c>
      <c r="D14" s="63"/>
      <c r="E14" s="845" t="str">
        <f t="shared" ref="E14:E22" si="12">IF(C14="","",IF(OR(AK13&lt;&gt;"",AF13&lt;&gt;""),MAX(AK13,AF13),""))</f>
        <v/>
      </c>
      <c r="F14" s="845" t="str">
        <f t="shared" ref="F14:F22" si="13">IF(C14="","",E14*$F$12)</f>
        <v/>
      </c>
      <c r="G14" s="845" t="str">
        <f t="shared" ref="G14:G22" si="14">IF(C14="","",E14*$G$12)</f>
        <v/>
      </c>
      <c r="H14" s="846"/>
      <c r="I14" s="845" t="str">
        <f t="shared" ref="I14:I22" si="15">IF(OR(AB13&lt;&gt;"",AG13&lt;&gt;""),MAX(AB13,AG13),"")</f>
        <v/>
      </c>
      <c r="J14" s="845" t="str">
        <f t="shared" ref="J14:J22" si="16">IF(OR(AC13&lt;&gt;"",AH13&lt;&gt;""),MIN(AC13,AH13),"")</f>
        <v/>
      </c>
      <c r="K14" s="847"/>
      <c r="L14" s="845" t="str">
        <f t="shared" si="4"/>
        <v/>
      </c>
      <c r="M14" s="845" t="str">
        <f t="shared" si="5"/>
        <v/>
      </c>
      <c r="R14" s="600" t="str">
        <f>IF(TRIM(S14)=$R$6,1,IF(TRIM(S14)=$R$7,2,"NA"))</f>
        <v>NA</v>
      </c>
      <c r="AA14" s="613">
        <v>3</v>
      </c>
      <c r="AB14" s="343" t="str">
        <f t="shared" si="0"/>
        <v/>
      </c>
      <c r="AC14" s="343" t="str">
        <f t="shared" si="1"/>
        <v/>
      </c>
      <c r="AD14" s="343" t="str">
        <f t="shared" si="2"/>
        <v/>
      </c>
      <c r="AE14" s="482" t="str">
        <f t="shared" si="3"/>
        <v/>
      </c>
      <c r="AF14" s="609" t="str">
        <f t="shared" si="3"/>
        <v/>
      </c>
      <c r="AG14" s="482" t="str">
        <f t="shared" si="7"/>
        <v/>
      </c>
      <c r="AH14" s="482" t="str">
        <f t="shared" si="8"/>
        <v/>
      </c>
      <c r="AI14" s="482" t="str">
        <f t="shared" si="9"/>
        <v/>
      </c>
      <c r="AJ14" s="482" t="str">
        <f t="shared" si="10"/>
        <v/>
      </c>
      <c r="AK14" s="609" t="str">
        <f t="shared" si="11"/>
        <v/>
      </c>
      <c r="AL14" s="482"/>
    </row>
    <row r="15" spans="1:51">
      <c r="C15" s="222" t="str">
        <f>IF(3&lt;=Geometry!$G$95,3,"")</f>
        <v/>
      </c>
      <c r="D15" s="63"/>
      <c r="E15" s="845" t="str">
        <f t="shared" si="12"/>
        <v/>
      </c>
      <c r="F15" s="845" t="str">
        <f t="shared" si="13"/>
        <v/>
      </c>
      <c r="G15" s="845" t="str">
        <f t="shared" si="14"/>
        <v/>
      </c>
      <c r="H15" s="846"/>
      <c r="I15" s="845" t="str">
        <f t="shared" si="15"/>
        <v/>
      </c>
      <c r="J15" s="845" t="str">
        <f t="shared" si="16"/>
        <v/>
      </c>
      <c r="K15" s="847"/>
      <c r="L15" s="845" t="str">
        <f t="shared" si="4"/>
        <v/>
      </c>
      <c r="M15" s="845" t="str">
        <f t="shared" si="5"/>
        <v/>
      </c>
      <c r="R15" s="600" t="str">
        <f t="shared" si="6"/>
        <v>NA</v>
      </c>
      <c r="AA15" s="613">
        <v>4</v>
      </c>
      <c r="AB15" s="343" t="str">
        <f t="shared" si="0"/>
        <v/>
      </c>
      <c r="AC15" s="343" t="str">
        <f t="shared" si="1"/>
        <v/>
      </c>
      <c r="AD15" s="343" t="str">
        <f t="shared" si="2"/>
        <v/>
      </c>
      <c r="AE15" s="482" t="str">
        <f t="shared" si="3"/>
        <v/>
      </c>
      <c r="AF15" s="609" t="str">
        <f t="shared" si="3"/>
        <v/>
      </c>
      <c r="AG15" s="482" t="str">
        <f t="shared" si="7"/>
        <v/>
      </c>
      <c r="AH15" s="482" t="str">
        <f t="shared" si="8"/>
        <v/>
      </c>
      <c r="AI15" s="482" t="str">
        <f t="shared" si="9"/>
        <v/>
      </c>
      <c r="AJ15" s="482" t="str">
        <f t="shared" si="10"/>
        <v/>
      </c>
      <c r="AK15" s="609" t="str">
        <f t="shared" si="11"/>
        <v/>
      </c>
      <c r="AL15" s="482"/>
    </row>
    <row r="16" spans="1:51">
      <c r="C16" s="222" t="str">
        <f>IF(4&lt;=Geometry!$G$95,4,"")</f>
        <v/>
      </c>
      <c r="D16" s="63"/>
      <c r="E16" s="845" t="str">
        <f t="shared" si="12"/>
        <v/>
      </c>
      <c r="F16" s="845" t="str">
        <f t="shared" si="13"/>
        <v/>
      </c>
      <c r="G16" s="845" t="str">
        <f t="shared" si="14"/>
        <v/>
      </c>
      <c r="H16" s="846"/>
      <c r="I16" s="845" t="str">
        <f t="shared" si="15"/>
        <v/>
      </c>
      <c r="J16" s="845" t="str">
        <f t="shared" si="16"/>
        <v/>
      </c>
      <c r="K16" s="847"/>
      <c r="L16" s="845" t="str">
        <f t="shared" si="4"/>
        <v/>
      </c>
      <c r="M16" s="845" t="str">
        <f t="shared" si="5"/>
        <v/>
      </c>
      <c r="R16" s="600" t="str">
        <f t="shared" si="6"/>
        <v>NA</v>
      </c>
      <c r="AA16" s="613">
        <v>5</v>
      </c>
      <c r="AB16" s="343" t="str">
        <f t="shared" si="0"/>
        <v/>
      </c>
      <c r="AC16" s="343" t="str">
        <f t="shared" si="1"/>
        <v/>
      </c>
      <c r="AD16" s="343" t="str">
        <f t="shared" si="2"/>
        <v/>
      </c>
      <c r="AE16" s="482" t="str">
        <f t="shared" si="3"/>
        <v/>
      </c>
      <c r="AF16" s="609" t="str">
        <f t="shared" si="3"/>
        <v/>
      </c>
      <c r="AG16" s="482" t="str">
        <f t="shared" si="7"/>
        <v/>
      </c>
      <c r="AH16" s="482" t="str">
        <f t="shared" si="8"/>
        <v/>
      </c>
      <c r="AI16" s="482" t="str">
        <f t="shared" si="9"/>
        <v/>
      </c>
      <c r="AJ16" s="482" t="str">
        <f t="shared" si="10"/>
        <v/>
      </c>
      <c r="AK16" s="609" t="str">
        <f t="shared" si="11"/>
        <v/>
      </c>
      <c r="AL16" s="482"/>
    </row>
    <row r="17" spans="2:38">
      <c r="C17" s="222" t="str">
        <f>IF(5&lt;=Geometry!$G$95,5,"")</f>
        <v/>
      </c>
      <c r="D17" s="63"/>
      <c r="E17" s="845" t="str">
        <f t="shared" si="12"/>
        <v/>
      </c>
      <c r="F17" s="845" t="str">
        <f t="shared" si="13"/>
        <v/>
      </c>
      <c r="G17" s="845" t="str">
        <f t="shared" si="14"/>
        <v/>
      </c>
      <c r="H17" s="846"/>
      <c r="I17" s="845" t="str">
        <f t="shared" si="15"/>
        <v/>
      </c>
      <c r="J17" s="845" t="str">
        <f t="shared" si="16"/>
        <v/>
      </c>
      <c r="K17" s="847"/>
      <c r="L17" s="845" t="str">
        <f t="shared" si="4"/>
        <v/>
      </c>
      <c r="M17" s="845" t="str">
        <f t="shared" si="5"/>
        <v/>
      </c>
      <c r="R17" s="600" t="str">
        <f t="shared" si="6"/>
        <v>NA</v>
      </c>
      <c r="AA17" s="613">
        <v>6</v>
      </c>
      <c r="AB17" s="343" t="str">
        <f t="shared" si="0"/>
        <v/>
      </c>
      <c r="AC17" s="343" t="str">
        <f t="shared" si="1"/>
        <v/>
      </c>
      <c r="AD17" s="343" t="str">
        <f t="shared" si="2"/>
        <v/>
      </c>
      <c r="AE17" s="482" t="str">
        <f t="shared" si="3"/>
        <v/>
      </c>
      <c r="AF17" s="609" t="str">
        <f t="shared" si="3"/>
        <v/>
      </c>
      <c r="AG17" s="482" t="str">
        <f t="shared" si="7"/>
        <v/>
      </c>
      <c r="AH17" s="482" t="str">
        <f t="shared" si="8"/>
        <v/>
      </c>
      <c r="AI17" s="482" t="str">
        <f t="shared" si="9"/>
        <v/>
      </c>
      <c r="AJ17" s="482" t="str">
        <f t="shared" si="10"/>
        <v/>
      </c>
      <c r="AK17" s="609" t="str">
        <f t="shared" si="11"/>
        <v/>
      </c>
      <c r="AL17" s="482"/>
    </row>
    <row r="18" spans="2:38">
      <c r="C18" s="222" t="str">
        <f>IF(6&lt;=Geometry!$G$95,6,"")</f>
        <v/>
      </c>
      <c r="D18" s="63"/>
      <c r="E18" s="845" t="str">
        <f t="shared" si="12"/>
        <v/>
      </c>
      <c r="F18" s="845" t="str">
        <f t="shared" si="13"/>
        <v/>
      </c>
      <c r="G18" s="845" t="str">
        <f t="shared" si="14"/>
        <v/>
      </c>
      <c r="H18" s="846"/>
      <c r="I18" s="845" t="str">
        <f t="shared" si="15"/>
        <v/>
      </c>
      <c r="J18" s="845" t="str">
        <f t="shared" si="16"/>
        <v/>
      </c>
      <c r="K18" s="847"/>
      <c r="L18" s="845" t="str">
        <f t="shared" si="4"/>
        <v/>
      </c>
      <c r="M18" s="845" t="str">
        <f t="shared" si="5"/>
        <v/>
      </c>
      <c r="R18" s="600" t="str">
        <f t="shared" si="6"/>
        <v>NA</v>
      </c>
      <c r="AA18" s="613">
        <v>7</v>
      </c>
      <c r="AB18" s="343" t="str">
        <f t="shared" si="0"/>
        <v/>
      </c>
      <c r="AC18" s="343" t="str">
        <f t="shared" si="1"/>
        <v/>
      </c>
      <c r="AD18" s="343" t="str">
        <f t="shared" si="2"/>
        <v/>
      </c>
      <c r="AE18" s="482" t="str">
        <f t="shared" si="3"/>
        <v/>
      </c>
      <c r="AF18" s="609" t="str">
        <f t="shared" si="3"/>
        <v/>
      </c>
      <c r="AG18" s="482" t="str">
        <f t="shared" si="7"/>
        <v/>
      </c>
      <c r="AH18" s="482" t="str">
        <f t="shared" si="8"/>
        <v/>
      </c>
      <c r="AI18" s="482" t="str">
        <f t="shared" si="9"/>
        <v/>
      </c>
      <c r="AJ18" s="482" t="str">
        <f t="shared" si="10"/>
        <v/>
      </c>
      <c r="AK18" s="609" t="str">
        <f t="shared" si="11"/>
        <v/>
      </c>
      <c r="AL18" s="482"/>
    </row>
    <row r="19" spans="2:38">
      <c r="C19" s="222" t="str">
        <f>IF(7&lt;=Geometry!$G$95,7,"")</f>
        <v/>
      </c>
      <c r="D19" s="63"/>
      <c r="E19" s="845" t="str">
        <f t="shared" si="12"/>
        <v/>
      </c>
      <c r="F19" s="845" t="str">
        <f t="shared" si="13"/>
        <v/>
      </c>
      <c r="G19" s="845" t="str">
        <f t="shared" si="14"/>
        <v/>
      </c>
      <c r="H19" s="846"/>
      <c r="I19" s="845" t="str">
        <f t="shared" si="15"/>
        <v/>
      </c>
      <c r="J19" s="845" t="str">
        <f t="shared" si="16"/>
        <v/>
      </c>
      <c r="K19" s="847"/>
      <c r="L19" s="845" t="str">
        <f t="shared" si="4"/>
        <v/>
      </c>
      <c r="M19" s="845" t="str">
        <f t="shared" si="5"/>
        <v/>
      </c>
      <c r="R19" s="600" t="str">
        <f t="shared" si="6"/>
        <v>NA</v>
      </c>
      <c r="AA19" s="613">
        <v>8</v>
      </c>
      <c r="AB19" s="343" t="str">
        <f t="shared" si="0"/>
        <v/>
      </c>
      <c r="AC19" s="343" t="str">
        <f t="shared" si="1"/>
        <v/>
      </c>
      <c r="AD19" s="343" t="str">
        <f t="shared" si="2"/>
        <v/>
      </c>
      <c r="AE19" s="482" t="str">
        <f t="shared" si="3"/>
        <v/>
      </c>
      <c r="AF19" s="609" t="str">
        <f t="shared" si="3"/>
        <v/>
      </c>
      <c r="AG19" s="482" t="str">
        <f t="shared" si="7"/>
        <v/>
      </c>
      <c r="AH19" s="482" t="str">
        <f t="shared" si="8"/>
        <v/>
      </c>
      <c r="AI19" s="482" t="str">
        <f t="shared" si="9"/>
        <v/>
      </c>
      <c r="AJ19" s="482" t="str">
        <f t="shared" si="10"/>
        <v/>
      </c>
      <c r="AK19" s="609" t="str">
        <f t="shared" si="11"/>
        <v/>
      </c>
      <c r="AL19" s="482"/>
    </row>
    <row r="20" spans="2:38">
      <c r="C20" s="222" t="str">
        <f>IF(8&lt;=Geometry!$G$95,8,"")</f>
        <v/>
      </c>
      <c r="D20" s="63"/>
      <c r="E20" s="845" t="str">
        <f t="shared" si="12"/>
        <v/>
      </c>
      <c r="F20" s="845" t="str">
        <f t="shared" si="13"/>
        <v/>
      </c>
      <c r="G20" s="845" t="str">
        <f t="shared" si="14"/>
        <v/>
      </c>
      <c r="H20" s="846"/>
      <c r="I20" s="845" t="str">
        <f t="shared" si="15"/>
        <v/>
      </c>
      <c r="J20" s="845" t="str">
        <f t="shared" si="16"/>
        <v/>
      </c>
      <c r="K20" s="847"/>
      <c r="L20" s="845" t="str">
        <f t="shared" si="4"/>
        <v/>
      </c>
      <c r="M20" s="845" t="str">
        <f t="shared" si="5"/>
        <v/>
      </c>
      <c r="R20" s="600" t="str">
        <f t="shared" si="6"/>
        <v>NA</v>
      </c>
      <c r="AA20" s="613">
        <v>9</v>
      </c>
      <c r="AB20" s="343" t="str">
        <f t="shared" si="0"/>
        <v/>
      </c>
      <c r="AC20" s="343" t="str">
        <f t="shared" si="1"/>
        <v/>
      </c>
      <c r="AD20" s="343" t="str">
        <f t="shared" si="2"/>
        <v/>
      </c>
      <c r="AE20" s="482" t="str">
        <f t="shared" si="3"/>
        <v/>
      </c>
      <c r="AF20" s="609" t="str">
        <f t="shared" si="3"/>
        <v/>
      </c>
      <c r="AG20" s="482" t="str">
        <f t="shared" si="7"/>
        <v/>
      </c>
      <c r="AH20" s="482" t="str">
        <f t="shared" si="8"/>
        <v/>
      </c>
      <c r="AI20" s="482" t="str">
        <f t="shared" si="9"/>
        <v/>
      </c>
      <c r="AJ20" s="482" t="str">
        <f t="shared" si="10"/>
        <v/>
      </c>
      <c r="AK20" s="609" t="str">
        <f t="shared" si="11"/>
        <v/>
      </c>
      <c r="AL20" s="482"/>
    </row>
    <row r="21" spans="2:38">
      <c r="C21" s="222" t="str">
        <f>IF(9&lt;=Geometry!$G$95,9,"")</f>
        <v/>
      </c>
      <c r="D21" s="63"/>
      <c r="E21" s="845" t="str">
        <f t="shared" si="12"/>
        <v/>
      </c>
      <c r="F21" s="845" t="str">
        <f t="shared" si="13"/>
        <v/>
      </c>
      <c r="G21" s="845" t="str">
        <f t="shared" si="14"/>
        <v/>
      </c>
      <c r="H21" s="846"/>
      <c r="I21" s="845" t="str">
        <f t="shared" si="15"/>
        <v/>
      </c>
      <c r="J21" s="845" t="str">
        <f t="shared" si="16"/>
        <v/>
      </c>
      <c r="K21" s="847"/>
      <c r="L21" s="845" t="str">
        <f t="shared" si="4"/>
        <v/>
      </c>
      <c r="M21" s="845" t="str">
        <f t="shared" si="5"/>
        <v/>
      </c>
      <c r="R21" s="600" t="str">
        <f t="shared" si="6"/>
        <v>NA</v>
      </c>
      <c r="AA21" s="613">
        <v>10</v>
      </c>
      <c r="AB21" s="343" t="str">
        <f t="shared" si="0"/>
        <v/>
      </c>
      <c r="AC21" s="343" t="str">
        <f t="shared" si="1"/>
        <v/>
      </c>
      <c r="AD21" s="343" t="str">
        <f t="shared" si="2"/>
        <v/>
      </c>
      <c r="AE21" s="482" t="str">
        <f t="shared" si="3"/>
        <v/>
      </c>
      <c r="AF21" s="609" t="str">
        <f t="shared" si="3"/>
        <v/>
      </c>
      <c r="AG21" s="482" t="str">
        <f t="shared" si="7"/>
        <v/>
      </c>
      <c r="AH21" s="482" t="str">
        <f t="shared" si="8"/>
        <v/>
      </c>
      <c r="AI21" s="482" t="str">
        <f t="shared" si="9"/>
        <v/>
      </c>
      <c r="AJ21" s="482" t="str">
        <f t="shared" si="10"/>
        <v/>
      </c>
      <c r="AK21" s="609" t="str">
        <f t="shared" si="11"/>
        <v/>
      </c>
      <c r="AL21" s="482"/>
    </row>
    <row r="22" spans="2:38">
      <c r="C22" s="222" t="str">
        <f>IF(10&lt;=Geometry!$G$95,10,"")</f>
        <v/>
      </c>
      <c r="D22" s="63"/>
      <c r="E22" s="845" t="str">
        <f t="shared" si="12"/>
        <v/>
      </c>
      <c r="F22" s="845" t="str">
        <f t="shared" si="13"/>
        <v/>
      </c>
      <c r="G22" s="845" t="str">
        <f t="shared" si="14"/>
        <v/>
      </c>
      <c r="H22" s="846"/>
      <c r="I22" s="845" t="str">
        <f t="shared" si="15"/>
        <v/>
      </c>
      <c r="J22" s="845" t="str">
        <f t="shared" si="16"/>
        <v/>
      </c>
      <c r="K22" s="847"/>
      <c r="L22" s="845" t="str">
        <f t="shared" si="4"/>
        <v/>
      </c>
      <c r="M22" s="845" t="str">
        <f t="shared" si="5"/>
        <v/>
      </c>
      <c r="R22" s="600" t="str">
        <f t="shared" si="6"/>
        <v>NA</v>
      </c>
      <c r="AE22" s="482"/>
      <c r="AF22" s="482"/>
      <c r="AG22" s="482"/>
      <c r="AH22" s="482"/>
      <c r="AK22" s="609"/>
    </row>
    <row r="23" spans="2:38" ht="12.75" customHeight="1">
      <c r="D23" s="63" t="s">
        <v>259</v>
      </c>
      <c r="E23" s="848">
        <f>SUM(E13:E22)</f>
        <v>0</v>
      </c>
      <c r="F23" s="848" t="e">
        <f>SUM(F13:F22)</f>
        <v>#VALUE!</v>
      </c>
      <c r="G23" s="848" t="e">
        <f>SUM(G13:G22)</f>
        <v>#VALUE!</v>
      </c>
      <c r="H23" s="846"/>
      <c r="I23" s="846"/>
      <c r="J23" s="846"/>
      <c r="K23" s="847"/>
      <c r="L23" s="846"/>
      <c r="M23" s="846"/>
      <c r="R23" s="600" t="str">
        <f t="shared" si="6"/>
        <v>NA</v>
      </c>
      <c r="AE23" s="482"/>
      <c r="AF23" s="482"/>
      <c r="AG23" s="482"/>
      <c r="AH23" s="482"/>
    </row>
    <row r="24" spans="2:38" hidden="1">
      <c r="B24" s="215" t="s">
        <v>761</v>
      </c>
      <c r="E24" s="846"/>
      <c r="F24" s="846"/>
      <c r="G24" s="846"/>
      <c r="H24" s="846"/>
      <c r="I24" s="846"/>
      <c r="J24" s="847"/>
      <c r="K24" s="847"/>
      <c r="L24" s="847"/>
      <c r="M24" s="849"/>
      <c r="R24" s="600" t="str">
        <f t="shared" si="6"/>
        <v>NA</v>
      </c>
      <c r="AE24" s="482"/>
      <c r="AF24" s="482"/>
      <c r="AG24" s="482"/>
      <c r="AH24" s="482"/>
    </row>
    <row r="25" spans="2:38" hidden="1">
      <c r="C25" s="221"/>
      <c r="D25" s="211"/>
      <c r="E25" s="850" t="s">
        <v>296</v>
      </c>
      <c r="F25" s="850" t="s">
        <v>720</v>
      </c>
      <c r="G25" s="850" t="s">
        <v>721</v>
      </c>
      <c r="H25" s="846"/>
      <c r="I25" s="1589" t="s">
        <v>759</v>
      </c>
      <c r="J25" s="1590"/>
      <c r="K25" s="847"/>
      <c r="L25" s="1589" t="s">
        <v>760</v>
      </c>
      <c r="M25" s="1590"/>
      <c r="R25" s="600" t="str">
        <f t="shared" si="6"/>
        <v>NA</v>
      </c>
      <c r="AE25" s="482"/>
      <c r="AF25" s="482"/>
      <c r="AG25" s="482"/>
      <c r="AH25" s="482"/>
    </row>
    <row r="26" spans="2:38" hidden="1">
      <c r="C26" s="220" t="s">
        <v>711</v>
      </c>
      <c r="D26" s="212"/>
      <c r="E26" s="851" t="s">
        <v>719</v>
      </c>
      <c r="F26" s="223" t="e">
        <f>F12</f>
        <v>#DIV/0!</v>
      </c>
      <c r="G26" s="223" t="e">
        <f>G12</f>
        <v>#DIV/0!</v>
      </c>
      <c r="H26" s="846"/>
      <c r="I26" s="852" t="s">
        <v>712</v>
      </c>
      <c r="J26" s="853" t="s">
        <v>713</v>
      </c>
      <c r="K26" s="847"/>
      <c r="L26" s="852" t="s">
        <v>712</v>
      </c>
      <c r="M26" s="853" t="s">
        <v>713</v>
      </c>
      <c r="R26" s="600" t="str">
        <f t="shared" si="6"/>
        <v>NA</v>
      </c>
      <c r="AE26" s="482"/>
      <c r="AF26" s="482"/>
      <c r="AG26" s="482"/>
      <c r="AH26" s="482"/>
    </row>
    <row r="27" spans="2:38" hidden="1">
      <c r="C27" s="222">
        <f t="shared" ref="C27:C36" si="17">IF(C13="","",C13)</f>
        <v>1</v>
      </c>
      <c r="D27" s="57"/>
      <c r="E27" s="845" t="str">
        <f t="shared" ref="E27:E36" si="18">IF(AF12="","",AF12)</f>
        <v/>
      </c>
      <c r="F27" s="845" t="e">
        <f>IF(C27="","",E27*$F$12)</f>
        <v>#VALUE!</v>
      </c>
      <c r="G27" s="845" t="e">
        <f>IF(C27="","",E27*$G$12)</f>
        <v>#VALUE!</v>
      </c>
      <c r="H27" s="846"/>
      <c r="I27" s="845" t="str">
        <f t="shared" ref="I27:I36" si="19">IF(AB12="","",AB12)</f>
        <v/>
      </c>
      <c r="J27" s="845" t="str">
        <f t="shared" ref="J27:J36" si="20">IF(AC12="","",AC12)</f>
        <v/>
      </c>
      <c r="K27" s="847"/>
      <c r="L27" s="845" t="str">
        <f t="shared" ref="L27:L36" si="21">IF(AD12="","",AD12)</f>
        <v/>
      </c>
      <c r="M27" s="845" t="str">
        <f t="shared" ref="M27:M36" si="22">IF(AE12="","",AE12)</f>
        <v/>
      </c>
      <c r="R27" s="600" t="str">
        <f t="shared" si="6"/>
        <v>NA</v>
      </c>
      <c r="AE27" s="482"/>
      <c r="AF27" s="482"/>
      <c r="AG27" s="482"/>
      <c r="AH27" s="482"/>
    </row>
    <row r="28" spans="2:38" hidden="1">
      <c r="C28" s="222" t="str">
        <f t="shared" si="17"/>
        <v/>
      </c>
      <c r="D28" s="57"/>
      <c r="E28" s="845" t="str">
        <f t="shared" si="18"/>
        <v/>
      </c>
      <c r="F28" s="845" t="str">
        <f t="shared" ref="F28:F36" si="23">IF(C28="","",E28*$F$12)</f>
        <v/>
      </c>
      <c r="G28" s="845" t="str">
        <f t="shared" ref="G28:G36" si="24">IF(C28="","",E28*$G$12)</f>
        <v/>
      </c>
      <c r="H28" s="846"/>
      <c r="I28" s="845" t="str">
        <f t="shared" si="19"/>
        <v/>
      </c>
      <c r="J28" s="845" t="str">
        <f t="shared" si="20"/>
        <v/>
      </c>
      <c r="K28" s="847"/>
      <c r="L28" s="845" t="str">
        <f t="shared" si="21"/>
        <v/>
      </c>
      <c r="M28" s="845" t="str">
        <f t="shared" si="22"/>
        <v/>
      </c>
      <c r="R28" s="600" t="str">
        <f t="shared" si="6"/>
        <v>NA</v>
      </c>
      <c r="AE28" s="482"/>
      <c r="AF28" s="482"/>
      <c r="AG28" s="482"/>
      <c r="AH28" s="482"/>
    </row>
    <row r="29" spans="2:38" hidden="1">
      <c r="C29" s="222" t="str">
        <f t="shared" si="17"/>
        <v/>
      </c>
      <c r="D29" s="57"/>
      <c r="E29" s="845" t="str">
        <f t="shared" si="18"/>
        <v/>
      </c>
      <c r="F29" s="845" t="str">
        <f t="shared" si="23"/>
        <v/>
      </c>
      <c r="G29" s="845" t="str">
        <f t="shared" si="24"/>
        <v/>
      </c>
      <c r="H29" s="846"/>
      <c r="I29" s="845" t="str">
        <f t="shared" si="19"/>
        <v/>
      </c>
      <c r="J29" s="845" t="str">
        <f t="shared" si="20"/>
        <v/>
      </c>
      <c r="K29" s="847"/>
      <c r="L29" s="845" t="str">
        <f t="shared" si="21"/>
        <v/>
      </c>
      <c r="M29" s="845" t="str">
        <f t="shared" si="22"/>
        <v/>
      </c>
      <c r="R29" s="600" t="str">
        <f t="shared" si="6"/>
        <v>NA</v>
      </c>
      <c r="AE29" s="482"/>
      <c r="AF29" s="482"/>
      <c r="AG29" s="482"/>
      <c r="AH29" s="482"/>
    </row>
    <row r="30" spans="2:38" hidden="1">
      <c r="C30" s="222" t="str">
        <f t="shared" si="17"/>
        <v/>
      </c>
      <c r="D30" s="57"/>
      <c r="E30" s="845" t="str">
        <f t="shared" si="18"/>
        <v/>
      </c>
      <c r="F30" s="845" t="str">
        <f t="shared" si="23"/>
        <v/>
      </c>
      <c r="G30" s="845" t="str">
        <f t="shared" si="24"/>
        <v/>
      </c>
      <c r="H30" s="846"/>
      <c r="I30" s="845" t="str">
        <f t="shared" si="19"/>
        <v/>
      </c>
      <c r="J30" s="845" t="str">
        <f t="shared" si="20"/>
        <v/>
      </c>
      <c r="K30" s="847"/>
      <c r="L30" s="845" t="str">
        <f t="shared" si="21"/>
        <v/>
      </c>
      <c r="M30" s="845" t="str">
        <f t="shared" si="22"/>
        <v/>
      </c>
      <c r="R30" s="600" t="str">
        <f t="shared" si="6"/>
        <v>NA</v>
      </c>
      <c r="AE30" s="482"/>
      <c r="AF30" s="482"/>
      <c r="AG30" s="482"/>
      <c r="AH30" s="482"/>
    </row>
    <row r="31" spans="2:38" hidden="1">
      <c r="C31" s="222" t="str">
        <f t="shared" si="17"/>
        <v/>
      </c>
      <c r="D31" s="57"/>
      <c r="E31" s="845" t="str">
        <f t="shared" si="18"/>
        <v/>
      </c>
      <c r="F31" s="845" t="str">
        <f t="shared" si="23"/>
        <v/>
      </c>
      <c r="G31" s="845" t="str">
        <f t="shared" si="24"/>
        <v/>
      </c>
      <c r="H31" s="846"/>
      <c r="I31" s="845" t="str">
        <f t="shared" si="19"/>
        <v/>
      </c>
      <c r="J31" s="845" t="str">
        <f t="shared" si="20"/>
        <v/>
      </c>
      <c r="K31" s="847"/>
      <c r="L31" s="845" t="str">
        <f t="shared" si="21"/>
        <v/>
      </c>
      <c r="M31" s="845" t="str">
        <f t="shared" si="22"/>
        <v/>
      </c>
      <c r="R31" s="600" t="str">
        <f t="shared" si="6"/>
        <v>NA</v>
      </c>
      <c r="AE31" s="482"/>
      <c r="AF31" s="482"/>
      <c r="AG31" s="482"/>
      <c r="AH31" s="482"/>
    </row>
    <row r="32" spans="2:38" hidden="1">
      <c r="C32" s="222" t="str">
        <f t="shared" si="17"/>
        <v/>
      </c>
      <c r="D32" s="57"/>
      <c r="E32" s="845" t="str">
        <f t="shared" si="18"/>
        <v/>
      </c>
      <c r="F32" s="845" t="str">
        <f t="shared" si="23"/>
        <v/>
      </c>
      <c r="G32" s="845" t="str">
        <f t="shared" si="24"/>
        <v/>
      </c>
      <c r="H32" s="846"/>
      <c r="I32" s="845" t="str">
        <f t="shared" si="19"/>
        <v/>
      </c>
      <c r="J32" s="845" t="str">
        <f t="shared" si="20"/>
        <v/>
      </c>
      <c r="K32" s="847"/>
      <c r="L32" s="845" t="str">
        <f t="shared" si="21"/>
        <v/>
      </c>
      <c r="M32" s="845" t="str">
        <f t="shared" si="22"/>
        <v/>
      </c>
      <c r="R32" s="600" t="str">
        <f t="shared" si="6"/>
        <v>NA</v>
      </c>
      <c r="AE32" s="482"/>
      <c r="AF32" s="482"/>
      <c r="AG32" s="482"/>
      <c r="AH32" s="482"/>
    </row>
    <row r="33" spans="2:34" hidden="1">
      <c r="C33" s="222" t="str">
        <f t="shared" si="17"/>
        <v/>
      </c>
      <c r="D33" s="57"/>
      <c r="E33" s="845" t="str">
        <f t="shared" si="18"/>
        <v/>
      </c>
      <c r="F33" s="845" t="str">
        <f t="shared" si="23"/>
        <v/>
      </c>
      <c r="G33" s="845" t="str">
        <f t="shared" si="24"/>
        <v/>
      </c>
      <c r="H33" s="846"/>
      <c r="I33" s="845" t="str">
        <f t="shared" si="19"/>
        <v/>
      </c>
      <c r="J33" s="845" t="str">
        <f t="shared" si="20"/>
        <v/>
      </c>
      <c r="K33" s="847"/>
      <c r="L33" s="845" t="str">
        <f t="shared" si="21"/>
        <v/>
      </c>
      <c r="M33" s="845" t="str">
        <f t="shared" si="22"/>
        <v/>
      </c>
      <c r="R33" s="600" t="str">
        <f t="shared" si="6"/>
        <v>NA</v>
      </c>
      <c r="AE33" s="482"/>
      <c r="AF33" s="482"/>
      <c r="AG33" s="482"/>
      <c r="AH33" s="482"/>
    </row>
    <row r="34" spans="2:34" hidden="1">
      <c r="C34" s="222" t="str">
        <f t="shared" si="17"/>
        <v/>
      </c>
      <c r="D34" s="57"/>
      <c r="E34" s="845" t="str">
        <f t="shared" si="18"/>
        <v/>
      </c>
      <c r="F34" s="845" t="str">
        <f t="shared" si="23"/>
        <v/>
      </c>
      <c r="G34" s="845" t="str">
        <f t="shared" si="24"/>
        <v/>
      </c>
      <c r="H34" s="846"/>
      <c r="I34" s="845" t="str">
        <f t="shared" si="19"/>
        <v/>
      </c>
      <c r="J34" s="845" t="str">
        <f t="shared" si="20"/>
        <v/>
      </c>
      <c r="K34" s="847"/>
      <c r="L34" s="845" t="str">
        <f t="shared" si="21"/>
        <v/>
      </c>
      <c r="M34" s="845" t="str">
        <f t="shared" si="22"/>
        <v/>
      </c>
      <c r="R34" s="600" t="str">
        <f t="shared" si="6"/>
        <v>NA</v>
      </c>
      <c r="AE34" s="482"/>
      <c r="AF34" s="482"/>
      <c r="AG34" s="482"/>
      <c r="AH34" s="482"/>
    </row>
    <row r="35" spans="2:34" hidden="1">
      <c r="C35" s="222" t="str">
        <f t="shared" si="17"/>
        <v/>
      </c>
      <c r="D35" s="57"/>
      <c r="E35" s="845" t="str">
        <f t="shared" si="18"/>
        <v/>
      </c>
      <c r="F35" s="845" t="str">
        <f t="shared" si="23"/>
        <v/>
      </c>
      <c r="G35" s="845" t="str">
        <f t="shared" si="24"/>
        <v/>
      </c>
      <c r="H35" s="846"/>
      <c r="I35" s="845" t="str">
        <f t="shared" si="19"/>
        <v/>
      </c>
      <c r="J35" s="845" t="str">
        <f t="shared" si="20"/>
        <v/>
      </c>
      <c r="K35" s="847"/>
      <c r="L35" s="845" t="str">
        <f t="shared" si="21"/>
        <v/>
      </c>
      <c r="M35" s="845" t="str">
        <f t="shared" si="22"/>
        <v/>
      </c>
      <c r="R35" s="600" t="str">
        <f t="shared" si="6"/>
        <v>NA</v>
      </c>
      <c r="AE35" s="482"/>
      <c r="AF35" s="482"/>
      <c r="AG35" s="482"/>
      <c r="AH35" s="482"/>
    </row>
    <row r="36" spans="2:34" hidden="1">
      <c r="C36" s="222" t="str">
        <f t="shared" si="17"/>
        <v/>
      </c>
      <c r="D36" s="57"/>
      <c r="E36" s="845" t="str">
        <f t="shared" si="18"/>
        <v/>
      </c>
      <c r="F36" s="845" t="str">
        <f t="shared" si="23"/>
        <v/>
      </c>
      <c r="G36" s="845" t="str">
        <f t="shared" si="24"/>
        <v/>
      </c>
      <c r="H36" s="846"/>
      <c r="I36" s="845" t="str">
        <f t="shared" si="19"/>
        <v/>
      </c>
      <c r="J36" s="845" t="str">
        <f t="shared" si="20"/>
        <v/>
      </c>
      <c r="K36" s="847"/>
      <c r="L36" s="845" t="str">
        <f t="shared" si="21"/>
        <v/>
      </c>
      <c r="M36" s="845" t="str">
        <f t="shared" si="22"/>
        <v/>
      </c>
      <c r="R36" s="600" t="str">
        <f t="shared" si="6"/>
        <v>NA</v>
      </c>
      <c r="AE36" s="482"/>
      <c r="AF36" s="482"/>
      <c r="AG36" s="482"/>
      <c r="AH36" s="482"/>
    </row>
    <row r="37" spans="2:34" hidden="1">
      <c r="D37" s="63" t="s">
        <v>259</v>
      </c>
      <c r="E37" s="848">
        <f>SUM(E27:E36)</f>
        <v>0</v>
      </c>
      <c r="F37" s="848" t="e">
        <f>SUM(F27:F36)</f>
        <v>#VALUE!</v>
      </c>
      <c r="G37" s="848" t="e">
        <f>SUM(G27:G36)</f>
        <v>#VALUE!</v>
      </c>
      <c r="H37" s="846"/>
      <c r="I37" s="846"/>
      <c r="J37" s="847"/>
      <c r="K37" s="847"/>
      <c r="L37" s="847"/>
      <c r="M37" s="849"/>
      <c r="R37" s="600" t="str">
        <f t="shared" si="6"/>
        <v>NA</v>
      </c>
      <c r="AE37" s="482"/>
      <c r="AF37" s="482"/>
      <c r="AG37" s="482"/>
      <c r="AH37" s="482"/>
    </row>
    <row r="38" spans="2:34" hidden="1">
      <c r="B38" s="215" t="s">
        <v>869</v>
      </c>
      <c r="R38" s="600" t="str">
        <f t="shared" si="6"/>
        <v>NA</v>
      </c>
      <c r="AE38" s="482"/>
      <c r="AF38" s="482"/>
      <c r="AG38" s="482"/>
      <c r="AH38" s="482"/>
    </row>
    <row r="39" spans="2:34" hidden="1">
      <c r="C39" s="221"/>
      <c r="D39" s="211"/>
      <c r="E39" s="850" t="s">
        <v>296</v>
      </c>
      <c r="F39" s="850" t="s">
        <v>720</v>
      </c>
      <c r="G39" s="850" t="s">
        <v>721</v>
      </c>
      <c r="H39" s="846"/>
      <c r="I39" s="1589" t="s">
        <v>759</v>
      </c>
      <c r="J39" s="1590"/>
      <c r="K39" s="847"/>
      <c r="L39" s="1589" t="s">
        <v>760</v>
      </c>
      <c r="M39" s="1590"/>
      <c r="R39" s="600" t="str">
        <f t="shared" si="6"/>
        <v>NA</v>
      </c>
      <c r="AE39" s="482"/>
      <c r="AF39" s="482"/>
      <c r="AG39" s="482"/>
      <c r="AH39" s="482"/>
    </row>
    <row r="40" spans="2:34" hidden="1">
      <c r="C40" s="220" t="s">
        <v>711</v>
      </c>
      <c r="D40" s="212"/>
      <c r="E40" s="851" t="s">
        <v>719</v>
      </c>
      <c r="F40" s="223" t="e">
        <f>F26</f>
        <v>#DIV/0!</v>
      </c>
      <c r="G40" s="223" t="e">
        <f>G26</f>
        <v>#DIV/0!</v>
      </c>
      <c r="H40" s="846"/>
      <c r="I40" s="852" t="s">
        <v>712</v>
      </c>
      <c r="J40" s="853" t="s">
        <v>713</v>
      </c>
      <c r="K40" s="847"/>
      <c r="L40" s="852" t="s">
        <v>712</v>
      </c>
      <c r="M40" s="853" t="s">
        <v>713</v>
      </c>
      <c r="R40" s="600" t="str">
        <f t="shared" si="6"/>
        <v>NA</v>
      </c>
      <c r="AE40" s="482"/>
      <c r="AF40" s="482"/>
      <c r="AG40" s="482"/>
      <c r="AH40" s="482"/>
    </row>
    <row r="41" spans="2:34" hidden="1">
      <c r="C41" s="222">
        <f t="shared" ref="C41:C50" si="25">IF(C13="","",C13)</f>
        <v>1</v>
      </c>
      <c r="D41" s="57"/>
      <c r="E41" s="845" t="str">
        <f t="shared" ref="E41:E50" si="26">IF(AK12="","",AK12)</f>
        <v/>
      </c>
      <c r="F41" s="845" t="str">
        <f>IF(E41="","",E41*$F$12)</f>
        <v/>
      </c>
      <c r="G41" s="845" t="str">
        <f>IF(E41="","",E41*$G$12)</f>
        <v/>
      </c>
      <c r="H41" s="846"/>
      <c r="I41" s="845" t="str">
        <f t="shared" ref="I41:I50" si="27">IF(AG12="","",AG12)</f>
        <v/>
      </c>
      <c r="J41" s="845" t="str">
        <f t="shared" ref="J41:J50" si="28">IF(AH12="","",AH12)</f>
        <v/>
      </c>
      <c r="K41" s="847"/>
      <c r="L41" s="845" t="str">
        <f t="shared" ref="L41:L50" si="29">IF(AI12="","",AI12)</f>
        <v/>
      </c>
      <c r="M41" s="845" t="str">
        <f t="shared" ref="M41:M50" si="30">IF(AJ12="","",AJ12)</f>
        <v/>
      </c>
      <c r="R41" s="600" t="str">
        <f t="shared" si="6"/>
        <v>NA</v>
      </c>
      <c r="AE41" s="482"/>
      <c r="AF41" s="482"/>
      <c r="AG41" s="482"/>
      <c r="AH41" s="482"/>
    </row>
    <row r="42" spans="2:34" hidden="1">
      <c r="C42" s="222" t="str">
        <f t="shared" si="25"/>
        <v/>
      </c>
      <c r="D42" s="57"/>
      <c r="E42" s="845" t="str">
        <f t="shared" si="26"/>
        <v/>
      </c>
      <c r="F42" s="845" t="str">
        <f t="shared" ref="F42:F50" si="31">IF(E42="","",E42*$F$12)</f>
        <v/>
      </c>
      <c r="G42" s="845" t="str">
        <f t="shared" ref="G42:G50" si="32">IF(E42="","",E42*$G$12)</f>
        <v/>
      </c>
      <c r="H42" s="846"/>
      <c r="I42" s="845" t="str">
        <f t="shared" si="27"/>
        <v/>
      </c>
      <c r="J42" s="845" t="str">
        <f t="shared" si="28"/>
        <v/>
      </c>
      <c r="K42" s="847"/>
      <c r="L42" s="845" t="str">
        <f t="shared" si="29"/>
        <v/>
      </c>
      <c r="M42" s="845" t="str">
        <f t="shared" si="30"/>
        <v/>
      </c>
      <c r="R42" s="600" t="str">
        <f t="shared" si="6"/>
        <v>NA</v>
      </c>
      <c r="AE42" s="482"/>
      <c r="AF42" s="482"/>
      <c r="AG42" s="482"/>
      <c r="AH42" s="482"/>
    </row>
    <row r="43" spans="2:34" hidden="1">
      <c r="C43" s="222" t="str">
        <f t="shared" si="25"/>
        <v/>
      </c>
      <c r="D43" s="57"/>
      <c r="E43" s="845" t="str">
        <f t="shared" si="26"/>
        <v/>
      </c>
      <c r="F43" s="845" t="str">
        <f t="shared" si="31"/>
        <v/>
      </c>
      <c r="G43" s="845" t="str">
        <f t="shared" si="32"/>
        <v/>
      </c>
      <c r="H43" s="846"/>
      <c r="I43" s="845" t="str">
        <f t="shared" si="27"/>
        <v/>
      </c>
      <c r="J43" s="845" t="str">
        <f t="shared" si="28"/>
        <v/>
      </c>
      <c r="K43" s="847"/>
      <c r="L43" s="845" t="str">
        <f t="shared" si="29"/>
        <v/>
      </c>
      <c r="M43" s="845" t="str">
        <f t="shared" si="30"/>
        <v/>
      </c>
      <c r="R43" s="600" t="str">
        <f t="shared" si="6"/>
        <v>NA</v>
      </c>
      <c r="AE43" s="482"/>
      <c r="AF43" s="482"/>
      <c r="AG43" s="482"/>
      <c r="AH43" s="482"/>
    </row>
    <row r="44" spans="2:34" hidden="1">
      <c r="C44" s="222" t="str">
        <f t="shared" si="25"/>
        <v/>
      </c>
      <c r="D44" s="57"/>
      <c r="E44" s="845" t="str">
        <f t="shared" si="26"/>
        <v/>
      </c>
      <c r="F44" s="845" t="str">
        <f t="shared" si="31"/>
        <v/>
      </c>
      <c r="G44" s="845" t="str">
        <f t="shared" si="32"/>
        <v/>
      </c>
      <c r="H44" s="846"/>
      <c r="I44" s="845" t="str">
        <f t="shared" si="27"/>
        <v/>
      </c>
      <c r="J44" s="845" t="str">
        <f t="shared" si="28"/>
        <v/>
      </c>
      <c r="K44" s="847"/>
      <c r="L44" s="845" t="str">
        <f t="shared" si="29"/>
        <v/>
      </c>
      <c r="M44" s="845" t="str">
        <f t="shared" si="30"/>
        <v/>
      </c>
      <c r="R44" s="600" t="str">
        <f t="shared" si="6"/>
        <v>NA</v>
      </c>
      <c r="AE44" s="482"/>
      <c r="AF44" s="482"/>
      <c r="AG44" s="482"/>
      <c r="AH44" s="482"/>
    </row>
    <row r="45" spans="2:34" hidden="1">
      <c r="C45" s="222" t="str">
        <f t="shared" si="25"/>
        <v/>
      </c>
      <c r="D45" s="57"/>
      <c r="E45" s="845" t="str">
        <f t="shared" si="26"/>
        <v/>
      </c>
      <c r="F45" s="845" t="str">
        <f t="shared" si="31"/>
        <v/>
      </c>
      <c r="G45" s="845" t="str">
        <f t="shared" si="32"/>
        <v/>
      </c>
      <c r="H45" s="846"/>
      <c r="I45" s="845" t="str">
        <f t="shared" si="27"/>
        <v/>
      </c>
      <c r="J45" s="845" t="str">
        <f t="shared" si="28"/>
        <v/>
      </c>
      <c r="K45" s="847"/>
      <c r="L45" s="845" t="str">
        <f t="shared" si="29"/>
        <v/>
      </c>
      <c r="M45" s="845" t="str">
        <f t="shared" si="30"/>
        <v/>
      </c>
      <c r="R45" s="600" t="str">
        <f t="shared" si="6"/>
        <v>NA</v>
      </c>
      <c r="AE45" s="482"/>
      <c r="AF45" s="482"/>
      <c r="AG45" s="482"/>
      <c r="AH45" s="482"/>
    </row>
    <row r="46" spans="2:34" hidden="1">
      <c r="C46" s="222" t="str">
        <f t="shared" si="25"/>
        <v/>
      </c>
      <c r="D46" s="57"/>
      <c r="E46" s="845" t="str">
        <f t="shared" si="26"/>
        <v/>
      </c>
      <c r="F46" s="845" t="str">
        <f t="shared" si="31"/>
        <v/>
      </c>
      <c r="G46" s="845" t="str">
        <f t="shared" si="32"/>
        <v/>
      </c>
      <c r="H46" s="846"/>
      <c r="I46" s="845" t="str">
        <f t="shared" si="27"/>
        <v/>
      </c>
      <c r="J46" s="845" t="str">
        <f t="shared" si="28"/>
        <v/>
      </c>
      <c r="K46" s="847"/>
      <c r="L46" s="845" t="str">
        <f t="shared" si="29"/>
        <v/>
      </c>
      <c r="M46" s="845" t="str">
        <f t="shared" si="30"/>
        <v/>
      </c>
      <c r="R46" s="600" t="str">
        <f t="shared" si="6"/>
        <v>NA</v>
      </c>
      <c r="AE46" s="482"/>
      <c r="AF46" s="482"/>
      <c r="AG46" s="482"/>
      <c r="AH46" s="482"/>
    </row>
    <row r="47" spans="2:34" hidden="1">
      <c r="C47" s="222" t="str">
        <f t="shared" si="25"/>
        <v/>
      </c>
      <c r="D47" s="57"/>
      <c r="E47" s="845" t="str">
        <f t="shared" si="26"/>
        <v/>
      </c>
      <c r="F47" s="845" t="str">
        <f t="shared" si="31"/>
        <v/>
      </c>
      <c r="G47" s="845" t="str">
        <f t="shared" si="32"/>
        <v/>
      </c>
      <c r="H47" s="846"/>
      <c r="I47" s="845" t="str">
        <f t="shared" si="27"/>
        <v/>
      </c>
      <c r="J47" s="845" t="str">
        <f t="shared" si="28"/>
        <v/>
      </c>
      <c r="K47" s="847"/>
      <c r="L47" s="845" t="str">
        <f t="shared" si="29"/>
        <v/>
      </c>
      <c r="M47" s="845" t="str">
        <f t="shared" si="30"/>
        <v/>
      </c>
      <c r="R47" s="600" t="str">
        <f t="shared" si="6"/>
        <v>NA</v>
      </c>
      <c r="AE47" s="482"/>
      <c r="AF47" s="482"/>
      <c r="AG47" s="482"/>
      <c r="AH47" s="482"/>
    </row>
    <row r="48" spans="2:34" hidden="1">
      <c r="C48" s="222" t="str">
        <f t="shared" si="25"/>
        <v/>
      </c>
      <c r="D48" s="57"/>
      <c r="E48" s="845" t="str">
        <f t="shared" si="26"/>
        <v/>
      </c>
      <c r="F48" s="845" t="str">
        <f t="shared" si="31"/>
        <v/>
      </c>
      <c r="G48" s="845" t="str">
        <f t="shared" si="32"/>
        <v/>
      </c>
      <c r="H48" s="846"/>
      <c r="I48" s="845" t="str">
        <f t="shared" si="27"/>
        <v/>
      </c>
      <c r="J48" s="845" t="str">
        <f t="shared" si="28"/>
        <v/>
      </c>
      <c r="K48" s="847"/>
      <c r="L48" s="845" t="str">
        <f t="shared" si="29"/>
        <v/>
      </c>
      <c r="M48" s="845" t="str">
        <f t="shared" si="30"/>
        <v/>
      </c>
      <c r="R48" s="600" t="str">
        <f t="shared" si="6"/>
        <v>NA</v>
      </c>
      <c r="AE48" s="482"/>
      <c r="AF48" s="482"/>
      <c r="AG48" s="482"/>
      <c r="AH48" s="482"/>
    </row>
    <row r="49" spans="2:34" hidden="1">
      <c r="C49" s="222" t="str">
        <f t="shared" si="25"/>
        <v/>
      </c>
      <c r="D49" s="57"/>
      <c r="E49" s="845" t="str">
        <f t="shared" si="26"/>
        <v/>
      </c>
      <c r="F49" s="845" t="str">
        <f t="shared" si="31"/>
        <v/>
      </c>
      <c r="G49" s="845" t="str">
        <f t="shared" si="32"/>
        <v/>
      </c>
      <c r="H49" s="846"/>
      <c r="I49" s="845" t="str">
        <f t="shared" si="27"/>
        <v/>
      </c>
      <c r="J49" s="845" t="str">
        <f t="shared" si="28"/>
        <v/>
      </c>
      <c r="K49" s="847"/>
      <c r="L49" s="845" t="str">
        <f t="shared" si="29"/>
        <v/>
      </c>
      <c r="M49" s="845" t="str">
        <f t="shared" si="30"/>
        <v/>
      </c>
      <c r="R49" s="600" t="str">
        <f t="shared" si="6"/>
        <v>NA</v>
      </c>
      <c r="AE49" s="482"/>
      <c r="AF49" s="482"/>
      <c r="AG49" s="482"/>
      <c r="AH49" s="482"/>
    </row>
    <row r="50" spans="2:34" hidden="1">
      <c r="C50" s="222" t="str">
        <f t="shared" si="25"/>
        <v/>
      </c>
      <c r="D50" s="57"/>
      <c r="E50" s="845" t="str">
        <f t="shared" si="26"/>
        <v/>
      </c>
      <c r="F50" s="845" t="str">
        <f t="shared" si="31"/>
        <v/>
      </c>
      <c r="G50" s="845" t="str">
        <f t="shared" si="32"/>
        <v/>
      </c>
      <c r="H50" s="846"/>
      <c r="I50" s="845" t="str">
        <f t="shared" si="27"/>
        <v/>
      </c>
      <c r="J50" s="845" t="str">
        <f t="shared" si="28"/>
        <v/>
      </c>
      <c r="K50" s="847"/>
      <c r="L50" s="845" t="str">
        <f t="shared" si="29"/>
        <v/>
      </c>
      <c r="M50" s="845" t="str">
        <f t="shared" si="30"/>
        <v/>
      </c>
      <c r="R50" s="600" t="str">
        <f t="shared" si="6"/>
        <v>NA</v>
      </c>
      <c r="AE50" s="482"/>
      <c r="AF50" s="482"/>
      <c r="AG50" s="482"/>
      <c r="AH50" s="482"/>
    </row>
    <row r="51" spans="2:34" hidden="1">
      <c r="D51" s="63" t="s">
        <v>259</v>
      </c>
      <c r="E51" s="848">
        <f>SUM(E41:E50)</f>
        <v>0</v>
      </c>
      <c r="F51" s="848">
        <f>SUM(F41:F50)</f>
        <v>0</v>
      </c>
      <c r="G51" s="848">
        <f>SUM(G41:G50)</f>
        <v>0</v>
      </c>
      <c r="H51" s="846"/>
      <c r="I51" s="846"/>
      <c r="J51" s="847"/>
      <c r="K51" s="847"/>
      <c r="L51" s="847"/>
      <c r="M51" s="849"/>
      <c r="R51" s="600" t="str">
        <f t="shared" si="6"/>
        <v>NA</v>
      </c>
      <c r="AE51" s="482"/>
      <c r="AF51" s="482"/>
      <c r="AG51" s="482"/>
      <c r="AH51" s="482"/>
    </row>
    <row r="52" spans="2:34" hidden="1">
      <c r="AE52" s="482"/>
      <c r="AF52" s="482"/>
      <c r="AG52" s="482"/>
      <c r="AH52" s="482"/>
    </row>
    <row r="53" spans="2:34" ht="12.75" customHeight="1">
      <c r="B53" s="215" t="s">
        <v>715</v>
      </c>
      <c r="AE53" s="482"/>
      <c r="AF53" s="482"/>
      <c r="AG53" s="482"/>
      <c r="AH53" s="482"/>
    </row>
    <row r="54" spans="2:34">
      <c r="E54" s="850" t="s">
        <v>296</v>
      </c>
      <c r="F54" s="850" t="s">
        <v>720</v>
      </c>
      <c r="G54" s="850" t="s">
        <v>721</v>
      </c>
      <c r="H54" s="846"/>
      <c r="I54" s="1589" t="s">
        <v>759</v>
      </c>
      <c r="J54" s="1590"/>
      <c r="K54" s="847"/>
      <c r="L54" s="1589" t="s">
        <v>760</v>
      </c>
      <c r="M54" s="1590"/>
    </row>
    <row r="55" spans="2:34">
      <c r="E55" s="851" t="s">
        <v>719</v>
      </c>
      <c r="F55" s="223" t="e">
        <f>F40</f>
        <v>#DIV/0!</v>
      </c>
      <c r="G55" s="223" t="e">
        <f>G40</f>
        <v>#DIV/0!</v>
      </c>
      <c r="H55" s="846"/>
      <c r="I55" s="852" t="s">
        <v>712</v>
      </c>
      <c r="J55" s="853" t="s">
        <v>713</v>
      </c>
      <c r="K55" s="847"/>
      <c r="L55" s="852" t="s">
        <v>712</v>
      </c>
      <c r="M55" s="853" t="s">
        <v>713</v>
      </c>
    </row>
    <row r="56" spans="2:34">
      <c r="D56" s="64" t="s">
        <v>712</v>
      </c>
      <c r="E56" s="1009">
        <f>MAX(E13:E22,E27:E36,E41:E50)</f>
        <v>0</v>
      </c>
      <c r="F56" s="1009" t="e">
        <f>MAX(F13:F22,F27:F36,F41:F50)</f>
        <v>#VALUE!</v>
      </c>
      <c r="G56" s="1009" t="e">
        <f>MAX(G13:G22,G27:G36,G41:G50)</f>
        <v>#VALUE!</v>
      </c>
      <c r="H56" s="846"/>
      <c r="I56" s="1009">
        <f>MAX(I13:I22,I27:I36,I41:I50)</f>
        <v>0</v>
      </c>
      <c r="J56" s="1009">
        <f>MAX(J13:J22,J27:J36,J41:J50)</f>
        <v>0</v>
      </c>
      <c r="K56" s="846"/>
      <c r="L56" s="1009">
        <f>MAX(L13:L22,L27:L36,L41:L50)</f>
        <v>0</v>
      </c>
      <c r="M56" s="1009">
        <f>MAX(M13:M22,M27:M36,M41:M50)</f>
        <v>0</v>
      </c>
    </row>
    <row r="57" spans="2:34">
      <c r="D57" s="64" t="s">
        <v>713</v>
      </c>
      <c r="E57" s="1010">
        <f>MIN(E13:E22,E27:E36,E41:E50)</f>
        <v>0</v>
      </c>
      <c r="F57" s="1010" t="e">
        <f>MIN(F13:F22,F27:F36,F41:F50)</f>
        <v>#VALUE!</v>
      </c>
      <c r="G57" s="1010" t="e">
        <f>MIN(G13:G22,G27:G36,G41:G50)</f>
        <v>#VALUE!</v>
      </c>
      <c r="H57" s="846"/>
      <c r="I57" s="1010">
        <f>MIN(I13:I22,I27:I36,I41:I50)</f>
        <v>0</v>
      </c>
      <c r="J57" s="1010">
        <f>MIN(J13:J22,J27:J36,J41:J50)</f>
        <v>0</v>
      </c>
      <c r="K57" s="846"/>
      <c r="L57" s="1010">
        <f>MIN(L13:L22,L27:L36,L41:L50)</f>
        <v>0</v>
      </c>
      <c r="M57" s="1010">
        <f>MIN(M13:M22,M27:M36,M41:M50)</f>
        <v>0</v>
      </c>
    </row>
    <row r="58" spans="2:34">
      <c r="C58" s="1586" t="str">
        <f>"* DW based on wearing surface and utility percentage of total dead load. Wearing Surface and Utility load is "&amp;ROUND(SUM('Conc DL'!G51,'Conc DL'!G102),0)&amp;" k as determined in ''Loads Distributed by Beams''"</f>
        <v>* DW based on wearing surface and utility percentage of total dead load. Wearing Surface and Utility load is 17 k as determined in ''Loads Distributed by Beams''</v>
      </c>
      <c r="D58" s="1586"/>
      <c r="E58" s="1586"/>
      <c r="F58" s="1586"/>
      <c r="G58" s="1586"/>
      <c r="H58" s="1586"/>
      <c r="I58" s="1586"/>
      <c r="J58" s="1586"/>
      <c r="K58" s="1586"/>
      <c r="L58" s="1586"/>
      <c r="M58" s="1586"/>
    </row>
    <row r="59" spans="2:34">
      <c r="C59" s="1586"/>
      <c r="D59" s="1586"/>
      <c r="E59" s="1586"/>
      <c r="F59" s="1586"/>
      <c r="G59" s="1586"/>
      <c r="H59" s="1586"/>
      <c r="I59" s="1586"/>
      <c r="J59" s="1586"/>
      <c r="K59" s="1586"/>
      <c r="L59" s="1586"/>
      <c r="M59" s="1586"/>
    </row>
    <row r="60" spans="2:34">
      <c r="B60" s="584"/>
      <c r="C60" s="600"/>
      <c r="D60" s="600"/>
      <c r="E60" s="614"/>
      <c r="F60" s="614"/>
      <c r="G60" s="614"/>
      <c r="H60" s="614"/>
      <c r="I60" s="614"/>
      <c r="J60" s="600"/>
      <c r="K60" s="600"/>
      <c r="L60" s="600"/>
      <c r="M60" s="343"/>
      <c r="N60" s="343"/>
    </row>
    <row r="61" spans="2:34">
      <c r="B61" s="584"/>
      <c r="C61" s="600"/>
      <c r="D61" s="600"/>
      <c r="E61" s="614"/>
      <c r="F61" s="614"/>
      <c r="G61" s="614"/>
      <c r="H61" s="614"/>
      <c r="I61" s="614"/>
      <c r="J61" s="600"/>
      <c r="K61" s="600"/>
      <c r="L61" s="600"/>
      <c r="M61" s="343"/>
      <c r="N61" s="343"/>
    </row>
    <row r="62" spans="2:34">
      <c r="B62" s="584"/>
      <c r="C62" s="600"/>
      <c r="D62" s="600"/>
      <c r="E62" s="614"/>
      <c r="F62" s="614"/>
      <c r="G62" s="614"/>
      <c r="H62" s="614"/>
      <c r="I62" s="614"/>
      <c r="J62" s="600"/>
      <c r="K62" s="600"/>
      <c r="L62" s="600"/>
      <c r="M62" s="343"/>
      <c r="N62" s="343"/>
    </row>
    <row r="63" spans="2:34">
      <c r="B63" s="584"/>
      <c r="C63" s="600"/>
      <c r="D63" s="600"/>
      <c r="E63" s="614"/>
      <c r="F63" s="614"/>
      <c r="G63" s="614"/>
      <c r="H63" s="614"/>
      <c r="I63" s="614"/>
      <c r="J63" s="600"/>
      <c r="K63" s="600"/>
      <c r="L63" s="600"/>
      <c r="M63" s="343"/>
      <c r="N63" s="343"/>
    </row>
    <row r="64" spans="2:34">
      <c r="B64" s="584"/>
      <c r="C64" s="600"/>
      <c r="D64" s="600"/>
      <c r="E64" s="614"/>
      <c r="F64" s="614"/>
      <c r="G64" s="614"/>
      <c r="H64" s="614"/>
      <c r="I64" s="614"/>
      <c r="J64" s="600"/>
      <c r="K64" s="600"/>
      <c r="L64" s="600"/>
      <c r="M64" s="343"/>
      <c r="N64" s="343"/>
    </row>
    <row r="65" spans="2:14">
      <c r="B65" s="584"/>
      <c r="C65" s="600"/>
      <c r="D65" s="600"/>
      <c r="E65" s="614"/>
      <c r="F65" s="614"/>
      <c r="G65" s="614"/>
      <c r="H65" s="614"/>
      <c r="I65" s="614"/>
      <c r="J65" s="600"/>
      <c r="K65" s="600"/>
      <c r="L65" s="600"/>
      <c r="M65" s="343"/>
      <c r="N65" s="343"/>
    </row>
    <row r="66" spans="2:14">
      <c r="B66" s="584"/>
      <c r="C66" s="600"/>
      <c r="D66" s="600"/>
      <c r="E66" s="614"/>
      <c r="F66" s="614"/>
      <c r="G66" s="614"/>
      <c r="H66" s="614"/>
      <c r="I66" s="614"/>
      <c r="J66" s="600"/>
      <c r="K66" s="600"/>
      <c r="L66" s="600"/>
      <c r="M66" s="343"/>
      <c r="N66" s="343"/>
    </row>
    <row r="67" spans="2:14">
      <c r="B67" s="584"/>
      <c r="C67" s="600"/>
      <c r="D67" s="600"/>
      <c r="E67" s="614"/>
      <c r="F67" s="614"/>
      <c r="G67" s="614"/>
      <c r="H67" s="614"/>
      <c r="I67" s="614"/>
      <c r="J67" s="600"/>
      <c r="K67" s="600"/>
      <c r="L67" s="600"/>
      <c r="M67" s="343"/>
      <c r="N67" s="343"/>
    </row>
    <row r="68" spans="2:14">
      <c r="B68" s="584"/>
      <c r="C68" s="600"/>
      <c r="D68" s="600"/>
      <c r="E68" s="614"/>
      <c r="F68" s="614"/>
      <c r="G68" s="614"/>
      <c r="H68" s="614"/>
      <c r="I68" s="614"/>
      <c r="J68" s="600"/>
      <c r="K68" s="600"/>
      <c r="L68" s="600"/>
      <c r="M68" s="343"/>
      <c r="N68" s="343"/>
    </row>
    <row r="69" spans="2:14">
      <c r="B69" s="584"/>
      <c r="C69" s="600"/>
      <c r="D69" s="600"/>
      <c r="E69" s="614"/>
      <c r="F69" s="614"/>
      <c r="G69" s="614"/>
      <c r="H69" s="614"/>
      <c r="I69" s="614"/>
      <c r="J69" s="600"/>
      <c r="K69" s="600"/>
      <c r="L69" s="600"/>
      <c r="M69" s="343"/>
      <c r="N69" s="343"/>
    </row>
    <row r="70" spans="2:14">
      <c r="B70" s="584"/>
      <c r="C70" s="600"/>
      <c r="D70" s="600"/>
      <c r="E70" s="614"/>
      <c r="F70" s="614"/>
      <c r="G70" s="614"/>
      <c r="H70" s="614"/>
      <c r="I70" s="614"/>
      <c r="J70" s="600"/>
      <c r="K70" s="600"/>
      <c r="L70" s="600"/>
      <c r="M70" s="343"/>
      <c r="N70" s="343"/>
    </row>
    <row r="71" spans="2:14">
      <c r="B71" s="584"/>
      <c r="C71" s="600"/>
      <c r="D71" s="600"/>
      <c r="E71" s="614"/>
      <c r="F71" s="614"/>
      <c r="G71" s="614"/>
      <c r="H71" s="614"/>
      <c r="I71" s="614"/>
      <c r="J71" s="600"/>
      <c r="K71" s="600"/>
      <c r="L71" s="600"/>
      <c r="M71" s="343"/>
      <c r="N71" s="343"/>
    </row>
    <row r="72" spans="2:14">
      <c r="B72" s="584"/>
      <c r="C72" s="600"/>
      <c r="D72" s="600"/>
      <c r="E72" s="614"/>
      <c r="F72" s="614"/>
      <c r="G72" s="614"/>
      <c r="H72" s="614"/>
      <c r="I72" s="614"/>
      <c r="J72" s="600"/>
      <c r="K72" s="600"/>
      <c r="L72" s="600"/>
      <c r="M72" s="343"/>
      <c r="N72" s="343"/>
    </row>
    <row r="73" spans="2:14">
      <c r="B73" s="584"/>
      <c r="C73" s="600"/>
      <c r="D73" s="600"/>
      <c r="E73" s="614"/>
      <c r="F73" s="614"/>
      <c r="G73" s="614"/>
      <c r="H73" s="614"/>
      <c r="I73" s="614"/>
      <c r="J73" s="600"/>
      <c r="K73" s="600"/>
      <c r="L73" s="600"/>
      <c r="M73" s="343"/>
      <c r="N73" s="343"/>
    </row>
    <row r="74" spans="2:14">
      <c r="B74" s="584"/>
      <c r="C74" s="600"/>
      <c r="D74" s="600"/>
      <c r="E74" s="614"/>
      <c r="F74" s="614"/>
      <c r="G74" s="614"/>
      <c r="H74" s="614"/>
      <c r="I74" s="614"/>
      <c r="J74" s="600"/>
      <c r="K74" s="600"/>
      <c r="L74" s="600"/>
      <c r="M74" s="343"/>
      <c r="N74" s="343"/>
    </row>
    <row r="75" spans="2:14">
      <c r="B75" s="584"/>
      <c r="C75" s="600"/>
      <c r="D75" s="600"/>
      <c r="E75" s="614"/>
      <c r="F75" s="614"/>
      <c r="G75" s="614"/>
      <c r="H75" s="614"/>
      <c r="I75" s="614"/>
      <c r="J75" s="600"/>
      <c r="K75" s="600"/>
      <c r="L75" s="600"/>
      <c r="M75" s="343"/>
      <c r="N75" s="343"/>
    </row>
    <row r="76" spans="2:14">
      <c r="B76" s="584"/>
      <c r="C76" s="600"/>
      <c r="D76" s="600"/>
      <c r="E76" s="614"/>
      <c r="F76" s="614"/>
      <c r="G76" s="614"/>
      <c r="H76" s="614"/>
      <c r="I76" s="614"/>
      <c r="J76" s="600"/>
      <c r="K76" s="600"/>
      <c r="L76" s="600"/>
      <c r="M76" s="343"/>
      <c r="N76" s="343"/>
    </row>
    <row r="77" spans="2:14">
      <c r="B77" s="584"/>
      <c r="C77" s="600"/>
      <c r="D77" s="600"/>
      <c r="E77" s="614"/>
      <c r="F77" s="614"/>
      <c r="G77" s="614"/>
      <c r="H77" s="614"/>
      <c r="I77" s="614"/>
      <c r="J77" s="600"/>
      <c r="K77" s="600"/>
      <c r="L77" s="600"/>
      <c r="M77" s="343"/>
      <c r="N77" s="343"/>
    </row>
    <row r="78" spans="2:14">
      <c r="B78" s="584"/>
      <c r="C78" s="600"/>
      <c r="D78" s="600"/>
      <c r="E78" s="614"/>
      <c r="F78" s="614"/>
      <c r="G78" s="614"/>
      <c r="H78" s="614"/>
      <c r="I78" s="614"/>
      <c r="J78" s="600"/>
      <c r="K78" s="600"/>
      <c r="L78" s="600"/>
      <c r="M78" s="343"/>
      <c r="N78" s="343"/>
    </row>
    <row r="79" spans="2:14">
      <c r="B79" s="584"/>
      <c r="C79" s="600"/>
      <c r="D79" s="600"/>
      <c r="E79" s="614"/>
      <c r="F79" s="614"/>
      <c r="G79" s="614"/>
      <c r="H79" s="614"/>
      <c r="I79" s="614"/>
      <c r="J79" s="600"/>
      <c r="K79" s="600"/>
      <c r="L79" s="600"/>
      <c r="M79" s="343"/>
      <c r="N79" s="343"/>
    </row>
    <row r="80" spans="2:14">
      <c r="B80" s="584"/>
      <c r="C80" s="600"/>
      <c r="D80" s="600"/>
      <c r="E80" s="614"/>
      <c r="F80" s="614"/>
      <c r="G80" s="614"/>
      <c r="H80" s="614"/>
      <c r="I80" s="614"/>
      <c r="J80" s="600"/>
      <c r="K80" s="600"/>
      <c r="L80" s="600"/>
      <c r="M80" s="343"/>
      <c r="N80" s="343"/>
    </row>
    <row r="81" spans="2:14">
      <c r="B81" s="584"/>
      <c r="C81" s="600"/>
      <c r="D81" s="600"/>
      <c r="E81" s="614"/>
      <c r="F81" s="614"/>
      <c r="G81" s="614"/>
      <c r="H81" s="614"/>
      <c r="I81" s="614"/>
      <c r="J81" s="600"/>
      <c r="K81" s="600"/>
      <c r="L81" s="600"/>
      <c r="M81" s="343"/>
      <c r="N81" s="343"/>
    </row>
    <row r="82" spans="2:14">
      <c r="B82" s="584"/>
      <c r="C82" s="600"/>
      <c r="D82" s="600"/>
      <c r="E82" s="614"/>
      <c r="F82" s="614"/>
      <c r="G82" s="614"/>
      <c r="H82" s="614"/>
      <c r="I82" s="614"/>
      <c r="J82" s="600"/>
      <c r="K82" s="600"/>
      <c r="L82" s="600"/>
      <c r="M82" s="343"/>
      <c r="N82" s="343"/>
    </row>
    <row r="83" spans="2:14">
      <c r="B83" s="584"/>
      <c r="C83" s="600"/>
      <c r="D83" s="600"/>
      <c r="E83" s="614"/>
      <c r="F83" s="614"/>
      <c r="G83" s="614"/>
      <c r="H83" s="614"/>
      <c r="I83" s="614"/>
      <c r="J83" s="600"/>
      <c r="K83" s="600"/>
      <c r="L83" s="600"/>
      <c r="M83" s="343"/>
      <c r="N83" s="343"/>
    </row>
    <row r="84" spans="2:14">
      <c r="B84" s="584"/>
      <c r="C84" s="600"/>
      <c r="D84" s="600"/>
      <c r="E84" s="614"/>
      <c r="F84" s="614"/>
      <c r="G84" s="614"/>
      <c r="H84" s="614"/>
      <c r="I84" s="614"/>
      <c r="J84" s="600"/>
      <c r="K84" s="600"/>
      <c r="L84" s="600"/>
      <c r="M84" s="343"/>
      <c r="N84" s="343"/>
    </row>
    <row r="85" spans="2:14">
      <c r="B85" s="584"/>
      <c r="C85" s="600"/>
      <c r="D85" s="600"/>
      <c r="E85" s="614"/>
      <c r="F85" s="614"/>
      <c r="G85" s="614"/>
      <c r="H85" s="614"/>
      <c r="I85" s="614"/>
      <c r="J85" s="600"/>
      <c r="K85" s="600"/>
      <c r="L85" s="600"/>
      <c r="M85" s="343"/>
      <c r="N85" s="343"/>
    </row>
    <row r="86" spans="2:14">
      <c r="B86" s="584"/>
      <c r="C86" s="600"/>
      <c r="D86" s="600"/>
      <c r="E86" s="614"/>
      <c r="F86" s="614"/>
      <c r="G86" s="614"/>
      <c r="H86" s="614"/>
      <c r="I86" s="614"/>
      <c r="J86" s="600"/>
      <c r="K86" s="600"/>
      <c r="L86" s="600"/>
      <c r="M86" s="343"/>
      <c r="N86" s="343"/>
    </row>
    <row r="87" spans="2:14">
      <c r="B87" s="584"/>
      <c r="C87" s="600"/>
      <c r="D87" s="600"/>
      <c r="E87" s="614"/>
      <c r="F87" s="614"/>
      <c r="G87" s="614"/>
      <c r="H87" s="614"/>
      <c r="I87" s="614"/>
      <c r="J87" s="600"/>
      <c r="K87" s="600"/>
      <c r="L87" s="600"/>
      <c r="M87" s="343"/>
      <c r="N87" s="343"/>
    </row>
    <row r="88" spans="2:14">
      <c r="B88" s="584"/>
      <c r="C88" s="600"/>
      <c r="D88" s="600"/>
      <c r="E88" s="614"/>
      <c r="F88" s="614"/>
      <c r="G88" s="614"/>
      <c r="H88" s="614"/>
      <c r="I88" s="614"/>
      <c r="J88" s="600"/>
      <c r="K88" s="600"/>
      <c r="L88" s="600"/>
      <c r="M88" s="343"/>
      <c r="N88" s="343"/>
    </row>
    <row r="89" spans="2:14">
      <c r="B89" s="584"/>
      <c r="C89" s="600"/>
      <c r="D89" s="600"/>
      <c r="E89" s="614"/>
      <c r="F89" s="614"/>
      <c r="G89" s="614"/>
      <c r="H89" s="614"/>
      <c r="I89" s="614"/>
      <c r="J89" s="600"/>
      <c r="K89" s="600"/>
      <c r="L89" s="600"/>
      <c r="M89" s="343"/>
      <c r="N89" s="343"/>
    </row>
    <row r="90" spans="2:14">
      <c r="B90" s="584"/>
      <c r="C90" s="600"/>
      <c r="D90" s="600"/>
      <c r="E90" s="614"/>
      <c r="F90" s="614"/>
      <c r="G90" s="614"/>
      <c r="H90" s="614"/>
      <c r="I90" s="614"/>
      <c r="J90" s="600"/>
      <c r="K90" s="600"/>
      <c r="L90" s="600"/>
      <c r="M90" s="343"/>
      <c r="N90" s="343"/>
    </row>
    <row r="91" spans="2:14">
      <c r="B91" s="584"/>
      <c r="C91" s="600"/>
      <c r="D91" s="600"/>
      <c r="E91" s="614"/>
      <c r="F91" s="614"/>
      <c r="G91" s="614"/>
      <c r="H91" s="614"/>
      <c r="I91" s="614"/>
      <c r="J91" s="600"/>
      <c r="K91" s="600"/>
      <c r="L91" s="600"/>
      <c r="M91" s="343"/>
      <c r="N91" s="343"/>
    </row>
    <row r="92" spans="2:14">
      <c r="B92" s="584"/>
      <c r="C92" s="600"/>
      <c r="D92" s="600"/>
      <c r="E92" s="614"/>
      <c r="F92" s="614"/>
      <c r="G92" s="614"/>
      <c r="H92" s="614"/>
      <c r="I92" s="614"/>
      <c r="J92" s="600"/>
      <c r="K92" s="600"/>
      <c r="L92" s="600"/>
      <c r="M92" s="343"/>
      <c r="N92" s="343"/>
    </row>
    <row r="93" spans="2:14">
      <c r="B93" s="584"/>
      <c r="C93" s="600"/>
      <c r="D93" s="600"/>
      <c r="E93" s="614"/>
      <c r="F93" s="614"/>
      <c r="G93" s="614"/>
      <c r="H93" s="614"/>
      <c r="I93" s="614"/>
      <c r="J93" s="600"/>
      <c r="K93" s="600"/>
      <c r="L93" s="600"/>
      <c r="M93" s="343"/>
      <c r="N93" s="343"/>
    </row>
    <row r="94" spans="2:14">
      <c r="B94" s="584"/>
      <c r="C94" s="600"/>
      <c r="D94" s="600"/>
      <c r="E94" s="614"/>
      <c r="F94" s="614"/>
      <c r="G94" s="614"/>
      <c r="H94" s="614"/>
      <c r="I94" s="614"/>
      <c r="J94" s="600"/>
      <c r="K94" s="600"/>
      <c r="L94" s="600"/>
      <c r="M94" s="343"/>
      <c r="N94" s="343"/>
    </row>
    <row r="95" spans="2:14">
      <c r="B95" s="584"/>
      <c r="C95" s="600"/>
      <c r="D95" s="600"/>
      <c r="E95" s="614"/>
      <c r="F95" s="614"/>
      <c r="G95" s="614"/>
      <c r="H95" s="614"/>
      <c r="I95" s="614"/>
      <c r="J95" s="600"/>
      <c r="K95" s="600"/>
      <c r="L95" s="600"/>
      <c r="M95" s="343"/>
      <c r="N95" s="343"/>
    </row>
    <row r="96" spans="2:14">
      <c r="B96" s="584"/>
      <c r="C96" s="600"/>
      <c r="D96" s="600"/>
      <c r="E96" s="614"/>
      <c r="F96" s="614"/>
      <c r="G96" s="614"/>
      <c r="H96" s="614"/>
      <c r="I96" s="614"/>
      <c r="J96" s="600"/>
      <c r="K96" s="600"/>
      <c r="L96" s="600"/>
      <c r="M96" s="343"/>
      <c r="N96" s="343"/>
    </row>
    <row r="97" spans="2:14">
      <c r="B97" s="584"/>
      <c r="C97" s="600"/>
      <c r="D97" s="600"/>
      <c r="E97" s="614"/>
      <c r="F97" s="614"/>
      <c r="G97" s="614"/>
      <c r="H97" s="614"/>
      <c r="I97" s="614"/>
      <c r="J97" s="600"/>
      <c r="K97" s="600"/>
      <c r="L97" s="600"/>
      <c r="M97" s="343"/>
      <c r="N97" s="343"/>
    </row>
    <row r="98" spans="2:14">
      <c r="B98" s="584"/>
      <c r="C98" s="600"/>
      <c r="D98" s="600"/>
      <c r="E98" s="614"/>
      <c r="F98" s="614"/>
      <c r="G98" s="614"/>
      <c r="H98" s="614"/>
      <c r="I98" s="614"/>
      <c r="J98" s="600"/>
      <c r="K98" s="600"/>
      <c r="L98" s="600"/>
      <c r="M98" s="343"/>
      <c r="N98" s="343"/>
    </row>
    <row r="99" spans="2:14">
      <c r="B99" s="584"/>
      <c r="C99" s="600"/>
      <c r="D99" s="600"/>
      <c r="E99" s="614"/>
      <c r="F99" s="614"/>
      <c r="G99" s="614"/>
      <c r="H99" s="614"/>
      <c r="I99" s="614"/>
      <c r="J99" s="600"/>
      <c r="K99" s="600"/>
      <c r="L99" s="600"/>
      <c r="M99" s="343"/>
      <c r="N99" s="343"/>
    </row>
    <row r="100" spans="2:14">
      <c r="B100" s="584"/>
      <c r="C100" s="600"/>
      <c r="D100" s="600"/>
      <c r="E100" s="614"/>
      <c r="F100" s="614"/>
      <c r="G100" s="614"/>
      <c r="H100" s="614"/>
      <c r="I100" s="614"/>
      <c r="J100" s="600"/>
      <c r="K100" s="600"/>
      <c r="L100" s="600"/>
      <c r="M100" s="343"/>
      <c r="N100" s="343"/>
    </row>
    <row r="101" spans="2:14">
      <c r="B101" s="584"/>
      <c r="C101" s="600"/>
      <c r="D101" s="600"/>
      <c r="E101" s="614"/>
      <c r="F101" s="614"/>
      <c r="G101" s="614"/>
      <c r="H101" s="614"/>
      <c r="I101" s="614"/>
      <c r="J101" s="600"/>
      <c r="K101" s="600"/>
      <c r="L101" s="600"/>
      <c r="M101" s="343"/>
      <c r="N101" s="343"/>
    </row>
    <row r="102" spans="2:14">
      <c r="B102" s="584"/>
      <c r="C102" s="600"/>
      <c r="D102" s="600"/>
      <c r="E102" s="614"/>
      <c r="F102" s="614"/>
      <c r="G102" s="614"/>
      <c r="H102" s="614"/>
      <c r="I102" s="614"/>
      <c r="J102" s="600"/>
      <c r="K102" s="600"/>
      <c r="L102" s="600"/>
      <c r="M102" s="343"/>
      <c r="N102" s="343"/>
    </row>
    <row r="103" spans="2:14">
      <c r="B103" s="584"/>
      <c r="C103" s="600"/>
      <c r="D103" s="600"/>
      <c r="E103" s="614"/>
      <c r="F103" s="614"/>
      <c r="G103" s="614"/>
      <c r="H103" s="614"/>
      <c r="I103" s="614"/>
      <c r="J103" s="600"/>
      <c r="K103" s="600"/>
      <c r="L103" s="600"/>
      <c r="M103" s="343"/>
      <c r="N103" s="343"/>
    </row>
    <row r="104" spans="2:14">
      <c r="B104" s="584"/>
      <c r="C104" s="600"/>
      <c r="D104" s="600"/>
      <c r="E104" s="614"/>
      <c r="F104" s="614"/>
      <c r="G104" s="614"/>
      <c r="H104" s="614"/>
      <c r="I104" s="614"/>
      <c r="J104" s="600"/>
      <c r="K104" s="600"/>
      <c r="L104" s="600"/>
      <c r="M104" s="343"/>
      <c r="N104" s="343"/>
    </row>
    <row r="105" spans="2:14">
      <c r="B105" s="584"/>
      <c r="C105" s="600"/>
      <c r="D105" s="600"/>
      <c r="E105" s="614"/>
      <c r="F105" s="614"/>
      <c r="G105" s="614"/>
      <c r="H105" s="614"/>
      <c r="I105" s="614"/>
      <c r="J105" s="600"/>
      <c r="K105" s="600"/>
      <c r="L105" s="600"/>
      <c r="M105" s="343"/>
      <c r="N105" s="343"/>
    </row>
    <row r="106" spans="2:14">
      <c r="B106" s="584"/>
      <c r="C106" s="600"/>
      <c r="D106" s="600"/>
      <c r="E106" s="614"/>
      <c r="F106" s="614"/>
      <c r="G106" s="614"/>
      <c r="H106" s="614"/>
      <c r="I106" s="614"/>
      <c r="J106" s="600"/>
      <c r="K106" s="600"/>
      <c r="L106" s="600"/>
      <c r="M106" s="343"/>
      <c r="N106" s="343"/>
    </row>
    <row r="107" spans="2:14">
      <c r="B107" s="584"/>
      <c r="C107" s="600"/>
      <c r="D107" s="600"/>
      <c r="E107" s="614"/>
      <c r="F107" s="614"/>
      <c r="G107" s="614"/>
      <c r="H107" s="614"/>
      <c r="I107" s="614"/>
      <c r="J107" s="600"/>
      <c r="K107" s="600"/>
      <c r="L107" s="600"/>
      <c r="M107" s="343"/>
      <c r="N107" s="343"/>
    </row>
    <row r="108" spans="2:14">
      <c r="B108" s="584"/>
      <c r="C108" s="600"/>
      <c r="D108" s="600"/>
      <c r="E108" s="614"/>
      <c r="F108" s="614"/>
      <c r="G108" s="614"/>
      <c r="H108" s="614"/>
      <c r="I108" s="614"/>
      <c r="J108" s="600"/>
      <c r="K108" s="600"/>
      <c r="L108" s="600"/>
      <c r="M108" s="343"/>
      <c r="N108" s="343"/>
    </row>
    <row r="109" spans="2:14">
      <c r="B109" s="584"/>
      <c r="C109" s="600"/>
      <c r="D109" s="600"/>
      <c r="E109" s="614"/>
      <c r="F109" s="614"/>
      <c r="G109" s="614"/>
      <c r="H109" s="614"/>
      <c r="I109" s="614"/>
      <c r="J109" s="600"/>
      <c r="K109" s="600"/>
      <c r="L109" s="600"/>
      <c r="M109" s="343"/>
      <c r="N109" s="343"/>
    </row>
    <row r="110" spans="2:14">
      <c r="B110" s="584"/>
      <c r="C110" s="600"/>
      <c r="D110" s="600"/>
      <c r="E110" s="614"/>
      <c r="F110" s="614"/>
      <c r="G110" s="614"/>
      <c r="H110" s="614"/>
      <c r="I110" s="614"/>
      <c r="J110" s="600"/>
      <c r="K110" s="600"/>
      <c r="L110" s="600"/>
      <c r="M110" s="343"/>
      <c r="N110" s="343"/>
    </row>
    <row r="111" spans="2:14">
      <c r="B111" s="584"/>
      <c r="C111" s="600"/>
      <c r="D111" s="600"/>
      <c r="E111" s="614"/>
      <c r="F111" s="614"/>
      <c r="G111" s="614"/>
      <c r="H111" s="614"/>
      <c r="I111" s="614"/>
      <c r="J111" s="600"/>
      <c r="K111" s="600"/>
      <c r="L111" s="600"/>
      <c r="M111" s="343"/>
      <c r="N111" s="343"/>
    </row>
    <row r="112" spans="2:14">
      <c r="B112" s="584"/>
      <c r="C112" s="600"/>
      <c r="D112" s="600"/>
      <c r="E112" s="614"/>
      <c r="F112" s="614"/>
      <c r="G112" s="614"/>
      <c r="H112" s="614"/>
      <c r="I112" s="614"/>
      <c r="J112" s="600"/>
      <c r="K112" s="600"/>
      <c r="L112" s="600"/>
      <c r="M112" s="343"/>
      <c r="N112" s="343"/>
    </row>
    <row r="113" spans="2:14">
      <c r="B113" s="584"/>
      <c r="C113" s="600"/>
      <c r="D113" s="600"/>
      <c r="E113" s="614"/>
      <c r="F113" s="614"/>
      <c r="G113" s="614"/>
      <c r="H113" s="614"/>
      <c r="I113" s="614"/>
      <c r="J113" s="600"/>
      <c r="K113" s="600"/>
      <c r="L113" s="600"/>
      <c r="M113" s="343"/>
      <c r="N113" s="343"/>
    </row>
    <row r="114" spans="2:14">
      <c r="B114" s="584"/>
      <c r="C114" s="600"/>
      <c r="D114" s="600"/>
      <c r="E114" s="614"/>
      <c r="F114" s="614"/>
      <c r="G114" s="614"/>
      <c r="H114" s="614"/>
      <c r="I114" s="614"/>
      <c r="J114" s="600"/>
      <c r="K114" s="600"/>
      <c r="L114" s="600"/>
      <c r="M114" s="343"/>
      <c r="N114" s="343"/>
    </row>
    <row r="115" spans="2:14">
      <c r="B115" s="584"/>
      <c r="C115" s="600"/>
      <c r="D115" s="600"/>
      <c r="E115" s="614"/>
      <c r="F115" s="614"/>
      <c r="G115" s="614"/>
      <c r="H115" s="614"/>
      <c r="I115" s="614"/>
      <c r="J115" s="600"/>
      <c r="K115" s="600"/>
      <c r="L115" s="600"/>
      <c r="M115" s="343"/>
      <c r="N115" s="343"/>
    </row>
    <row r="116" spans="2:14">
      <c r="B116" s="584"/>
      <c r="C116" s="600"/>
      <c r="D116" s="600"/>
      <c r="E116" s="614"/>
      <c r="F116" s="614"/>
      <c r="G116" s="614"/>
      <c r="H116" s="614"/>
      <c r="I116" s="614"/>
      <c r="J116" s="600"/>
      <c r="K116" s="600"/>
      <c r="L116" s="600"/>
      <c r="M116" s="343"/>
      <c r="N116" s="343"/>
    </row>
    <row r="117" spans="2:14">
      <c r="B117" s="584"/>
      <c r="C117" s="600"/>
      <c r="D117" s="600"/>
      <c r="E117" s="614"/>
      <c r="F117" s="614"/>
      <c r="G117" s="614"/>
      <c r="H117" s="614"/>
      <c r="I117" s="614"/>
      <c r="J117" s="600"/>
      <c r="K117" s="600"/>
      <c r="L117" s="600"/>
      <c r="M117" s="343"/>
      <c r="N117" s="343"/>
    </row>
    <row r="118" spans="2:14">
      <c r="B118" s="584"/>
      <c r="C118" s="600"/>
      <c r="D118" s="600"/>
      <c r="E118" s="614"/>
      <c r="F118" s="614"/>
      <c r="G118" s="614"/>
      <c r="H118" s="614"/>
      <c r="I118" s="614"/>
      <c r="J118" s="600"/>
      <c r="K118" s="600"/>
      <c r="L118" s="600"/>
      <c r="M118" s="343"/>
      <c r="N118" s="343"/>
    </row>
    <row r="119" spans="2:14">
      <c r="B119" s="584"/>
      <c r="C119" s="600"/>
      <c r="D119" s="600"/>
      <c r="E119" s="614"/>
      <c r="F119" s="614"/>
      <c r="G119" s="614"/>
      <c r="H119" s="614"/>
      <c r="I119" s="614"/>
      <c r="J119" s="600"/>
      <c r="K119" s="600"/>
      <c r="L119" s="600"/>
      <c r="M119" s="343"/>
      <c r="N119" s="343"/>
    </row>
    <row r="120" spans="2:14">
      <c r="B120" s="584"/>
      <c r="C120" s="600"/>
      <c r="D120" s="600"/>
      <c r="E120" s="614"/>
      <c r="F120" s="614"/>
      <c r="G120" s="614"/>
      <c r="H120" s="614"/>
      <c r="I120" s="614"/>
      <c r="J120" s="600"/>
      <c r="K120" s="600"/>
      <c r="L120" s="600"/>
      <c r="M120" s="343"/>
      <c r="N120" s="343"/>
    </row>
    <row r="121" spans="2:14">
      <c r="B121" s="584"/>
      <c r="C121" s="600"/>
      <c r="D121" s="600"/>
      <c r="E121" s="614"/>
      <c r="F121" s="614"/>
      <c r="G121" s="614"/>
      <c r="H121" s="614"/>
      <c r="I121" s="614"/>
      <c r="J121" s="600"/>
      <c r="K121" s="600"/>
      <c r="L121" s="600"/>
      <c r="M121" s="343"/>
      <c r="N121" s="343"/>
    </row>
    <row r="122" spans="2:14">
      <c r="B122" s="584"/>
      <c r="C122" s="600"/>
      <c r="D122" s="600"/>
      <c r="E122" s="614"/>
      <c r="F122" s="614"/>
      <c r="G122" s="614"/>
      <c r="H122" s="614"/>
      <c r="I122" s="614"/>
      <c r="J122" s="600"/>
      <c r="K122" s="600"/>
      <c r="L122" s="600"/>
      <c r="M122" s="343"/>
      <c r="N122" s="343"/>
    </row>
    <row r="123" spans="2:14">
      <c r="B123" s="584"/>
      <c r="C123" s="600"/>
      <c r="D123" s="600"/>
      <c r="E123" s="614"/>
      <c r="F123" s="614"/>
      <c r="G123" s="614"/>
      <c r="H123" s="614"/>
      <c r="I123" s="614"/>
      <c r="J123" s="600"/>
      <c r="K123" s="600"/>
      <c r="L123" s="600"/>
      <c r="M123" s="343"/>
      <c r="N123" s="343"/>
    </row>
    <row r="124" spans="2:14">
      <c r="B124" s="584"/>
      <c r="C124" s="600"/>
      <c r="D124" s="600"/>
      <c r="E124" s="614"/>
      <c r="F124" s="614"/>
      <c r="G124" s="614"/>
      <c r="H124" s="614"/>
      <c r="I124" s="614"/>
      <c r="J124" s="600"/>
      <c r="K124" s="600"/>
      <c r="L124" s="600"/>
      <c r="M124" s="343"/>
      <c r="N124" s="343"/>
    </row>
    <row r="125" spans="2:14">
      <c r="B125" s="584"/>
      <c r="C125" s="600"/>
      <c r="D125" s="600"/>
      <c r="E125" s="614"/>
      <c r="F125" s="614"/>
      <c r="G125" s="614"/>
      <c r="H125" s="614"/>
      <c r="I125" s="614"/>
      <c r="J125" s="600"/>
      <c r="K125" s="600"/>
      <c r="L125" s="600"/>
      <c r="M125" s="343"/>
      <c r="N125" s="343"/>
    </row>
    <row r="126" spans="2:14">
      <c r="B126" s="584"/>
      <c r="C126" s="600"/>
      <c r="D126" s="600"/>
      <c r="E126" s="614"/>
      <c r="F126" s="614"/>
      <c r="G126" s="614"/>
      <c r="H126" s="614"/>
      <c r="I126" s="614"/>
      <c r="J126" s="600"/>
      <c r="K126" s="600"/>
      <c r="L126" s="600"/>
      <c r="M126" s="343"/>
      <c r="N126" s="343"/>
    </row>
    <row r="127" spans="2:14">
      <c r="B127" s="584"/>
      <c r="C127" s="600"/>
      <c r="D127" s="600"/>
      <c r="E127" s="614"/>
      <c r="F127" s="614"/>
      <c r="G127" s="614"/>
      <c r="H127" s="614"/>
      <c r="I127" s="614"/>
      <c r="J127" s="600"/>
      <c r="K127" s="600"/>
      <c r="L127" s="600"/>
      <c r="M127" s="343"/>
      <c r="N127" s="343"/>
    </row>
    <row r="128" spans="2:14">
      <c r="B128" s="584"/>
      <c r="C128" s="600"/>
      <c r="D128" s="600"/>
      <c r="E128" s="614"/>
      <c r="F128" s="614"/>
      <c r="G128" s="614"/>
      <c r="H128" s="614"/>
      <c r="I128" s="614"/>
      <c r="J128" s="600"/>
      <c r="K128" s="600"/>
      <c r="L128" s="600"/>
      <c r="M128" s="343"/>
      <c r="N128" s="343"/>
    </row>
    <row r="129" spans="2:14">
      <c r="B129" s="584"/>
      <c r="C129" s="600"/>
      <c r="D129" s="600"/>
      <c r="E129" s="614"/>
      <c r="F129" s="614"/>
      <c r="G129" s="614"/>
      <c r="H129" s="614"/>
      <c r="I129" s="614"/>
      <c r="J129" s="600"/>
      <c r="K129" s="600"/>
      <c r="L129" s="600"/>
      <c r="M129" s="343"/>
      <c r="N129" s="343"/>
    </row>
    <row r="130" spans="2:14">
      <c r="B130" s="584"/>
      <c r="C130" s="600"/>
      <c r="D130" s="600"/>
      <c r="E130" s="614"/>
      <c r="F130" s="614"/>
      <c r="G130" s="614"/>
      <c r="H130" s="614"/>
      <c r="I130" s="614"/>
      <c r="J130" s="600"/>
      <c r="K130" s="600"/>
      <c r="L130" s="600"/>
      <c r="M130" s="343"/>
      <c r="N130" s="343"/>
    </row>
    <row r="131" spans="2:14">
      <c r="B131" s="584"/>
      <c r="C131" s="600"/>
      <c r="D131" s="600"/>
      <c r="E131" s="614"/>
      <c r="F131" s="614"/>
      <c r="G131" s="614"/>
      <c r="H131" s="614"/>
      <c r="I131" s="614"/>
      <c r="J131" s="600"/>
      <c r="K131" s="600"/>
      <c r="L131" s="600"/>
      <c r="M131" s="343"/>
      <c r="N131" s="343"/>
    </row>
    <row r="132" spans="2:14">
      <c r="B132" s="584"/>
      <c r="C132" s="600"/>
      <c r="D132" s="600"/>
      <c r="E132" s="614"/>
      <c r="F132" s="614"/>
      <c r="G132" s="614"/>
      <c r="H132" s="614"/>
      <c r="I132" s="614"/>
      <c r="J132" s="600"/>
      <c r="K132" s="600"/>
      <c r="L132" s="600"/>
      <c r="M132" s="343"/>
      <c r="N132" s="343"/>
    </row>
    <row r="133" spans="2:14">
      <c r="B133" s="584"/>
      <c r="C133" s="600"/>
      <c r="D133" s="600"/>
      <c r="E133" s="614"/>
      <c r="F133" s="614"/>
      <c r="G133" s="614"/>
      <c r="H133" s="614"/>
      <c r="I133" s="614"/>
      <c r="J133" s="600"/>
      <c r="K133" s="600"/>
      <c r="L133" s="600"/>
      <c r="M133" s="343"/>
      <c r="N133" s="343"/>
    </row>
    <row r="134" spans="2:14">
      <c r="B134" s="584"/>
      <c r="C134" s="600"/>
      <c r="D134" s="600"/>
      <c r="E134" s="614"/>
      <c r="F134" s="614"/>
      <c r="G134" s="614"/>
      <c r="H134" s="614"/>
      <c r="I134" s="614"/>
      <c r="J134" s="600"/>
      <c r="K134" s="600"/>
      <c r="L134" s="600"/>
      <c r="M134" s="343"/>
      <c r="N134" s="343"/>
    </row>
    <row r="135" spans="2:14">
      <c r="B135" s="584"/>
      <c r="C135" s="600"/>
      <c r="D135" s="600"/>
      <c r="E135" s="614"/>
      <c r="F135" s="614"/>
      <c r="G135" s="614"/>
      <c r="H135" s="614"/>
      <c r="I135" s="614"/>
      <c r="J135" s="600"/>
      <c r="K135" s="600"/>
      <c r="L135" s="600"/>
      <c r="M135" s="343"/>
      <c r="N135" s="343"/>
    </row>
    <row r="136" spans="2:14">
      <c r="B136" s="584"/>
      <c r="C136" s="600"/>
      <c r="D136" s="600"/>
      <c r="E136" s="614"/>
      <c r="F136" s="614"/>
      <c r="G136" s="614"/>
      <c r="H136" s="614"/>
      <c r="I136" s="614"/>
      <c r="J136" s="600"/>
      <c r="K136" s="600"/>
      <c r="L136" s="600"/>
      <c r="M136" s="343"/>
      <c r="N136" s="343"/>
    </row>
    <row r="137" spans="2:14">
      <c r="B137" s="584"/>
      <c r="C137" s="600"/>
      <c r="D137" s="600"/>
      <c r="E137" s="614"/>
      <c r="F137" s="614"/>
      <c r="G137" s="614"/>
      <c r="H137" s="614"/>
      <c r="I137" s="614"/>
      <c r="J137" s="600"/>
      <c r="K137" s="600"/>
      <c r="L137" s="600"/>
      <c r="M137" s="343"/>
      <c r="N137" s="343"/>
    </row>
    <row r="138" spans="2:14">
      <c r="B138" s="584"/>
      <c r="C138" s="600"/>
      <c r="D138" s="600"/>
      <c r="E138" s="614"/>
      <c r="F138" s="614"/>
      <c r="G138" s="614"/>
      <c r="H138" s="614"/>
      <c r="I138" s="614"/>
      <c r="J138" s="600"/>
      <c r="K138" s="600"/>
      <c r="L138" s="600"/>
      <c r="M138" s="343"/>
      <c r="N138" s="343"/>
    </row>
    <row r="139" spans="2:14">
      <c r="B139" s="584"/>
      <c r="C139" s="600"/>
      <c r="D139" s="600"/>
      <c r="E139" s="614"/>
      <c r="F139" s="614"/>
      <c r="G139" s="614"/>
      <c r="H139" s="614"/>
      <c r="I139" s="614"/>
      <c r="J139" s="600"/>
      <c r="K139" s="600"/>
      <c r="L139" s="600"/>
      <c r="M139" s="343"/>
      <c r="N139" s="343"/>
    </row>
    <row r="140" spans="2:14">
      <c r="B140" s="584"/>
      <c r="C140" s="600"/>
      <c r="D140" s="600"/>
      <c r="E140" s="614"/>
      <c r="F140" s="614"/>
      <c r="G140" s="614"/>
      <c r="H140" s="614"/>
      <c r="I140" s="614"/>
      <c r="J140" s="600"/>
      <c r="K140" s="600"/>
      <c r="L140" s="600"/>
      <c r="M140" s="343"/>
      <c r="N140" s="343"/>
    </row>
    <row r="141" spans="2:14">
      <c r="B141" s="584"/>
      <c r="C141" s="600"/>
      <c r="D141" s="600"/>
      <c r="E141" s="614"/>
      <c r="F141" s="614"/>
      <c r="G141" s="614"/>
      <c r="H141" s="614"/>
      <c r="I141" s="614"/>
      <c r="J141" s="600"/>
      <c r="K141" s="600"/>
      <c r="L141" s="600"/>
      <c r="M141" s="343"/>
      <c r="N141" s="343"/>
    </row>
    <row r="142" spans="2:14">
      <c r="B142" s="584"/>
      <c r="C142" s="600"/>
      <c r="D142" s="600"/>
      <c r="E142" s="614"/>
      <c r="F142" s="614"/>
      <c r="G142" s="614"/>
      <c r="H142" s="614"/>
      <c r="I142" s="614"/>
      <c r="J142" s="600"/>
      <c r="K142" s="600"/>
      <c r="L142" s="600"/>
      <c r="M142" s="343"/>
      <c r="N142" s="343"/>
    </row>
    <row r="143" spans="2:14">
      <c r="B143" s="584"/>
      <c r="C143" s="600"/>
      <c r="D143" s="600"/>
      <c r="E143" s="614"/>
      <c r="F143" s="614"/>
      <c r="G143" s="614"/>
      <c r="H143" s="614"/>
      <c r="I143" s="614"/>
      <c r="J143" s="600"/>
      <c r="K143" s="600"/>
      <c r="L143" s="600"/>
      <c r="M143" s="343"/>
      <c r="N143" s="343"/>
    </row>
    <row r="144" spans="2:14">
      <c r="B144" s="584"/>
      <c r="C144" s="600"/>
      <c r="D144" s="600"/>
      <c r="E144" s="614"/>
      <c r="F144" s="614"/>
      <c r="G144" s="614"/>
      <c r="H144" s="614"/>
      <c r="I144" s="614"/>
      <c r="J144" s="600"/>
      <c r="K144" s="600"/>
      <c r="L144" s="600"/>
      <c r="M144" s="343"/>
      <c r="N144" s="343"/>
    </row>
    <row r="145" spans="2:14">
      <c r="B145" s="584"/>
      <c r="C145" s="600"/>
      <c r="D145" s="600"/>
      <c r="E145" s="614"/>
      <c r="F145" s="614"/>
      <c r="G145" s="614"/>
      <c r="H145" s="614"/>
      <c r="I145" s="614"/>
      <c r="J145" s="600"/>
      <c r="K145" s="600"/>
      <c r="L145" s="600"/>
      <c r="M145" s="343"/>
      <c r="N145" s="343"/>
    </row>
    <row r="146" spans="2:14">
      <c r="B146" s="584"/>
      <c r="C146" s="600"/>
      <c r="D146" s="600"/>
      <c r="E146" s="614"/>
      <c r="F146" s="614"/>
      <c r="G146" s="614"/>
      <c r="H146" s="614"/>
      <c r="I146" s="614"/>
      <c r="J146" s="600"/>
      <c r="K146" s="600"/>
      <c r="L146" s="600"/>
      <c r="M146" s="343"/>
      <c r="N146" s="343"/>
    </row>
    <row r="147" spans="2:14">
      <c r="B147" s="584"/>
      <c r="C147" s="600"/>
      <c r="D147" s="600"/>
      <c r="E147" s="614"/>
      <c r="F147" s="614"/>
      <c r="G147" s="614"/>
      <c r="H147" s="614"/>
      <c r="I147" s="614"/>
      <c r="J147" s="600"/>
      <c r="K147" s="600"/>
      <c r="L147" s="600"/>
      <c r="M147" s="343"/>
      <c r="N147" s="343"/>
    </row>
    <row r="148" spans="2:14">
      <c r="B148" s="584"/>
      <c r="C148" s="600"/>
      <c r="D148" s="600"/>
      <c r="E148" s="614"/>
      <c r="F148" s="614"/>
      <c r="G148" s="614"/>
      <c r="H148" s="614"/>
      <c r="I148" s="614"/>
      <c r="J148" s="600"/>
      <c r="K148" s="600"/>
      <c r="L148" s="600"/>
      <c r="M148" s="343"/>
      <c r="N148" s="343"/>
    </row>
    <row r="149" spans="2:14">
      <c r="B149" s="584"/>
      <c r="C149" s="600"/>
      <c r="D149" s="600"/>
      <c r="E149" s="614"/>
      <c r="F149" s="614"/>
      <c r="G149" s="614"/>
      <c r="H149" s="614"/>
      <c r="I149" s="614"/>
      <c r="J149" s="600"/>
      <c r="K149" s="600"/>
      <c r="L149" s="600"/>
      <c r="M149" s="343"/>
      <c r="N149" s="343"/>
    </row>
    <row r="150" spans="2:14">
      <c r="B150" s="584"/>
      <c r="C150" s="600"/>
      <c r="D150" s="600"/>
      <c r="E150" s="614"/>
      <c r="F150" s="614"/>
      <c r="G150" s="614"/>
      <c r="H150" s="614"/>
      <c r="I150" s="614"/>
      <c r="J150" s="600"/>
      <c r="K150" s="600"/>
      <c r="L150" s="600"/>
      <c r="M150" s="343"/>
      <c r="N150" s="343"/>
    </row>
    <row r="151" spans="2:14">
      <c r="B151" s="584"/>
      <c r="C151" s="600"/>
      <c r="D151" s="600"/>
      <c r="E151" s="614"/>
      <c r="F151" s="614"/>
      <c r="G151" s="614"/>
      <c r="H151" s="614"/>
      <c r="I151" s="614"/>
      <c r="J151" s="600"/>
      <c r="K151" s="600"/>
      <c r="L151" s="600"/>
      <c r="M151" s="343"/>
      <c r="N151" s="343"/>
    </row>
    <row r="152" spans="2:14">
      <c r="B152" s="584"/>
      <c r="C152" s="600"/>
      <c r="D152" s="600"/>
      <c r="E152" s="614"/>
      <c r="F152" s="614"/>
      <c r="G152" s="614"/>
      <c r="H152" s="614"/>
      <c r="I152" s="614"/>
      <c r="J152" s="600"/>
      <c r="K152" s="600"/>
      <c r="L152" s="600"/>
      <c r="M152" s="343"/>
      <c r="N152" s="343"/>
    </row>
    <row r="153" spans="2:14">
      <c r="B153" s="584"/>
      <c r="C153" s="600"/>
      <c r="D153" s="600"/>
      <c r="E153" s="614"/>
      <c r="F153" s="614"/>
      <c r="G153" s="614"/>
      <c r="H153" s="614"/>
      <c r="I153" s="614"/>
      <c r="J153" s="600"/>
      <c r="K153" s="600"/>
      <c r="L153" s="600"/>
      <c r="M153" s="343"/>
      <c r="N153" s="343"/>
    </row>
    <row r="154" spans="2:14">
      <c r="B154" s="584"/>
      <c r="C154" s="600"/>
      <c r="D154" s="600"/>
      <c r="E154" s="614"/>
      <c r="F154" s="614"/>
      <c r="G154" s="614"/>
      <c r="H154" s="614"/>
      <c r="I154" s="614"/>
      <c r="J154" s="600"/>
      <c r="K154" s="600"/>
      <c r="L154" s="600"/>
      <c r="M154" s="343"/>
      <c r="N154" s="343"/>
    </row>
    <row r="155" spans="2:14">
      <c r="B155" s="584"/>
      <c r="C155" s="600"/>
      <c r="D155" s="600"/>
      <c r="E155" s="614"/>
      <c r="F155" s="614"/>
      <c r="G155" s="614"/>
      <c r="H155" s="614"/>
      <c r="I155" s="614"/>
      <c r="J155" s="600"/>
      <c r="K155" s="600"/>
      <c r="L155" s="600"/>
      <c r="M155" s="343"/>
      <c r="N155" s="343"/>
    </row>
    <row r="156" spans="2:14">
      <c r="B156" s="584"/>
      <c r="C156" s="600"/>
      <c r="D156" s="600"/>
      <c r="E156" s="614"/>
      <c r="F156" s="614"/>
      <c r="G156" s="614"/>
      <c r="H156" s="614"/>
      <c r="I156" s="614"/>
      <c r="J156" s="600"/>
      <c r="K156" s="600"/>
      <c r="L156" s="600"/>
      <c r="M156" s="343"/>
      <c r="N156" s="343"/>
    </row>
    <row r="157" spans="2:14">
      <c r="B157" s="584"/>
      <c r="C157" s="600"/>
      <c r="D157" s="600"/>
      <c r="E157" s="614"/>
      <c r="F157" s="614"/>
      <c r="G157" s="614"/>
      <c r="H157" s="614"/>
      <c r="I157" s="614"/>
      <c r="J157" s="600"/>
      <c r="K157" s="600"/>
      <c r="L157" s="600"/>
      <c r="M157" s="343"/>
      <c r="N157" s="343"/>
    </row>
    <row r="158" spans="2:14">
      <c r="B158" s="584"/>
      <c r="C158" s="600"/>
      <c r="D158" s="600"/>
      <c r="E158" s="614"/>
      <c r="F158" s="614"/>
      <c r="G158" s="614"/>
      <c r="H158" s="614"/>
      <c r="I158" s="614"/>
      <c r="J158" s="600"/>
      <c r="K158" s="600"/>
      <c r="L158" s="600"/>
      <c r="M158" s="343"/>
      <c r="N158" s="343"/>
    </row>
    <row r="159" spans="2:14">
      <c r="B159" s="584"/>
      <c r="C159" s="600"/>
      <c r="D159" s="600"/>
      <c r="E159" s="614"/>
      <c r="F159" s="614"/>
      <c r="G159" s="614"/>
      <c r="H159" s="614"/>
      <c r="I159" s="614"/>
      <c r="J159" s="600"/>
      <c r="K159" s="600"/>
      <c r="L159" s="600"/>
      <c r="M159" s="343"/>
      <c r="N159" s="343"/>
    </row>
    <row r="160" spans="2:14">
      <c r="B160" s="584"/>
      <c r="C160" s="600"/>
      <c r="D160" s="600"/>
      <c r="E160" s="614"/>
      <c r="F160" s="614"/>
      <c r="G160" s="614"/>
      <c r="H160" s="614"/>
      <c r="I160" s="614"/>
      <c r="J160" s="600"/>
      <c r="K160" s="600"/>
      <c r="L160" s="600"/>
      <c r="M160" s="343"/>
      <c r="N160" s="343"/>
    </row>
    <row r="161" spans="2:14">
      <c r="B161" s="584"/>
      <c r="C161" s="600"/>
      <c r="D161" s="600"/>
      <c r="E161" s="614"/>
      <c r="F161" s="614"/>
      <c r="G161" s="614"/>
      <c r="H161" s="614"/>
      <c r="I161" s="614"/>
      <c r="J161" s="600"/>
      <c r="K161" s="600"/>
      <c r="L161" s="600"/>
      <c r="M161" s="343"/>
      <c r="N161" s="343"/>
    </row>
    <row r="162" spans="2:14">
      <c r="B162" s="584"/>
      <c r="C162" s="600"/>
      <c r="D162" s="600"/>
      <c r="E162" s="614"/>
      <c r="F162" s="614"/>
      <c r="G162" s="614"/>
      <c r="H162" s="614"/>
      <c r="I162" s="614"/>
      <c r="J162" s="600"/>
      <c r="K162" s="600"/>
      <c r="L162" s="600"/>
      <c r="M162" s="343"/>
      <c r="N162" s="343"/>
    </row>
    <row r="163" spans="2:14">
      <c r="B163" s="584"/>
      <c r="C163" s="600"/>
      <c r="D163" s="600"/>
      <c r="E163" s="614"/>
      <c r="F163" s="614"/>
      <c r="G163" s="614"/>
      <c r="H163" s="614"/>
      <c r="I163" s="614"/>
      <c r="J163" s="600"/>
      <c r="K163" s="600"/>
      <c r="L163" s="600"/>
      <c r="M163" s="343"/>
      <c r="N163" s="343"/>
    </row>
    <row r="164" spans="2:14">
      <c r="B164" s="584"/>
      <c r="C164" s="600"/>
      <c r="D164" s="600"/>
      <c r="E164" s="614"/>
      <c r="F164" s="614"/>
      <c r="G164" s="614"/>
      <c r="H164" s="614"/>
      <c r="I164" s="614"/>
      <c r="J164" s="600"/>
      <c r="K164" s="600"/>
      <c r="L164" s="600"/>
      <c r="M164" s="343"/>
      <c r="N164" s="343"/>
    </row>
    <row r="165" spans="2:14">
      <c r="B165" s="584"/>
      <c r="C165" s="600"/>
      <c r="D165" s="600"/>
      <c r="E165" s="614"/>
      <c r="F165" s="614"/>
      <c r="G165" s="614"/>
      <c r="H165" s="614"/>
      <c r="I165" s="614"/>
      <c r="J165" s="600"/>
      <c r="K165" s="600"/>
      <c r="L165" s="600"/>
      <c r="M165" s="343"/>
      <c r="N165" s="343"/>
    </row>
    <row r="166" spans="2:14">
      <c r="B166" s="584"/>
      <c r="C166" s="600"/>
      <c r="D166" s="600"/>
      <c r="E166" s="614"/>
      <c r="F166" s="614"/>
      <c r="G166" s="614"/>
      <c r="H166" s="614"/>
      <c r="I166" s="614"/>
      <c r="J166" s="600"/>
      <c r="K166" s="600"/>
      <c r="L166" s="600"/>
      <c r="M166" s="343"/>
      <c r="N166" s="343"/>
    </row>
    <row r="167" spans="2:14">
      <c r="B167" s="584"/>
      <c r="C167" s="600"/>
      <c r="D167" s="600"/>
      <c r="E167" s="614"/>
      <c r="F167" s="614"/>
      <c r="G167" s="614"/>
      <c r="H167" s="614"/>
      <c r="I167" s="614"/>
      <c r="J167" s="600"/>
      <c r="K167" s="600"/>
      <c r="L167" s="600"/>
      <c r="M167" s="343"/>
      <c r="N167" s="343"/>
    </row>
    <row r="168" spans="2:14">
      <c r="B168" s="584"/>
      <c r="C168" s="600"/>
      <c r="D168" s="600"/>
      <c r="E168" s="614"/>
      <c r="F168" s="614"/>
      <c r="G168" s="614"/>
      <c r="H168" s="614"/>
      <c r="I168" s="614"/>
      <c r="J168" s="600"/>
      <c r="K168" s="600"/>
      <c r="L168" s="600"/>
      <c r="M168" s="343"/>
      <c r="N168" s="343"/>
    </row>
    <row r="169" spans="2:14">
      <c r="B169" s="584"/>
      <c r="C169" s="600"/>
      <c r="D169" s="600"/>
      <c r="E169" s="614"/>
      <c r="F169" s="614"/>
      <c r="G169" s="614"/>
      <c r="H169" s="614"/>
      <c r="I169" s="614"/>
      <c r="J169" s="600"/>
      <c r="K169" s="600"/>
      <c r="L169" s="600"/>
      <c r="M169" s="343"/>
      <c r="N169" s="343"/>
    </row>
    <row r="170" spans="2:14">
      <c r="B170" s="584"/>
      <c r="C170" s="600"/>
      <c r="D170" s="600"/>
      <c r="E170" s="614"/>
      <c r="F170" s="614"/>
      <c r="G170" s="614"/>
      <c r="H170" s="614"/>
      <c r="I170" s="614"/>
      <c r="J170" s="600"/>
      <c r="K170" s="600"/>
      <c r="L170" s="600"/>
      <c r="M170" s="343"/>
      <c r="N170" s="343"/>
    </row>
    <row r="171" spans="2:14">
      <c r="B171" s="584"/>
      <c r="C171" s="600"/>
      <c r="D171" s="600"/>
      <c r="E171" s="614"/>
      <c r="F171" s="614"/>
      <c r="G171" s="614"/>
      <c r="H171" s="614"/>
      <c r="I171" s="614"/>
      <c r="J171" s="600"/>
      <c r="K171" s="600"/>
      <c r="L171" s="600"/>
      <c r="M171" s="343"/>
      <c r="N171" s="343"/>
    </row>
    <row r="172" spans="2:14">
      <c r="B172" s="584"/>
      <c r="C172" s="600"/>
      <c r="D172" s="600"/>
      <c r="E172" s="614"/>
      <c r="F172" s="614"/>
      <c r="G172" s="614"/>
      <c r="H172" s="614"/>
      <c r="I172" s="614"/>
      <c r="J172" s="600"/>
      <c r="K172" s="600"/>
      <c r="L172" s="600"/>
      <c r="M172" s="343"/>
      <c r="N172" s="343"/>
    </row>
    <row r="173" spans="2:14">
      <c r="B173" s="584"/>
      <c r="C173" s="600"/>
      <c r="D173" s="600"/>
      <c r="E173" s="614"/>
      <c r="F173" s="614"/>
      <c r="G173" s="614"/>
      <c r="H173" s="614"/>
      <c r="I173" s="614"/>
      <c r="J173" s="600"/>
      <c r="K173" s="600"/>
      <c r="L173" s="600"/>
      <c r="M173" s="343"/>
      <c r="N173" s="343"/>
    </row>
    <row r="174" spans="2:14">
      <c r="B174" s="584"/>
      <c r="C174" s="600"/>
      <c r="D174" s="600"/>
      <c r="E174" s="614"/>
      <c r="F174" s="614"/>
      <c r="G174" s="614"/>
      <c r="H174" s="614"/>
      <c r="I174" s="614"/>
      <c r="J174" s="600"/>
      <c r="K174" s="600"/>
      <c r="L174" s="600"/>
      <c r="M174" s="343"/>
      <c r="N174" s="343"/>
    </row>
    <row r="175" spans="2:14">
      <c r="B175" s="584"/>
      <c r="C175" s="600"/>
      <c r="D175" s="600"/>
      <c r="E175" s="614"/>
      <c r="F175" s="614"/>
      <c r="G175" s="614"/>
      <c r="H175" s="614"/>
      <c r="I175" s="614"/>
      <c r="J175" s="600"/>
      <c r="K175" s="600"/>
      <c r="L175" s="600"/>
      <c r="M175" s="343"/>
      <c r="N175" s="343"/>
    </row>
    <row r="176" spans="2:14">
      <c r="B176" s="584"/>
      <c r="C176" s="600"/>
      <c r="D176" s="600"/>
      <c r="E176" s="614"/>
      <c r="F176" s="614"/>
      <c r="G176" s="614"/>
      <c r="H176" s="614"/>
      <c r="I176" s="614"/>
      <c r="J176" s="600"/>
      <c r="K176" s="600"/>
      <c r="L176" s="600"/>
      <c r="M176" s="343"/>
      <c r="N176" s="343"/>
    </row>
    <row r="177" spans="2:14">
      <c r="B177" s="584"/>
      <c r="C177" s="600"/>
      <c r="D177" s="600"/>
      <c r="E177" s="614"/>
      <c r="F177" s="614"/>
      <c r="G177" s="614"/>
      <c r="H177" s="614"/>
      <c r="I177" s="614"/>
      <c r="J177" s="600"/>
      <c r="K177" s="600"/>
      <c r="L177" s="600"/>
      <c r="M177" s="343"/>
      <c r="N177" s="343"/>
    </row>
    <row r="178" spans="2:14">
      <c r="B178" s="584"/>
      <c r="C178" s="600"/>
      <c r="D178" s="600"/>
      <c r="E178" s="614"/>
      <c r="F178" s="614"/>
      <c r="G178" s="614"/>
      <c r="H178" s="614"/>
      <c r="I178" s="614"/>
      <c r="J178" s="600"/>
      <c r="K178" s="600"/>
      <c r="L178" s="600"/>
      <c r="M178" s="343"/>
      <c r="N178" s="343"/>
    </row>
    <row r="179" spans="2:14">
      <c r="B179" s="584"/>
      <c r="C179" s="600"/>
      <c r="D179" s="600"/>
      <c r="E179" s="614"/>
      <c r="F179" s="614"/>
      <c r="G179" s="614"/>
      <c r="H179" s="614"/>
      <c r="I179" s="614"/>
      <c r="J179" s="600"/>
      <c r="K179" s="600"/>
      <c r="L179" s="600"/>
      <c r="M179" s="343"/>
      <c r="N179" s="343"/>
    </row>
    <row r="180" spans="2:14">
      <c r="B180" s="584"/>
      <c r="C180" s="600"/>
      <c r="D180" s="600"/>
      <c r="E180" s="614"/>
      <c r="F180" s="614"/>
      <c r="G180" s="614"/>
      <c r="H180" s="614"/>
      <c r="I180" s="614"/>
      <c r="J180" s="600"/>
      <c r="K180" s="600"/>
      <c r="L180" s="600"/>
      <c r="M180" s="343"/>
      <c r="N180" s="343"/>
    </row>
    <row r="181" spans="2:14">
      <c r="B181" s="584"/>
      <c r="C181" s="600"/>
      <c r="D181" s="600"/>
      <c r="E181" s="614"/>
      <c r="F181" s="614"/>
      <c r="G181" s="614"/>
      <c r="H181" s="614"/>
      <c r="I181" s="614"/>
      <c r="J181" s="600"/>
      <c r="K181" s="600"/>
      <c r="L181" s="600"/>
      <c r="M181" s="343"/>
      <c r="N181" s="343"/>
    </row>
    <row r="182" spans="2:14">
      <c r="B182" s="584"/>
      <c r="C182" s="600"/>
      <c r="D182" s="600"/>
      <c r="E182" s="614"/>
      <c r="F182" s="614"/>
      <c r="G182" s="614"/>
      <c r="H182" s="614"/>
      <c r="I182" s="614"/>
      <c r="J182" s="600"/>
      <c r="K182" s="600"/>
      <c r="L182" s="600"/>
      <c r="M182" s="343"/>
      <c r="N182" s="343"/>
    </row>
    <row r="183" spans="2:14">
      <c r="B183" s="584"/>
      <c r="C183" s="600"/>
      <c r="D183" s="600"/>
      <c r="E183" s="614"/>
      <c r="F183" s="614"/>
      <c r="G183" s="614"/>
      <c r="H183" s="614"/>
      <c r="I183" s="614"/>
      <c r="J183" s="600"/>
      <c r="K183" s="600"/>
      <c r="L183" s="600"/>
      <c r="M183" s="343"/>
      <c r="N183" s="343"/>
    </row>
    <row r="184" spans="2:14">
      <c r="B184" s="584"/>
      <c r="C184" s="600"/>
      <c r="D184" s="600"/>
      <c r="E184" s="614"/>
      <c r="F184" s="614"/>
      <c r="G184" s="614"/>
      <c r="H184" s="614"/>
      <c r="I184" s="614"/>
      <c r="J184" s="600"/>
      <c r="K184" s="600"/>
      <c r="L184" s="600"/>
      <c r="M184" s="343"/>
      <c r="N184" s="343"/>
    </row>
    <row r="185" spans="2:14">
      <c r="B185" s="584"/>
      <c r="C185" s="600"/>
      <c r="D185" s="600"/>
      <c r="E185" s="614"/>
      <c r="F185" s="614"/>
      <c r="G185" s="614"/>
      <c r="H185" s="614"/>
      <c r="I185" s="614"/>
      <c r="J185" s="600"/>
      <c r="K185" s="600"/>
      <c r="L185" s="600"/>
      <c r="M185" s="343"/>
      <c r="N185" s="343"/>
    </row>
    <row r="186" spans="2:14">
      <c r="B186" s="584"/>
      <c r="C186" s="600"/>
      <c r="D186" s="600"/>
      <c r="E186" s="614"/>
      <c r="F186" s="614"/>
      <c r="G186" s="614"/>
      <c r="H186" s="614"/>
      <c r="I186" s="614"/>
      <c r="J186" s="600"/>
      <c r="K186" s="600"/>
      <c r="L186" s="600"/>
      <c r="M186" s="343"/>
      <c r="N186" s="343"/>
    </row>
    <row r="187" spans="2:14">
      <c r="B187" s="584"/>
      <c r="C187" s="600"/>
      <c r="D187" s="600"/>
      <c r="E187" s="614"/>
      <c r="F187" s="614"/>
      <c r="G187" s="614"/>
      <c r="H187" s="614"/>
      <c r="I187" s="614"/>
      <c r="J187" s="600"/>
      <c r="K187" s="600"/>
      <c r="L187" s="600"/>
      <c r="M187" s="343"/>
      <c r="N187" s="343"/>
    </row>
    <row r="188" spans="2:14">
      <c r="B188" s="584"/>
      <c r="C188" s="600"/>
      <c r="D188" s="600"/>
      <c r="E188" s="614"/>
      <c r="F188" s="614"/>
      <c r="G188" s="614"/>
      <c r="H188" s="614"/>
      <c r="I188" s="614"/>
      <c r="J188" s="600"/>
      <c r="K188" s="600"/>
      <c r="L188" s="600"/>
      <c r="M188" s="343"/>
      <c r="N188" s="343"/>
    </row>
    <row r="189" spans="2:14">
      <c r="B189" s="584"/>
      <c r="C189" s="600"/>
      <c r="D189" s="600"/>
      <c r="E189" s="614"/>
      <c r="F189" s="614"/>
      <c r="G189" s="614"/>
      <c r="H189" s="614"/>
      <c r="I189" s="614"/>
      <c r="J189" s="600"/>
      <c r="K189" s="600"/>
      <c r="L189" s="600"/>
      <c r="M189" s="343"/>
      <c r="N189" s="343"/>
    </row>
    <row r="190" spans="2:14">
      <c r="B190" s="584"/>
      <c r="C190" s="600"/>
      <c r="D190" s="600"/>
      <c r="E190" s="614"/>
      <c r="F190" s="614"/>
      <c r="G190" s="614"/>
      <c r="H190" s="614"/>
      <c r="I190" s="614"/>
      <c r="J190" s="600"/>
      <c r="K190" s="600"/>
      <c r="L190" s="600"/>
      <c r="M190" s="343"/>
      <c r="N190" s="343"/>
    </row>
    <row r="191" spans="2:14">
      <c r="B191" s="584"/>
      <c r="C191" s="600"/>
      <c r="D191" s="600"/>
      <c r="E191" s="614"/>
      <c r="F191" s="614"/>
      <c r="G191" s="614"/>
      <c r="H191" s="614"/>
      <c r="I191" s="614"/>
      <c r="J191" s="600"/>
      <c r="K191" s="600"/>
      <c r="L191" s="600"/>
      <c r="M191" s="343"/>
      <c r="N191" s="343"/>
    </row>
    <row r="192" spans="2:14">
      <c r="B192" s="584"/>
      <c r="C192" s="600"/>
      <c r="D192" s="600"/>
      <c r="E192" s="614"/>
      <c r="F192" s="614"/>
      <c r="G192" s="614"/>
      <c r="H192" s="614"/>
      <c r="I192" s="614"/>
      <c r="J192" s="600"/>
      <c r="K192" s="600"/>
      <c r="L192" s="600"/>
      <c r="M192" s="343"/>
      <c r="N192" s="343"/>
    </row>
    <row r="193" spans="2:14">
      <c r="B193" s="584"/>
      <c r="C193" s="600"/>
      <c r="D193" s="600"/>
      <c r="E193" s="614"/>
      <c r="F193" s="614"/>
      <c r="G193" s="614"/>
      <c r="H193" s="614"/>
      <c r="I193" s="614"/>
      <c r="J193" s="600"/>
      <c r="K193" s="600"/>
      <c r="L193" s="600"/>
      <c r="M193" s="343"/>
      <c r="N193" s="343"/>
    </row>
    <row r="194" spans="2:14">
      <c r="B194" s="584"/>
      <c r="C194" s="600"/>
      <c r="D194" s="600"/>
      <c r="E194" s="614"/>
      <c r="F194" s="614"/>
      <c r="G194" s="614"/>
      <c r="H194" s="614"/>
      <c r="I194" s="614"/>
      <c r="J194" s="600"/>
      <c r="K194" s="600"/>
      <c r="L194" s="600"/>
      <c r="M194" s="343"/>
      <c r="N194" s="343"/>
    </row>
    <row r="195" spans="2:14">
      <c r="B195" s="584"/>
      <c r="C195" s="600"/>
      <c r="D195" s="600"/>
      <c r="E195" s="614"/>
      <c r="F195" s="614"/>
      <c r="G195" s="614"/>
      <c r="H195" s="614"/>
      <c r="I195" s="614"/>
      <c r="J195" s="600"/>
      <c r="K195" s="600"/>
      <c r="L195" s="600"/>
      <c r="M195" s="343"/>
      <c r="N195" s="343"/>
    </row>
    <row r="196" spans="2:14">
      <c r="B196" s="584"/>
      <c r="C196" s="600"/>
      <c r="D196" s="600"/>
      <c r="E196" s="614"/>
      <c r="F196" s="614"/>
      <c r="G196" s="614"/>
      <c r="H196" s="614"/>
      <c r="I196" s="614"/>
      <c r="J196" s="600"/>
      <c r="K196" s="600"/>
      <c r="L196" s="600"/>
      <c r="M196" s="343"/>
      <c r="N196" s="343"/>
    </row>
    <row r="197" spans="2:14">
      <c r="B197" s="584"/>
      <c r="C197" s="600"/>
      <c r="D197" s="600"/>
      <c r="E197" s="614"/>
      <c r="F197" s="614"/>
      <c r="G197" s="614"/>
      <c r="H197" s="614"/>
      <c r="I197" s="614"/>
      <c r="J197" s="600"/>
      <c r="K197" s="600"/>
      <c r="L197" s="600"/>
      <c r="M197" s="343"/>
      <c r="N197" s="343"/>
    </row>
    <row r="198" spans="2:14">
      <c r="B198" s="584"/>
      <c r="C198" s="600"/>
      <c r="D198" s="600"/>
      <c r="E198" s="614"/>
      <c r="F198" s="614"/>
      <c r="G198" s="614"/>
      <c r="H198" s="614"/>
      <c r="I198" s="614"/>
      <c r="J198" s="600"/>
      <c r="K198" s="600"/>
      <c r="L198" s="600"/>
      <c r="M198" s="343"/>
      <c r="N198" s="343"/>
    </row>
    <row r="199" spans="2:14">
      <c r="B199" s="584"/>
      <c r="C199" s="600"/>
      <c r="D199" s="600"/>
      <c r="E199" s="614"/>
      <c r="F199" s="614"/>
      <c r="G199" s="614"/>
      <c r="H199" s="614"/>
      <c r="I199" s="614"/>
      <c r="J199" s="600"/>
      <c r="K199" s="600"/>
      <c r="L199" s="600"/>
      <c r="M199" s="343"/>
      <c r="N199" s="343"/>
    </row>
    <row r="200" spans="2:14">
      <c r="B200" s="584"/>
      <c r="C200" s="600"/>
      <c r="D200" s="600"/>
      <c r="E200" s="614"/>
      <c r="F200" s="614"/>
      <c r="G200" s="614"/>
      <c r="H200" s="614"/>
      <c r="I200" s="614"/>
      <c r="J200" s="600"/>
      <c r="K200" s="600"/>
      <c r="L200" s="600"/>
      <c r="M200" s="343"/>
      <c r="N200" s="343"/>
    </row>
    <row r="201" spans="2:14">
      <c r="B201" s="584"/>
      <c r="C201" s="600"/>
      <c r="D201" s="600"/>
      <c r="E201" s="614"/>
      <c r="F201" s="614"/>
      <c r="G201" s="614"/>
      <c r="H201" s="614"/>
      <c r="I201" s="614"/>
      <c r="J201" s="600"/>
      <c r="K201" s="600"/>
      <c r="L201" s="600"/>
      <c r="M201" s="343"/>
      <c r="N201" s="343"/>
    </row>
    <row r="202" spans="2:14">
      <c r="B202" s="584"/>
      <c r="C202" s="600"/>
      <c r="D202" s="600"/>
      <c r="E202" s="614"/>
      <c r="F202" s="614"/>
      <c r="G202" s="614"/>
      <c r="H202" s="614"/>
      <c r="I202" s="614"/>
      <c r="J202" s="600"/>
      <c r="K202" s="600"/>
      <c r="L202" s="600"/>
      <c r="M202" s="343"/>
      <c r="N202" s="343"/>
    </row>
    <row r="203" spans="2:14">
      <c r="B203" s="584"/>
      <c r="C203" s="600"/>
      <c r="D203" s="600"/>
      <c r="E203" s="614"/>
      <c r="F203" s="614"/>
      <c r="G203" s="614"/>
      <c r="H203" s="614"/>
      <c r="I203" s="614"/>
      <c r="J203" s="600"/>
      <c r="K203" s="600"/>
      <c r="L203" s="600"/>
      <c r="M203" s="343"/>
      <c r="N203" s="343"/>
    </row>
    <row r="204" spans="2:14">
      <c r="B204" s="584"/>
      <c r="C204" s="600"/>
      <c r="D204" s="600"/>
      <c r="E204" s="614"/>
      <c r="F204" s="614"/>
      <c r="G204" s="614"/>
      <c r="H204" s="614"/>
      <c r="I204" s="614"/>
      <c r="J204" s="600"/>
      <c r="K204" s="600"/>
      <c r="L204" s="600"/>
      <c r="M204" s="343"/>
      <c r="N204" s="343"/>
    </row>
    <row r="205" spans="2:14">
      <c r="B205" s="584"/>
      <c r="C205" s="600"/>
      <c r="D205" s="600"/>
      <c r="E205" s="614"/>
      <c r="F205" s="614"/>
      <c r="G205" s="614"/>
      <c r="H205" s="614"/>
      <c r="I205" s="614"/>
      <c r="J205" s="600"/>
      <c r="K205" s="600"/>
      <c r="L205" s="600"/>
      <c r="M205" s="343"/>
      <c r="N205" s="343"/>
    </row>
    <row r="206" spans="2:14">
      <c r="B206" s="584"/>
      <c r="C206" s="600"/>
      <c r="D206" s="600"/>
      <c r="E206" s="614"/>
      <c r="F206" s="614"/>
      <c r="G206" s="614"/>
      <c r="H206" s="614"/>
      <c r="I206" s="614"/>
      <c r="J206" s="600"/>
      <c r="K206" s="600"/>
      <c r="L206" s="600"/>
      <c r="M206" s="343"/>
      <c r="N206" s="343"/>
    </row>
    <row r="207" spans="2:14">
      <c r="B207" s="584"/>
      <c r="C207" s="600"/>
      <c r="D207" s="600"/>
      <c r="E207" s="614"/>
      <c r="F207" s="614"/>
      <c r="G207" s="614"/>
      <c r="H207" s="614"/>
      <c r="I207" s="614"/>
      <c r="J207" s="600"/>
      <c r="K207" s="600"/>
      <c r="L207" s="600"/>
      <c r="M207" s="343"/>
      <c r="N207" s="343"/>
    </row>
    <row r="208" spans="2:14">
      <c r="B208" s="584"/>
      <c r="C208" s="600"/>
      <c r="D208" s="600"/>
      <c r="E208" s="614"/>
      <c r="F208" s="614"/>
      <c r="G208" s="614"/>
      <c r="H208" s="614"/>
      <c r="I208" s="614"/>
      <c r="J208" s="600"/>
      <c r="K208" s="600"/>
      <c r="L208" s="600"/>
      <c r="M208" s="343"/>
      <c r="N208" s="343"/>
    </row>
    <row r="209" spans="2:14">
      <c r="B209" s="584"/>
      <c r="C209" s="600"/>
      <c r="D209" s="600"/>
      <c r="E209" s="614"/>
      <c r="F209" s="614"/>
      <c r="G209" s="614"/>
      <c r="H209" s="614"/>
      <c r="I209" s="614"/>
      <c r="J209" s="600"/>
      <c r="K209" s="600"/>
      <c r="L209" s="600"/>
      <c r="M209" s="343"/>
      <c r="N209" s="343"/>
    </row>
    <row r="210" spans="2:14">
      <c r="B210" s="584"/>
      <c r="C210" s="600"/>
      <c r="D210" s="600"/>
      <c r="E210" s="614"/>
      <c r="F210" s="614"/>
      <c r="G210" s="614"/>
      <c r="H210" s="614"/>
      <c r="I210" s="614"/>
      <c r="J210" s="600"/>
      <c r="K210" s="600"/>
      <c r="L210" s="600"/>
      <c r="M210" s="343"/>
      <c r="N210" s="343"/>
    </row>
    <row r="211" spans="2:14">
      <c r="B211" s="584"/>
      <c r="C211" s="600"/>
      <c r="D211" s="600"/>
      <c r="E211" s="614"/>
      <c r="F211" s="614"/>
      <c r="G211" s="614"/>
      <c r="H211" s="614"/>
      <c r="I211" s="614"/>
      <c r="J211" s="600"/>
      <c r="K211" s="600"/>
      <c r="L211" s="600"/>
      <c r="M211" s="343"/>
      <c r="N211" s="343"/>
    </row>
    <row r="212" spans="2:14">
      <c r="B212" s="584"/>
      <c r="C212" s="600"/>
      <c r="D212" s="600"/>
      <c r="E212" s="614"/>
      <c r="F212" s="614"/>
      <c r="G212" s="614"/>
      <c r="H212" s="614"/>
      <c r="I212" s="614"/>
      <c r="J212" s="600"/>
      <c r="K212" s="600"/>
      <c r="L212" s="600"/>
      <c r="M212" s="343"/>
      <c r="N212" s="343"/>
    </row>
    <row r="213" spans="2:14">
      <c r="B213" s="584"/>
      <c r="C213" s="600"/>
      <c r="D213" s="600"/>
      <c r="E213" s="614"/>
      <c r="F213" s="614"/>
      <c r="G213" s="614"/>
      <c r="H213" s="614"/>
      <c r="I213" s="614"/>
      <c r="J213" s="600"/>
      <c r="K213" s="600"/>
      <c r="L213" s="600"/>
      <c r="M213" s="343"/>
      <c r="N213" s="343"/>
    </row>
    <row r="214" spans="2:14">
      <c r="B214" s="584"/>
      <c r="C214" s="600"/>
      <c r="D214" s="600"/>
      <c r="E214" s="614"/>
      <c r="F214" s="614"/>
      <c r="G214" s="614"/>
      <c r="H214" s="614"/>
      <c r="I214" s="614"/>
      <c r="J214" s="600"/>
      <c r="K214" s="600"/>
      <c r="L214" s="600"/>
      <c r="M214" s="343"/>
      <c r="N214" s="343"/>
    </row>
    <row r="215" spans="2:14">
      <c r="B215" s="584"/>
      <c r="C215" s="600"/>
      <c r="D215" s="600"/>
      <c r="E215" s="614"/>
      <c r="F215" s="614"/>
      <c r="G215" s="614"/>
      <c r="H215" s="614"/>
      <c r="I215" s="614"/>
      <c r="J215" s="600"/>
      <c r="K215" s="600"/>
      <c r="L215" s="600"/>
      <c r="M215" s="343"/>
      <c r="N215" s="343"/>
    </row>
    <row r="216" spans="2:14">
      <c r="B216" s="584"/>
      <c r="C216" s="600"/>
      <c r="D216" s="600"/>
      <c r="E216" s="614"/>
      <c r="F216" s="614"/>
      <c r="G216" s="614"/>
      <c r="H216" s="614"/>
      <c r="I216" s="614"/>
      <c r="J216" s="600"/>
      <c r="K216" s="600"/>
      <c r="L216" s="600"/>
      <c r="M216" s="343"/>
      <c r="N216" s="343"/>
    </row>
    <row r="217" spans="2:14">
      <c r="B217" s="584"/>
      <c r="C217" s="600"/>
      <c r="D217" s="600"/>
      <c r="E217" s="614"/>
      <c r="F217" s="614"/>
      <c r="G217" s="614"/>
      <c r="H217" s="614"/>
      <c r="I217" s="614"/>
      <c r="J217" s="600"/>
      <c r="K217" s="600"/>
      <c r="L217" s="600"/>
      <c r="M217" s="343"/>
      <c r="N217" s="343"/>
    </row>
    <row r="218" spans="2:14">
      <c r="B218" s="584"/>
      <c r="C218" s="600"/>
      <c r="D218" s="600"/>
      <c r="E218" s="614"/>
      <c r="F218" s="614"/>
      <c r="G218" s="614"/>
      <c r="H218" s="614"/>
      <c r="I218" s="614"/>
      <c r="J218" s="600"/>
      <c r="K218" s="600"/>
      <c r="L218" s="600"/>
      <c r="M218" s="343"/>
      <c r="N218" s="343"/>
    </row>
    <row r="219" spans="2:14">
      <c r="B219" s="584"/>
      <c r="C219" s="600"/>
      <c r="D219" s="600"/>
      <c r="E219" s="614"/>
      <c r="F219" s="614"/>
      <c r="G219" s="614"/>
      <c r="H219" s="614"/>
      <c r="I219" s="614"/>
      <c r="J219" s="600"/>
      <c r="K219" s="600"/>
      <c r="L219" s="600"/>
      <c r="M219" s="343"/>
      <c r="N219" s="343"/>
    </row>
    <row r="220" spans="2:14">
      <c r="B220" s="584"/>
      <c r="C220" s="600"/>
      <c r="D220" s="600"/>
      <c r="E220" s="614"/>
      <c r="F220" s="614"/>
      <c r="G220" s="614"/>
      <c r="H220" s="614"/>
      <c r="I220" s="614"/>
      <c r="J220" s="600"/>
      <c r="K220" s="600"/>
      <c r="L220" s="600"/>
      <c r="M220" s="343"/>
      <c r="N220" s="343"/>
    </row>
    <row r="221" spans="2:14">
      <c r="B221" s="584"/>
      <c r="C221" s="600"/>
      <c r="D221" s="600"/>
      <c r="E221" s="614"/>
      <c r="F221" s="614"/>
      <c r="G221" s="614"/>
      <c r="H221" s="614"/>
      <c r="I221" s="614"/>
      <c r="J221" s="600"/>
      <c r="K221" s="600"/>
      <c r="L221" s="600"/>
      <c r="M221" s="343"/>
      <c r="N221" s="343"/>
    </row>
    <row r="222" spans="2:14">
      <c r="B222" s="584"/>
      <c r="C222" s="600"/>
      <c r="D222" s="600"/>
      <c r="E222" s="614"/>
      <c r="F222" s="614"/>
      <c r="G222" s="614"/>
      <c r="H222" s="614"/>
      <c r="I222" s="614"/>
      <c r="J222" s="600"/>
      <c r="K222" s="600"/>
      <c r="L222" s="600"/>
      <c r="M222" s="343"/>
      <c r="N222" s="343"/>
    </row>
    <row r="223" spans="2:14">
      <c r="B223" s="584"/>
      <c r="C223" s="600"/>
      <c r="D223" s="600"/>
      <c r="E223" s="614"/>
      <c r="F223" s="614"/>
      <c r="G223" s="614"/>
      <c r="H223" s="614"/>
      <c r="I223" s="614"/>
      <c r="J223" s="600"/>
      <c r="K223" s="600"/>
      <c r="L223" s="600"/>
      <c r="M223" s="343"/>
      <c r="N223" s="343"/>
    </row>
    <row r="224" spans="2:14">
      <c r="B224" s="584"/>
      <c r="C224" s="600"/>
      <c r="D224" s="600"/>
      <c r="E224" s="614"/>
      <c r="F224" s="614"/>
      <c r="G224" s="614"/>
      <c r="H224" s="614"/>
      <c r="I224" s="614"/>
      <c r="J224" s="600"/>
      <c r="K224" s="600"/>
      <c r="L224" s="600"/>
      <c r="M224" s="343"/>
      <c r="N224" s="343"/>
    </row>
    <row r="225" spans="2:14">
      <c r="B225" s="584"/>
      <c r="C225" s="600"/>
      <c r="D225" s="600"/>
      <c r="E225" s="614"/>
      <c r="F225" s="614"/>
      <c r="G225" s="614"/>
      <c r="H225" s="614"/>
      <c r="I225" s="614"/>
      <c r="J225" s="600"/>
      <c r="K225" s="600"/>
      <c r="L225" s="600"/>
      <c r="M225" s="343"/>
      <c r="N225" s="343"/>
    </row>
    <row r="226" spans="2:14">
      <c r="B226" s="584"/>
      <c r="C226" s="600"/>
      <c r="D226" s="600"/>
      <c r="E226" s="614"/>
      <c r="F226" s="614"/>
      <c r="G226" s="614"/>
      <c r="H226" s="614"/>
      <c r="I226" s="614"/>
      <c r="J226" s="600"/>
      <c r="K226" s="600"/>
      <c r="L226" s="600"/>
      <c r="M226" s="343"/>
      <c r="N226" s="343"/>
    </row>
    <row r="227" spans="2:14">
      <c r="B227" s="584"/>
      <c r="C227" s="600"/>
      <c r="D227" s="600"/>
      <c r="E227" s="614"/>
      <c r="F227" s="614"/>
      <c r="G227" s="614"/>
      <c r="H227" s="614"/>
      <c r="I227" s="614"/>
      <c r="J227" s="600"/>
      <c r="K227" s="600"/>
      <c r="L227" s="600"/>
      <c r="M227" s="343"/>
      <c r="N227" s="343"/>
    </row>
    <row r="228" spans="2:14">
      <c r="B228" s="584"/>
      <c r="C228" s="600"/>
      <c r="D228" s="600"/>
      <c r="E228" s="614"/>
      <c r="F228" s="614"/>
      <c r="G228" s="614"/>
      <c r="H228" s="614"/>
      <c r="I228" s="614"/>
      <c r="J228" s="600"/>
      <c r="K228" s="600"/>
      <c r="L228" s="600"/>
      <c r="M228" s="343"/>
      <c r="N228" s="343"/>
    </row>
    <row r="229" spans="2:14">
      <c r="B229" s="584"/>
      <c r="C229" s="600"/>
      <c r="D229" s="600"/>
      <c r="E229" s="614"/>
      <c r="F229" s="614"/>
      <c r="G229" s="614"/>
      <c r="H229" s="614"/>
      <c r="I229" s="614"/>
      <c r="J229" s="600"/>
      <c r="K229" s="600"/>
      <c r="L229" s="600"/>
      <c r="M229" s="343"/>
      <c r="N229" s="343"/>
    </row>
    <row r="230" spans="2:14">
      <c r="B230" s="584"/>
      <c r="C230" s="600"/>
      <c r="D230" s="600"/>
      <c r="E230" s="614"/>
      <c r="F230" s="614"/>
      <c r="G230" s="614"/>
      <c r="H230" s="614"/>
      <c r="I230" s="614"/>
      <c r="J230" s="600"/>
      <c r="K230" s="600"/>
      <c r="L230" s="600"/>
      <c r="M230" s="343"/>
      <c r="N230" s="343"/>
    </row>
    <row r="231" spans="2:14">
      <c r="B231" s="584"/>
      <c r="C231" s="600"/>
      <c r="D231" s="600"/>
      <c r="E231" s="614"/>
      <c r="F231" s="614"/>
      <c r="G231" s="614"/>
      <c r="H231" s="614"/>
      <c r="I231" s="614"/>
      <c r="J231" s="600"/>
      <c r="K231" s="600"/>
      <c r="L231" s="600"/>
      <c r="M231" s="343"/>
      <c r="N231" s="343"/>
    </row>
    <row r="232" spans="2:14">
      <c r="B232" s="584"/>
      <c r="C232" s="600"/>
      <c r="D232" s="600"/>
      <c r="E232" s="614"/>
      <c r="F232" s="614"/>
      <c r="G232" s="614"/>
      <c r="H232" s="614"/>
      <c r="I232" s="614"/>
      <c r="J232" s="600"/>
      <c r="K232" s="600"/>
      <c r="L232" s="600"/>
      <c r="M232" s="343"/>
      <c r="N232" s="343"/>
    </row>
    <row r="233" spans="2:14">
      <c r="B233" s="584"/>
      <c r="C233" s="600"/>
      <c r="D233" s="600"/>
      <c r="E233" s="614"/>
      <c r="F233" s="614"/>
      <c r="G233" s="614"/>
      <c r="H233" s="614"/>
      <c r="I233" s="614"/>
      <c r="J233" s="600"/>
      <c r="K233" s="600"/>
      <c r="L233" s="600"/>
      <c r="M233" s="343"/>
      <c r="N233" s="343"/>
    </row>
    <row r="234" spans="2:14">
      <c r="B234" s="584"/>
      <c r="C234" s="600"/>
      <c r="D234" s="600"/>
      <c r="E234" s="614"/>
      <c r="F234" s="614"/>
      <c r="G234" s="614"/>
      <c r="H234" s="614"/>
      <c r="I234" s="614"/>
      <c r="J234" s="600"/>
      <c r="K234" s="600"/>
      <c r="L234" s="600"/>
      <c r="M234" s="343"/>
      <c r="N234" s="343"/>
    </row>
    <row r="235" spans="2:14">
      <c r="B235" s="584"/>
      <c r="C235" s="600"/>
      <c r="D235" s="600"/>
      <c r="E235" s="614"/>
      <c r="F235" s="614"/>
      <c r="G235" s="614"/>
      <c r="H235" s="614"/>
      <c r="I235" s="614"/>
      <c r="J235" s="600"/>
      <c r="K235" s="600"/>
      <c r="L235" s="600"/>
      <c r="M235" s="343"/>
      <c r="N235" s="343"/>
    </row>
    <row r="236" spans="2:14">
      <c r="B236" s="584"/>
      <c r="C236" s="600"/>
      <c r="D236" s="600"/>
      <c r="E236" s="614"/>
      <c r="F236" s="614"/>
      <c r="G236" s="614"/>
      <c r="H236" s="614"/>
      <c r="I236" s="614"/>
      <c r="J236" s="600"/>
      <c r="K236" s="600"/>
      <c r="L236" s="600"/>
      <c r="M236" s="343"/>
      <c r="N236" s="343"/>
    </row>
    <row r="237" spans="2:14">
      <c r="B237" s="584"/>
      <c r="C237" s="600"/>
      <c r="D237" s="600"/>
      <c r="E237" s="614"/>
      <c r="F237" s="614"/>
      <c r="G237" s="614"/>
      <c r="H237" s="614"/>
      <c r="I237" s="614"/>
      <c r="J237" s="600"/>
      <c r="K237" s="600"/>
      <c r="L237" s="600"/>
      <c r="M237" s="343"/>
      <c r="N237" s="343"/>
    </row>
    <row r="238" spans="2:14">
      <c r="B238" s="584"/>
      <c r="C238" s="600"/>
      <c r="D238" s="600"/>
      <c r="E238" s="614"/>
      <c r="F238" s="614"/>
      <c r="G238" s="614"/>
      <c r="H238" s="614"/>
      <c r="I238" s="614"/>
      <c r="J238" s="600"/>
      <c r="K238" s="600"/>
      <c r="L238" s="600"/>
      <c r="M238" s="343"/>
      <c r="N238" s="343"/>
    </row>
    <row r="239" spans="2:14">
      <c r="B239" s="584"/>
      <c r="C239" s="600"/>
      <c r="D239" s="600"/>
      <c r="E239" s="614"/>
      <c r="F239" s="614"/>
      <c r="G239" s="614"/>
      <c r="H239" s="614"/>
      <c r="I239" s="614"/>
      <c r="J239" s="600"/>
      <c r="K239" s="600"/>
      <c r="L239" s="600"/>
      <c r="M239" s="343"/>
      <c r="N239" s="343"/>
    </row>
    <row r="240" spans="2:14">
      <c r="B240" s="584"/>
      <c r="C240" s="600"/>
      <c r="D240" s="600"/>
      <c r="E240" s="614"/>
      <c r="F240" s="614"/>
      <c r="G240" s="614"/>
      <c r="H240" s="614"/>
      <c r="I240" s="614"/>
      <c r="J240" s="600"/>
      <c r="K240" s="600"/>
      <c r="L240" s="600"/>
      <c r="M240" s="343"/>
      <c r="N240" s="343"/>
    </row>
    <row r="241" spans="2:14">
      <c r="B241" s="584"/>
      <c r="C241" s="600"/>
      <c r="D241" s="600"/>
      <c r="E241" s="614"/>
      <c r="F241" s="614"/>
      <c r="G241" s="614"/>
      <c r="H241" s="614"/>
      <c r="I241" s="614"/>
      <c r="J241" s="600"/>
      <c r="K241" s="600"/>
      <c r="L241" s="600"/>
      <c r="M241" s="343"/>
      <c r="N241" s="343"/>
    </row>
    <row r="242" spans="2:14">
      <c r="B242" s="584"/>
      <c r="C242" s="600"/>
      <c r="D242" s="600"/>
      <c r="E242" s="614"/>
      <c r="F242" s="614"/>
      <c r="G242" s="614"/>
      <c r="H242" s="614"/>
      <c r="I242" s="614"/>
      <c r="J242" s="600"/>
      <c r="K242" s="600"/>
      <c r="L242" s="600"/>
      <c r="M242" s="343"/>
      <c r="N242" s="343"/>
    </row>
    <row r="243" spans="2:14">
      <c r="B243" s="584"/>
      <c r="C243" s="600"/>
      <c r="D243" s="600"/>
      <c r="E243" s="614"/>
      <c r="F243" s="614"/>
      <c r="G243" s="614"/>
      <c r="H243" s="614"/>
      <c r="I243" s="614"/>
      <c r="J243" s="600"/>
      <c r="K243" s="600"/>
      <c r="L243" s="600"/>
      <c r="M243" s="343"/>
      <c r="N243" s="343"/>
    </row>
    <row r="244" spans="2:14">
      <c r="B244" s="584"/>
      <c r="C244" s="600"/>
      <c r="D244" s="600"/>
      <c r="E244" s="614"/>
      <c r="F244" s="614"/>
      <c r="G244" s="614"/>
      <c r="H244" s="614"/>
      <c r="I244" s="614"/>
      <c r="J244" s="600"/>
      <c r="K244" s="600"/>
      <c r="L244" s="600"/>
      <c r="M244" s="343"/>
      <c r="N244" s="343"/>
    </row>
    <row r="245" spans="2:14">
      <c r="B245" s="584"/>
      <c r="C245" s="600"/>
      <c r="D245" s="600"/>
      <c r="E245" s="614"/>
      <c r="F245" s="614"/>
      <c r="G245" s="614"/>
      <c r="H245" s="614"/>
      <c r="I245" s="614"/>
      <c r="J245" s="600"/>
      <c r="K245" s="600"/>
      <c r="L245" s="600"/>
      <c r="M245" s="343"/>
      <c r="N245" s="343"/>
    </row>
    <row r="246" spans="2:14">
      <c r="B246" s="584"/>
      <c r="C246" s="600"/>
      <c r="D246" s="600"/>
      <c r="E246" s="614"/>
      <c r="F246" s="614"/>
      <c r="G246" s="614"/>
      <c r="H246" s="614"/>
      <c r="I246" s="614"/>
      <c r="J246" s="600"/>
      <c r="K246" s="600"/>
      <c r="L246" s="600"/>
      <c r="M246" s="343"/>
      <c r="N246" s="343"/>
    </row>
    <row r="247" spans="2:14">
      <c r="B247" s="584"/>
      <c r="C247" s="600"/>
      <c r="D247" s="600"/>
      <c r="E247" s="614"/>
      <c r="F247" s="614"/>
      <c r="G247" s="614"/>
      <c r="H247" s="614"/>
      <c r="I247" s="614"/>
      <c r="J247" s="600"/>
      <c r="K247" s="600"/>
      <c r="L247" s="600"/>
      <c r="M247" s="343"/>
      <c r="N247" s="343"/>
    </row>
    <row r="248" spans="2:14">
      <c r="B248" s="584"/>
      <c r="C248" s="600"/>
      <c r="D248" s="600"/>
      <c r="E248" s="614"/>
      <c r="F248" s="614"/>
      <c r="G248" s="614"/>
      <c r="H248" s="614"/>
      <c r="I248" s="614"/>
      <c r="J248" s="600"/>
      <c r="K248" s="600"/>
      <c r="L248" s="600"/>
      <c r="M248" s="343"/>
      <c r="N248" s="343"/>
    </row>
    <row r="249" spans="2:14">
      <c r="B249" s="584"/>
      <c r="C249" s="600"/>
      <c r="D249" s="600"/>
      <c r="E249" s="614"/>
      <c r="F249" s="614"/>
      <c r="G249" s="614"/>
      <c r="H249" s="614"/>
      <c r="I249" s="614"/>
      <c r="J249" s="600"/>
      <c r="K249" s="600"/>
      <c r="L249" s="600"/>
      <c r="M249" s="343"/>
      <c r="N249" s="343"/>
    </row>
    <row r="250" spans="2:14">
      <c r="B250" s="584"/>
      <c r="C250" s="600"/>
      <c r="D250" s="600"/>
      <c r="E250" s="614"/>
      <c r="F250" s="614"/>
      <c r="G250" s="614"/>
      <c r="H250" s="614"/>
      <c r="I250" s="614"/>
      <c r="J250" s="600"/>
      <c r="K250" s="600"/>
      <c r="L250" s="600"/>
      <c r="M250" s="343"/>
      <c r="N250" s="343"/>
    </row>
    <row r="251" spans="2:14">
      <c r="B251" s="584"/>
      <c r="C251" s="600"/>
      <c r="D251" s="600"/>
      <c r="E251" s="614"/>
      <c r="F251" s="614"/>
      <c r="G251" s="614"/>
      <c r="H251" s="614"/>
      <c r="I251" s="614"/>
      <c r="J251" s="600"/>
      <c r="K251" s="600"/>
      <c r="L251" s="600"/>
      <c r="M251" s="343"/>
      <c r="N251" s="343"/>
    </row>
    <row r="252" spans="2:14">
      <c r="B252" s="584"/>
      <c r="C252" s="600"/>
      <c r="D252" s="600"/>
      <c r="E252" s="614"/>
      <c r="F252" s="614"/>
      <c r="G252" s="614"/>
      <c r="H252" s="614"/>
      <c r="I252" s="614"/>
      <c r="J252" s="600"/>
      <c r="K252" s="600"/>
      <c r="L252" s="600"/>
      <c r="M252" s="343"/>
      <c r="N252" s="343"/>
    </row>
    <row r="253" spans="2:14">
      <c r="B253" s="584"/>
      <c r="C253" s="600"/>
      <c r="D253" s="600"/>
      <c r="E253" s="614"/>
      <c r="F253" s="614"/>
      <c r="G253" s="614"/>
      <c r="H253" s="614"/>
      <c r="I253" s="614"/>
      <c r="J253" s="600"/>
      <c r="K253" s="600"/>
      <c r="L253" s="600"/>
      <c r="M253" s="343"/>
      <c r="N253" s="343"/>
    </row>
    <row r="254" spans="2:14">
      <c r="B254" s="584"/>
      <c r="C254" s="600"/>
      <c r="D254" s="600"/>
      <c r="E254" s="614"/>
      <c r="F254" s="614"/>
      <c r="G254" s="614"/>
      <c r="H254" s="614"/>
      <c r="I254" s="614"/>
      <c r="J254" s="600"/>
      <c r="K254" s="600"/>
      <c r="L254" s="600"/>
      <c r="M254" s="343"/>
      <c r="N254" s="343"/>
    </row>
    <row r="255" spans="2:14">
      <c r="B255" s="584"/>
      <c r="C255" s="600"/>
      <c r="D255" s="600"/>
      <c r="E255" s="614"/>
      <c r="F255" s="614"/>
      <c r="G255" s="614"/>
      <c r="H255" s="614"/>
      <c r="I255" s="614"/>
      <c r="J255" s="600"/>
      <c r="K255" s="600"/>
      <c r="L255" s="600"/>
      <c r="M255" s="343"/>
      <c r="N255" s="343"/>
    </row>
    <row r="256" spans="2:14">
      <c r="B256" s="584"/>
      <c r="C256" s="600"/>
      <c r="D256" s="600"/>
      <c r="E256" s="614"/>
      <c r="F256" s="614"/>
      <c r="G256" s="614"/>
      <c r="H256" s="614"/>
      <c r="I256" s="614"/>
      <c r="J256" s="600"/>
      <c r="K256" s="600"/>
      <c r="L256" s="600"/>
      <c r="M256" s="343"/>
      <c r="N256" s="343"/>
    </row>
    <row r="257" spans="2:14">
      <c r="B257" s="584"/>
      <c r="C257" s="600"/>
      <c r="D257" s="600"/>
      <c r="E257" s="614"/>
      <c r="F257" s="614"/>
      <c r="G257" s="614"/>
      <c r="H257" s="614"/>
      <c r="I257" s="614"/>
      <c r="J257" s="600"/>
      <c r="K257" s="600"/>
      <c r="L257" s="600"/>
      <c r="M257" s="343"/>
      <c r="N257" s="343"/>
    </row>
    <row r="258" spans="2:14">
      <c r="B258" s="584"/>
      <c r="C258" s="600"/>
      <c r="D258" s="600"/>
      <c r="E258" s="614"/>
      <c r="F258" s="614"/>
      <c r="G258" s="614"/>
      <c r="H258" s="614"/>
      <c r="I258" s="614"/>
      <c r="J258" s="600"/>
      <c r="K258" s="600"/>
      <c r="L258" s="600"/>
      <c r="M258" s="343"/>
      <c r="N258" s="343"/>
    </row>
    <row r="259" spans="2:14">
      <c r="B259" s="584"/>
      <c r="C259" s="600"/>
      <c r="D259" s="600"/>
      <c r="E259" s="614"/>
      <c r="F259" s="614"/>
      <c r="G259" s="614"/>
      <c r="H259" s="614"/>
      <c r="I259" s="614"/>
      <c r="J259" s="600"/>
      <c r="K259" s="600"/>
      <c r="L259" s="600"/>
      <c r="M259" s="343"/>
      <c r="N259" s="343"/>
    </row>
    <row r="260" spans="2:14">
      <c r="B260" s="584"/>
      <c r="C260" s="600"/>
      <c r="D260" s="600"/>
      <c r="E260" s="614"/>
      <c r="F260" s="614"/>
      <c r="G260" s="614"/>
      <c r="H260" s="614"/>
      <c r="I260" s="614"/>
      <c r="J260" s="600"/>
      <c r="K260" s="600"/>
      <c r="L260" s="600"/>
      <c r="M260" s="343"/>
      <c r="N260" s="343"/>
    </row>
    <row r="261" spans="2:14">
      <c r="B261" s="584"/>
      <c r="C261" s="600"/>
      <c r="D261" s="600"/>
      <c r="E261" s="614"/>
      <c r="F261" s="614"/>
      <c r="G261" s="614"/>
      <c r="H261" s="614"/>
      <c r="I261" s="614"/>
      <c r="J261" s="600"/>
      <c r="K261" s="600"/>
      <c r="L261" s="600"/>
      <c r="M261" s="343"/>
      <c r="N261" s="343"/>
    </row>
    <row r="262" spans="2:14">
      <c r="B262" s="584"/>
      <c r="C262" s="600"/>
      <c r="D262" s="600"/>
      <c r="E262" s="614"/>
      <c r="F262" s="614"/>
      <c r="G262" s="614"/>
      <c r="H262" s="614"/>
      <c r="I262" s="614"/>
      <c r="J262" s="600"/>
      <c r="K262" s="600"/>
      <c r="L262" s="600"/>
      <c r="M262" s="343"/>
      <c r="N262" s="343"/>
    </row>
    <row r="263" spans="2:14">
      <c r="B263" s="584"/>
      <c r="C263" s="600"/>
      <c r="D263" s="600"/>
      <c r="E263" s="614"/>
      <c r="F263" s="614"/>
      <c r="G263" s="614"/>
      <c r="H263" s="614"/>
      <c r="I263" s="614"/>
      <c r="J263" s="600"/>
      <c r="K263" s="600"/>
      <c r="L263" s="600"/>
      <c r="M263" s="343"/>
      <c r="N263" s="343"/>
    </row>
    <row r="264" spans="2:14">
      <c r="B264" s="584"/>
      <c r="C264" s="600"/>
      <c r="D264" s="600"/>
      <c r="E264" s="614"/>
      <c r="F264" s="614"/>
      <c r="G264" s="614"/>
      <c r="H264" s="614"/>
      <c r="I264" s="614"/>
      <c r="J264" s="600"/>
      <c r="K264" s="600"/>
      <c r="L264" s="600"/>
      <c r="M264" s="343"/>
      <c r="N264" s="343"/>
    </row>
    <row r="265" spans="2:14">
      <c r="B265" s="584"/>
      <c r="C265" s="600"/>
      <c r="D265" s="600"/>
      <c r="E265" s="614"/>
      <c r="F265" s="614"/>
      <c r="G265" s="614"/>
      <c r="H265" s="614"/>
      <c r="I265" s="614"/>
      <c r="J265" s="600"/>
      <c r="K265" s="600"/>
      <c r="L265" s="600"/>
      <c r="M265" s="343"/>
      <c r="N265" s="343"/>
    </row>
    <row r="266" spans="2:14">
      <c r="B266" s="584"/>
      <c r="C266" s="600"/>
      <c r="D266" s="600"/>
      <c r="E266" s="614"/>
      <c r="F266" s="614"/>
      <c r="G266" s="614"/>
      <c r="H266" s="614"/>
      <c r="I266" s="614"/>
      <c r="J266" s="600"/>
      <c r="K266" s="600"/>
      <c r="L266" s="600"/>
      <c r="M266" s="343"/>
      <c r="N266" s="343"/>
    </row>
    <row r="267" spans="2:14">
      <c r="B267" s="584"/>
      <c r="C267" s="600"/>
      <c r="D267" s="600"/>
      <c r="E267" s="614"/>
      <c r="F267" s="614"/>
      <c r="G267" s="614"/>
      <c r="H267" s="614"/>
      <c r="I267" s="614"/>
      <c r="J267" s="600"/>
      <c r="K267" s="600"/>
      <c r="L267" s="600"/>
      <c r="M267" s="343"/>
      <c r="N267" s="343"/>
    </row>
    <row r="268" spans="2:14">
      <c r="B268" s="584"/>
      <c r="C268" s="600"/>
      <c r="D268" s="600"/>
      <c r="E268" s="614"/>
      <c r="F268" s="614"/>
      <c r="G268" s="614"/>
      <c r="H268" s="614"/>
      <c r="I268" s="614"/>
      <c r="J268" s="600"/>
      <c r="K268" s="600"/>
      <c r="L268" s="600"/>
      <c r="M268" s="343"/>
      <c r="N268" s="343"/>
    </row>
    <row r="269" spans="2:14">
      <c r="B269" s="584"/>
      <c r="C269" s="600"/>
      <c r="D269" s="600"/>
      <c r="E269" s="614"/>
      <c r="F269" s="614"/>
      <c r="G269" s="614"/>
      <c r="H269" s="614"/>
      <c r="I269" s="614"/>
      <c r="J269" s="600"/>
      <c r="K269" s="600"/>
      <c r="L269" s="600"/>
      <c r="M269" s="343"/>
      <c r="N269" s="343"/>
    </row>
    <row r="270" spans="2:14">
      <c r="B270" s="584"/>
      <c r="C270" s="600"/>
      <c r="D270" s="600"/>
      <c r="E270" s="614"/>
      <c r="F270" s="614"/>
      <c r="G270" s="614"/>
      <c r="H270" s="614"/>
      <c r="I270" s="614"/>
      <c r="J270" s="600"/>
      <c r="K270" s="600"/>
      <c r="L270" s="600"/>
      <c r="M270" s="343"/>
      <c r="N270" s="343"/>
    </row>
    <row r="271" spans="2:14">
      <c r="B271" s="584"/>
      <c r="C271" s="600"/>
      <c r="D271" s="600"/>
      <c r="E271" s="614"/>
      <c r="F271" s="614"/>
      <c r="G271" s="614"/>
      <c r="H271" s="614"/>
      <c r="I271" s="614"/>
      <c r="J271" s="600"/>
      <c r="K271" s="600"/>
      <c r="L271" s="600"/>
      <c r="M271" s="343"/>
      <c r="N271" s="343"/>
    </row>
    <row r="272" spans="2:14">
      <c r="B272" s="584"/>
      <c r="C272" s="600"/>
      <c r="D272" s="600"/>
      <c r="E272" s="614"/>
      <c r="F272" s="614"/>
      <c r="G272" s="614"/>
      <c r="H272" s="614"/>
      <c r="I272" s="614"/>
      <c r="J272" s="600"/>
      <c r="K272" s="600"/>
      <c r="L272" s="600"/>
      <c r="M272" s="343"/>
      <c r="N272" s="343"/>
    </row>
    <row r="273" spans="2:14">
      <c r="B273" s="584"/>
      <c r="C273" s="600"/>
      <c r="D273" s="600"/>
      <c r="E273" s="614"/>
      <c r="F273" s="614"/>
      <c r="G273" s="614"/>
      <c r="H273" s="614"/>
      <c r="I273" s="614"/>
      <c r="J273" s="600"/>
      <c r="K273" s="600"/>
      <c r="L273" s="600"/>
      <c r="M273" s="343"/>
      <c r="N273" s="343"/>
    </row>
    <row r="274" spans="2:14">
      <c r="B274" s="584"/>
      <c r="C274" s="600"/>
      <c r="D274" s="600"/>
      <c r="E274" s="614"/>
      <c r="F274" s="614"/>
      <c r="G274" s="614"/>
      <c r="H274" s="614"/>
      <c r="I274" s="614"/>
      <c r="J274" s="600"/>
      <c r="K274" s="600"/>
      <c r="L274" s="600"/>
      <c r="M274" s="343"/>
      <c r="N274" s="343"/>
    </row>
    <row r="275" spans="2:14">
      <c r="B275" s="584"/>
      <c r="C275" s="600"/>
      <c r="D275" s="600"/>
      <c r="E275" s="614"/>
      <c r="F275" s="614"/>
      <c r="G275" s="614"/>
      <c r="H275" s="614"/>
      <c r="I275" s="614"/>
      <c r="J275" s="600"/>
      <c r="K275" s="600"/>
      <c r="L275" s="600"/>
      <c r="M275" s="343"/>
      <c r="N275" s="343"/>
    </row>
    <row r="276" spans="2:14">
      <c r="B276" s="584"/>
      <c r="C276" s="600"/>
      <c r="D276" s="600"/>
      <c r="E276" s="614"/>
      <c r="F276" s="614"/>
      <c r="G276" s="614"/>
      <c r="H276" s="614"/>
      <c r="I276" s="614"/>
      <c r="J276" s="600"/>
      <c r="K276" s="600"/>
      <c r="L276" s="600"/>
      <c r="M276" s="343"/>
      <c r="N276" s="343"/>
    </row>
    <row r="277" spans="2:14">
      <c r="B277" s="584"/>
      <c r="C277" s="600"/>
      <c r="D277" s="600"/>
      <c r="E277" s="614"/>
      <c r="F277" s="614"/>
      <c r="G277" s="614"/>
      <c r="H277" s="614"/>
      <c r="I277" s="614"/>
      <c r="J277" s="600"/>
      <c r="K277" s="600"/>
      <c r="L277" s="600"/>
      <c r="M277" s="343"/>
      <c r="N277" s="343"/>
    </row>
    <row r="278" spans="2:14">
      <c r="B278" s="584"/>
      <c r="C278" s="600"/>
      <c r="D278" s="600"/>
      <c r="E278" s="614"/>
      <c r="F278" s="614"/>
      <c r="G278" s="614"/>
      <c r="H278" s="614"/>
      <c r="I278" s="614"/>
      <c r="J278" s="600"/>
      <c r="K278" s="600"/>
      <c r="L278" s="600"/>
      <c r="M278" s="343"/>
      <c r="N278" s="343"/>
    </row>
    <row r="279" spans="2:14">
      <c r="B279" s="584"/>
      <c r="C279" s="600"/>
      <c r="D279" s="600"/>
      <c r="E279" s="614"/>
      <c r="F279" s="614"/>
      <c r="G279" s="614"/>
      <c r="H279" s="614"/>
      <c r="I279" s="614"/>
      <c r="J279" s="600"/>
      <c r="K279" s="600"/>
      <c r="L279" s="600"/>
      <c r="M279" s="343"/>
      <c r="N279" s="343"/>
    </row>
    <row r="280" spans="2:14">
      <c r="B280" s="584"/>
      <c r="C280" s="600"/>
      <c r="D280" s="600"/>
      <c r="E280" s="614"/>
      <c r="F280" s="614"/>
      <c r="G280" s="614"/>
      <c r="H280" s="614"/>
      <c r="I280" s="614"/>
      <c r="J280" s="600"/>
      <c r="K280" s="600"/>
      <c r="L280" s="600"/>
      <c r="M280" s="343"/>
      <c r="N280" s="343"/>
    </row>
    <row r="281" spans="2:14">
      <c r="B281" s="584"/>
      <c r="C281" s="600"/>
      <c r="D281" s="600"/>
      <c r="E281" s="614"/>
      <c r="F281" s="614"/>
      <c r="G281" s="614"/>
      <c r="H281" s="614"/>
      <c r="I281" s="614"/>
      <c r="J281" s="600"/>
      <c r="K281" s="600"/>
      <c r="L281" s="600"/>
      <c r="M281" s="343"/>
      <c r="N281" s="343"/>
    </row>
    <row r="282" spans="2:14">
      <c r="B282" s="584"/>
      <c r="C282" s="600"/>
      <c r="D282" s="600"/>
      <c r="E282" s="614"/>
      <c r="F282" s="614"/>
      <c r="G282" s="614"/>
      <c r="H282" s="614"/>
      <c r="I282" s="614"/>
      <c r="J282" s="600"/>
      <c r="K282" s="600"/>
      <c r="L282" s="600"/>
      <c r="M282" s="343"/>
      <c r="N282" s="343"/>
    </row>
    <row r="283" spans="2:14">
      <c r="B283" s="584"/>
      <c r="C283" s="600"/>
      <c r="D283" s="600"/>
      <c r="E283" s="614"/>
      <c r="F283" s="614"/>
      <c r="G283" s="614"/>
      <c r="H283" s="614"/>
      <c r="I283" s="614"/>
      <c r="J283" s="600"/>
      <c r="K283" s="600"/>
      <c r="L283" s="600"/>
      <c r="M283" s="343"/>
      <c r="N283" s="343"/>
    </row>
    <row r="284" spans="2:14">
      <c r="B284" s="584"/>
      <c r="C284" s="600"/>
      <c r="D284" s="600"/>
      <c r="E284" s="614"/>
      <c r="F284" s="614"/>
      <c r="G284" s="614"/>
      <c r="H284" s="614"/>
      <c r="I284" s="614"/>
      <c r="J284" s="600"/>
      <c r="K284" s="600"/>
      <c r="L284" s="600"/>
      <c r="M284" s="343"/>
      <c r="N284" s="343"/>
    </row>
    <row r="285" spans="2:14">
      <c r="B285" s="584"/>
      <c r="C285" s="600"/>
      <c r="D285" s="600"/>
      <c r="E285" s="614"/>
      <c r="F285" s="614"/>
      <c r="G285" s="614"/>
      <c r="H285" s="614"/>
      <c r="I285" s="614"/>
      <c r="J285" s="600"/>
      <c r="K285" s="600"/>
      <c r="L285" s="600"/>
      <c r="M285" s="343"/>
      <c r="N285" s="343"/>
    </row>
    <row r="286" spans="2:14">
      <c r="B286" s="584"/>
      <c r="C286" s="600"/>
      <c r="D286" s="600"/>
      <c r="E286" s="614"/>
      <c r="F286" s="614"/>
      <c r="G286" s="614"/>
      <c r="H286" s="614"/>
      <c r="I286" s="614"/>
      <c r="J286" s="600"/>
      <c r="K286" s="600"/>
      <c r="L286" s="600"/>
      <c r="M286" s="343"/>
      <c r="N286" s="343"/>
    </row>
    <row r="287" spans="2:14">
      <c r="B287" s="584"/>
      <c r="C287" s="600"/>
      <c r="D287" s="600"/>
      <c r="E287" s="614"/>
      <c r="F287" s="614"/>
      <c r="G287" s="614"/>
      <c r="H287" s="614"/>
      <c r="I287" s="614"/>
      <c r="J287" s="600"/>
      <c r="K287" s="600"/>
      <c r="L287" s="600"/>
      <c r="M287" s="343"/>
      <c r="N287" s="343"/>
    </row>
    <row r="288" spans="2:14">
      <c r="B288" s="584"/>
      <c r="C288" s="600"/>
      <c r="D288" s="600"/>
      <c r="E288" s="614"/>
      <c r="F288" s="614"/>
      <c r="G288" s="614"/>
      <c r="H288" s="614"/>
      <c r="I288" s="614"/>
      <c r="J288" s="600"/>
      <c r="K288" s="600"/>
      <c r="L288" s="600"/>
      <c r="M288" s="343"/>
      <c r="N288" s="343"/>
    </row>
    <row r="289" spans="2:14">
      <c r="B289" s="584"/>
      <c r="C289" s="600"/>
      <c r="D289" s="600"/>
      <c r="E289" s="614"/>
      <c r="F289" s="614"/>
      <c r="G289" s="614"/>
      <c r="H289" s="614"/>
      <c r="I289" s="614"/>
      <c r="J289" s="600"/>
      <c r="K289" s="600"/>
      <c r="L289" s="600"/>
      <c r="M289" s="343"/>
      <c r="N289" s="343"/>
    </row>
    <row r="290" spans="2:14">
      <c r="B290" s="584"/>
      <c r="C290" s="600"/>
      <c r="D290" s="600"/>
      <c r="E290" s="614"/>
      <c r="F290" s="614"/>
      <c r="G290" s="614"/>
      <c r="H290" s="614"/>
      <c r="I290" s="614"/>
      <c r="J290" s="600"/>
      <c r="K290" s="600"/>
      <c r="L290" s="600"/>
      <c r="M290" s="343"/>
      <c r="N290" s="343"/>
    </row>
    <row r="291" spans="2:14">
      <c r="B291" s="584"/>
      <c r="C291" s="600"/>
      <c r="D291" s="600"/>
      <c r="E291" s="614"/>
      <c r="F291" s="614"/>
      <c r="G291" s="614"/>
      <c r="H291" s="614"/>
      <c r="I291" s="614"/>
      <c r="J291" s="600"/>
      <c r="K291" s="600"/>
      <c r="L291" s="600"/>
      <c r="M291" s="343"/>
      <c r="N291" s="343"/>
    </row>
    <row r="292" spans="2:14">
      <c r="B292" s="584"/>
      <c r="C292" s="600"/>
      <c r="D292" s="600"/>
      <c r="E292" s="614"/>
      <c r="F292" s="614"/>
      <c r="G292" s="614"/>
      <c r="H292" s="614"/>
      <c r="I292" s="614"/>
      <c r="J292" s="600"/>
      <c r="K292" s="600"/>
      <c r="L292" s="600"/>
      <c r="M292" s="343"/>
      <c r="N292" s="343"/>
    </row>
    <row r="293" spans="2:14">
      <c r="B293" s="584"/>
      <c r="C293" s="600"/>
      <c r="D293" s="600"/>
      <c r="E293" s="614"/>
      <c r="F293" s="614"/>
      <c r="G293" s="614"/>
      <c r="H293" s="614"/>
      <c r="I293" s="614"/>
      <c r="J293" s="600"/>
      <c r="K293" s="600"/>
      <c r="L293" s="600"/>
      <c r="M293" s="343"/>
      <c r="N293" s="343"/>
    </row>
    <row r="294" spans="2:14">
      <c r="B294" s="584"/>
      <c r="C294" s="600"/>
      <c r="D294" s="600"/>
      <c r="E294" s="614"/>
      <c r="F294" s="614"/>
      <c r="G294" s="614"/>
      <c r="H294" s="614"/>
      <c r="I294" s="614"/>
      <c r="J294" s="600"/>
      <c r="K294" s="600"/>
      <c r="L294" s="600"/>
      <c r="M294" s="343"/>
      <c r="N294" s="343"/>
    </row>
    <row r="295" spans="2:14">
      <c r="B295" s="584"/>
      <c r="C295" s="600"/>
      <c r="D295" s="600"/>
      <c r="E295" s="614"/>
      <c r="F295" s="614"/>
      <c r="G295" s="614"/>
      <c r="H295" s="614"/>
      <c r="I295" s="614"/>
      <c r="J295" s="600"/>
      <c r="K295" s="600"/>
      <c r="L295" s="600"/>
      <c r="M295" s="343"/>
      <c r="N295" s="343"/>
    </row>
    <row r="296" spans="2:14">
      <c r="B296" s="584"/>
      <c r="C296" s="600"/>
      <c r="D296" s="600"/>
      <c r="E296" s="614"/>
      <c r="F296" s="614"/>
      <c r="G296" s="614"/>
      <c r="H296" s="614"/>
      <c r="I296" s="614"/>
      <c r="J296" s="600"/>
      <c r="K296" s="600"/>
      <c r="L296" s="600"/>
      <c r="M296" s="343"/>
      <c r="N296" s="343"/>
    </row>
    <row r="297" spans="2:14">
      <c r="B297" s="584"/>
      <c r="C297" s="600"/>
      <c r="D297" s="600"/>
      <c r="E297" s="614"/>
      <c r="F297" s="614"/>
      <c r="G297" s="614"/>
      <c r="H297" s="614"/>
      <c r="I297" s="614"/>
      <c r="J297" s="600"/>
      <c r="K297" s="600"/>
      <c r="L297" s="600"/>
      <c r="M297" s="343"/>
      <c r="N297" s="343"/>
    </row>
    <row r="298" spans="2:14">
      <c r="B298" s="584"/>
      <c r="C298" s="600"/>
      <c r="D298" s="600"/>
      <c r="E298" s="614"/>
      <c r="F298" s="614"/>
      <c r="G298" s="614"/>
      <c r="H298" s="614"/>
      <c r="I298" s="614"/>
      <c r="J298" s="600"/>
      <c r="K298" s="600"/>
      <c r="L298" s="600"/>
      <c r="M298" s="343"/>
      <c r="N298" s="343"/>
    </row>
    <row r="299" spans="2:14">
      <c r="B299" s="584"/>
      <c r="C299" s="600"/>
      <c r="D299" s="600"/>
      <c r="E299" s="614"/>
      <c r="F299" s="614"/>
      <c r="G299" s="614"/>
      <c r="H299" s="614"/>
      <c r="I299" s="614"/>
      <c r="J299" s="600"/>
      <c r="K299" s="600"/>
      <c r="L299" s="600"/>
      <c r="M299" s="343"/>
      <c r="N299" s="343"/>
    </row>
    <row r="300" spans="2:14">
      <c r="B300" s="584"/>
      <c r="C300" s="600"/>
      <c r="D300" s="600"/>
      <c r="E300" s="614"/>
      <c r="F300" s="614"/>
      <c r="G300" s="614"/>
      <c r="H300" s="614"/>
      <c r="I300" s="614"/>
      <c r="J300" s="600"/>
      <c r="K300" s="600"/>
      <c r="L300" s="600"/>
      <c r="M300" s="343"/>
      <c r="N300" s="343"/>
    </row>
    <row r="301" spans="2:14">
      <c r="B301" s="584"/>
      <c r="C301" s="600"/>
      <c r="D301" s="600"/>
      <c r="E301" s="614"/>
      <c r="F301" s="614"/>
      <c r="G301" s="614"/>
      <c r="H301" s="614"/>
      <c r="I301" s="614"/>
      <c r="J301" s="600"/>
      <c r="K301" s="600"/>
      <c r="L301" s="600"/>
      <c r="M301" s="343"/>
      <c r="N301" s="343"/>
    </row>
    <row r="302" spans="2:14">
      <c r="B302" s="584"/>
      <c r="C302" s="600"/>
      <c r="D302" s="600"/>
      <c r="E302" s="614"/>
      <c r="F302" s="614"/>
      <c r="G302" s="614"/>
      <c r="H302" s="614"/>
      <c r="I302" s="614"/>
      <c r="J302" s="600"/>
      <c r="K302" s="600"/>
      <c r="L302" s="600"/>
      <c r="M302" s="343"/>
      <c r="N302" s="343"/>
    </row>
    <row r="303" spans="2:14">
      <c r="B303" s="584"/>
      <c r="C303" s="600"/>
      <c r="D303" s="600"/>
      <c r="E303" s="614"/>
      <c r="F303" s="614"/>
      <c r="G303" s="614"/>
      <c r="H303" s="614"/>
      <c r="I303" s="614"/>
      <c r="J303" s="600"/>
      <c r="K303" s="600"/>
      <c r="L303" s="600"/>
      <c r="M303" s="343"/>
      <c r="N303" s="343"/>
    </row>
    <row r="304" spans="2:14">
      <c r="B304" s="584"/>
      <c r="C304" s="600"/>
      <c r="D304" s="600"/>
      <c r="E304" s="614"/>
      <c r="F304" s="614"/>
      <c r="G304" s="614"/>
      <c r="H304" s="614"/>
      <c r="I304" s="614"/>
      <c r="J304" s="600"/>
      <c r="K304" s="600"/>
      <c r="L304" s="600"/>
      <c r="M304" s="343"/>
      <c r="N304" s="343"/>
    </row>
    <row r="305" spans="2:14">
      <c r="B305" s="584"/>
      <c r="C305" s="600"/>
      <c r="D305" s="600"/>
      <c r="E305" s="614"/>
      <c r="F305" s="614"/>
      <c r="G305" s="614"/>
      <c r="H305" s="614"/>
      <c r="I305" s="614"/>
      <c r="J305" s="600"/>
      <c r="K305" s="600"/>
      <c r="L305" s="600"/>
      <c r="M305" s="343"/>
      <c r="N305" s="343"/>
    </row>
    <row r="306" spans="2:14">
      <c r="B306" s="584"/>
      <c r="C306" s="600"/>
      <c r="D306" s="600"/>
      <c r="E306" s="614"/>
      <c r="F306" s="614"/>
      <c r="G306" s="614"/>
      <c r="H306" s="614"/>
      <c r="I306" s="614"/>
      <c r="J306" s="600"/>
      <c r="K306" s="600"/>
      <c r="L306" s="600"/>
      <c r="M306" s="343"/>
      <c r="N306" s="343"/>
    </row>
    <row r="307" spans="2:14">
      <c r="B307" s="584"/>
      <c r="C307" s="600"/>
      <c r="D307" s="600"/>
      <c r="E307" s="614"/>
      <c r="F307" s="614"/>
      <c r="G307" s="614"/>
      <c r="H307" s="614"/>
      <c r="I307" s="614"/>
      <c r="J307" s="600"/>
      <c r="K307" s="600"/>
      <c r="L307" s="600"/>
      <c r="M307" s="343"/>
      <c r="N307" s="343"/>
    </row>
    <row r="308" spans="2:14">
      <c r="B308" s="584"/>
      <c r="C308" s="600"/>
      <c r="D308" s="600"/>
      <c r="E308" s="614"/>
      <c r="F308" s="614"/>
      <c r="G308" s="614"/>
      <c r="H308" s="614"/>
      <c r="I308" s="614"/>
      <c r="J308" s="600"/>
      <c r="K308" s="600"/>
      <c r="L308" s="600"/>
      <c r="M308" s="343"/>
      <c r="N308" s="343"/>
    </row>
    <row r="309" spans="2:14">
      <c r="B309" s="584"/>
      <c r="C309" s="600"/>
      <c r="D309" s="600"/>
      <c r="E309" s="614"/>
      <c r="F309" s="614"/>
      <c r="G309" s="614"/>
      <c r="H309" s="614"/>
      <c r="I309" s="614"/>
      <c r="J309" s="600"/>
      <c r="K309" s="600"/>
      <c r="L309" s="600"/>
      <c r="M309" s="343"/>
      <c r="N309" s="343"/>
    </row>
    <row r="310" spans="2:14">
      <c r="B310" s="584"/>
      <c r="C310" s="600"/>
      <c r="D310" s="600"/>
      <c r="E310" s="614"/>
      <c r="F310" s="614"/>
      <c r="G310" s="614"/>
      <c r="H310" s="614"/>
      <c r="I310" s="614"/>
      <c r="J310" s="600"/>
      <c r="K310" s="600"/>
      <c r="L310" s="600"/>
      <c r="M310" s="343"/>
      <c r="N310" s="343"/>
    </row>
    <row r="311" spans="2:14">
      <c r="B311" s="584"/>
      <c r="C311" s="600"/>
      <c r="D311" s="600"/>
      <c r="E311" s="614"/>
      <c r="F311" s="614"/>
      <c r="G311" s="614"/>
      <c r="H311" s="614"/>
      <c r="I311" s="614"/>
      <c r="J311" s="600"/>
      <c r="K311" s="600"/>
      <c r="L311" s="600"/>
      <c r="M311" s="343"/>
      <c r="N311" s="343"/>
    </row>
    <row r="312" spans="2:14">
      <c r="B312" s="584"/>
      <c r="C312" s="600"/>
      <c r="D312" s="600"/>
      <c r="E312" s="614"/>
      <c r="F312" s="614"/>
      <c r="G312" s="614"/>
      <c r="H312" s="614"/>
      <c r="I312" s="614"/>
      <c r="J312" s="600"/>
      <c r="K312" s="600"/>
      <c r="L312" s="600"/>
      <c r="M312" s="343"/>
      <c r="N312" s="343"/>
    </row>
    <row r="313" spans="2:14">
      <c r="B313" s="584"/>
      <c r="C313" s="600"/>
      <c r="D313" s="600"/>
      <c r="E313" s="614"/>
      <c r="F313" s="614"/>
      <c r="G313" s="614"/>
      <c r="H313" s="614"/>
      <c r="I313" s="614"/>
      <c r="J313" s="600"/>
      <c r="K313" s="600"/>
      <c r="L313" s="600"/>
      <c r="M313" s="343"/>
      <c r="N313" s="343"/>
    </row>
    <row r="314" spans="2:14">
      <c r="B314" s="584"/>
      <c r="C314" s="600"/>
      <c r="D314" s="600"/>
      <c r="E314" s="614"/>
      <c r="F314" s="614"/>
      <c r="G314" s="614"/>
      <c r="H314" s="614"/>
      <c r="I314" s="614"/>
      <c r="J314" s="600"/>
      <c r="K314" s="600"/>
      <c r="L314" s="600"/>
      <c r="M314" s="343"/>
      <c r="N314" s="343"/>
    </row>
    <row r="315" spans="2:14">
      <c r="B315" s="584"/>
      <c r="C315" s="600"/>
      <c r="D315" s="600"/>
      <c r="E315" s="614"/>
      <c r="F315" s="614"/>
      <c r="G315" s="614"/>
      <c r="H315" s="614"/>
      <c r="I315" s="614"/>
      <c r="J315" s="600"/>
      <c r="K315" s="600"/>
      <c r="L315" s="600"/>
      <c r="M315" s="343"/>
      <c r="N315" s="343"/>
    </row>
    <row r="316" spans="2:14">
      <c r="B316" s="584"/>
      <c r="C316" s="600"/>
      <c r="D316" s="600"/>
      <c r="E316" s="614"/>
      <c r="F316" s="614"/>
      <c r="G316" s="614"/>
      <c r="H316" s="614"/>
      <c r="I316" s="614"/>
      <c r="J316" s="600"/>
      <c r="K316" s="600"/>
      <c r="L316" s="600"/>
      <c r="M316" s="343"/>
      <c r="N316" s="343"/>
    </row>
    <row r="317" spans="2:14">
      <c r="B317" s="584"/>
      <c r="C317" s="600"/>
      <c r="D317" s="600"/>
      <c r="E317" s="614"/>
      <c r="F317" s="614"/>
      <c r="G317" s="614"/>
      <c r="H317" s="614"/>
      <c r="I317" s="614"/>
      <c r="J317" s="600"/>
      <c r="K317" s="600"/>
      <c r="L317" s="600"/>
      <c r="M317" s="343"/>
      <c r="N317" s="343"/>
    </row>
    <row r="318" spans="2:14">
      <c r="B318" s="584"/>
      <c r="C318" s="600"/>
      <c r="D318" s="600"/>
      <c r="E318" s="614"/>
      <c r="F318" s="614"/>
      <c r="G318" s="614"/>
      <c r="H318" s="614"/>
      <c r="I318" s="614"/>
      <c r="J318" s="600"/>
      <c r="K318" s="600"/>
      <c r="L318" s="600"/>
      <c r="M318" s="343"/>
      <c r="N318" s="343"/>
    </row>
    <row r="319" spans="2:14">
      <c r="B319" s="584"/>
      <c r="C319" s="600"/>
      <c r="D319" s="600"/>
      <c r="E319" s="614"/>
      <c r="F319" s="614"/>
      <c r="G319" s="614"/>
      <c r="H319" s="614"/>
      <c r="I319" s="614"/>
      <c r="J319" s="600"/>
      <c r="K319" s="600"/>
      <c r="L319" s="600"/>
      <c r="M319" s="343"/>
      <c r="N319" s="343"/>
    </row>
    <row r="320" spans="2:14">
      <c r="B320" s="584"/>
      <c r="C320" s="600"/>
      <c r="D320" s="600"/>
      <c r="E320" s="614"/>
      <c r="F320" s="614"/>
      <c r="G320" s="614"/>
      <c r="H320" s="614"/>
      <c r="I320" s="614"/>
      <c r="J320" s="600"/>
      <c r="K320" s="600"/>
      <c r="L320" s="600"/>
      <c r="M320" s="343"/>
      <c r="N320" s="343"/>
    </row>
    <row r="321" spans="2:14">
      <c r="B321" s="584"/>
      <c r="C321" s="600"/>
      <c r="D321" s="600"/>
      <c r="E321" s="614"/>
      <c r="F321" s="614"/>
      <c r="G321" s="614"/>
      <c r="H321" s="614"/>
      <c r="I321" s="614"/>
      <c r="J321" s="600"/>
      <c r="K321" s="600"/>
      <c r="L321" s="600"/>
      <c r="M321" s="343"/>
      <c r="N321" s="343"/>
    </row>
    <row r="322" spans="2:14">
      <c r="B322" s="584"/>
      <c r="C322" s="600"/>
      <c r="D322" s="600"/>
      <c r="E322" s="614"/>
      <c r="F322" s="614"/>
      <c r="G322" s="614"/>
      <c r="H322" s="614"/>
      <c r="I322" s="614"/>
      <c r="J322" s="600"/>
      <c r="K322" s="600"/>
      <c r="L322" s="600"/>
      <c r="M322" s="343"/>
      <c r="N322" s="343"/>
    </row>
    <row r="323" spans="2:14">
      <c r="B323" s="584"/>
      <c r="C323" s="600"/>
      <c r="D323" s="600"/>
      <c r="E323" s="614"/>
      <c r="F323" s="614"/>
      <c r="G323" s="614"/>
      <c r="H323" s="614"/>
      <c r="I323" s="614"/>
      <c r="J323" s="600"/>
      <c r="K323" s="600"/>
      <c r="L323" s="600"/>
      <c r="M323" s="343"/>
      <c r="N323" s="343"/>
    </row>
    <row r="324" spans="2:14">
      <c r="B324" s="584"/>
      <c r="C324" s="600"/>
      <c r="D324" s="600"/>
      <c r="E324" s="614"/>
      <c r="F324" s="614"/>
      <c r="G324" s="614"/>
      <c r="H324" s="614"/>
      <c r="I324" s="614"/>
      <c r="J324" s="600"/>
      <c r="K324" s="600"/>
      <c r="L324" s="600"/>
      <c r="M324" s="343"/>
      <c r="N324" s="343"/>
    </row>
    <row r="325" spans="2:14">
      <c r="B325" s="584"/>
      <c r="C325" s="600"/>
      <c r="D325" s="600"/>
      <c r="E325" s="614"/>
      <c r="F325" s="614"/>
      <c r="G325" s="614"/>
      <c r="H325" s="614"/>
      <c r="I325" s="614"/>
      <c r="J325" s="600"/>
      <c r="K325" s="600"/>
      <c r="L325" s="600"/>
      <c r="M325" s="343"/>
      <c r="N325" s="343"/>
    </row>
    <row r="326" spans="2:14">
      <c r="B326" s="584"/>
      <c r="C326" s="600"/>
      <c r="D326" s="600"/>
      <c r="E326" s="614"/>
      <c r="F326" s="614"/>
      <c r="G326" s="614"/>
      <c r="H326" s="614"/>
      <c r="I326" s="614"/>
      <c r="J326" s="600"/>
      <c r="K326" s="600"/>
      <c r="L326" s="600"/>
      <c r="M326" s="343"/>
      <c r="N326" s="343"/>
    </row>
    <row r="327" spans="2:14">
      <c r="B327" s="584"/>
      <c r="C327" s="600"/>
      <c r="D327" s="600"/>
      <c r="E327" s="614"/>
      <c r="F327" s="614"/>
      <c r="G327" s="614"/>
      <c r="H327" s="614"/>
      <c r="I327" s="614"/>
      <c r="J327" s="600"/>
      <c r="K327" s="600"/>
      <c r="L327" s="600"/>
      <c r="M327" s="343"/>
      <c r="N327" s="343"/>
    </row>
    <row r="328" spans="2:14">
      <c r="B328" s="584"/>
      <c r="C328" s="600"/>
      <c r="D328" s="600"/>
      <c r="E328" s="614"/>
      <c r="F328" s="614"/>
      <c r="G328" s="614"/>
      <c r="H328" s="614"/>
      <c r="I328" s="614"/>
      <c r="J328" s="600"/>
      <c r="K328" s="600"/>
      <c r="L328" s="600"/>
      <c r="M328" s="343"/>
      <c r="N328" s="343"/>
    </row>
    <row r="329" spans="2:14">
      <c r="B329" s="584"/>
      <c r="C329" s="600"/>
      <c r="D329" s="600"/>
      <c r="E329" s="614"/>
      <c r="F329" s="614"/>
      <c r="G329" s="614"/>
      <c r="H329" s="614"/>
      <c r="I329" s="614"/>
      <c r="J329" s="600"/>
      <c r="K329" s="600"/>
      <c r="L329" s="600"/>
      <c r="M329" s="343"/>
      <c r="N329" s="343"/>
    </row>
    <row r="330" spans="2:14">
      <c r="B330" s="584"/>
      <c r="C330" s="600"/>
      <c r="D330" s="600"/>
      <c r="E330" s="614"/>
      <c r="F330" s="614"/>
      <c r="G330" s="614"/>
      <c r="H330" s="614"/>
      <c r="I330" s="614"/>
      <c r="J330" s="600"/>
      <c r="K330" s="600"/>
      <c r="L330" s="600"/>
      <c r="M330" s="343"/>
      <c r="N330" s="343"/>
    </row>
    <row r="331" spans="2:14">
      <c r="B331" s="584"/>
      <c r="C331" s="600"/>
      <c r="D331" s="600"/>
      <c r="E331" s="614"/>
      <c r="F331" s="614"/>
      <c r="G331" s="614"/>
      <c r="H331" s="614"/>
      <c r="I331" s="614"/>
      <c r="J331" s="600"/>
      <c r="K331" s="600"/>
      <c r="L331" s="600"/>
      <c r="M331" s="343"/>
      <c r="N331" s="343"/>
    </row>
    <row r="332" spans="2:14">
      <c r="B332" s="584"/>
      <c r="C332" s="600"/>
      <c r="D332" s="600"/>
      <c r="E332" s="614"/>
      <c r="F332" s="614"/>
      <c r="G332" s="614"/>
      <c r="H332" s="614"/>
      <c r="I332" s="614"/>
      <c r="J332" s="600"/>
      <c r="K332" s="600"/>
      <c r="L332" s="600"/>
      <c r="M332" s="343"/>
      <c r="N332" s="343"/>
    </row>
    <row r="333" spans="2:14">
      <c r="B333" s="584"/>
      <c r="C333" s="600"/>
      <c r="D333" s="600"/>
      <c r="E333" s="614"/>
      <c r="F333" s="614"/>
      <c r="G333" s="614"/>
      <c r="H333" s="614"/>
      <c r="I333" s="614"/>
      <c r="J333" s="600"/>
      <c r="K333" s="600"/>
      <c r="L333" s="600"/>
      <c r="M333" s="343"/>
      <c r="N333" s="343"/>
    </row>
    <row r="334" spans="2:14">
      <c r="B334" s="584"/>
      <c r="C334" s="600"/>
      <c r="D334" s="600"/>
      <c r="E334" s="614"/>
      <c r="F334" s="614"/>
      <c r="G334" s="614"/>
      <c r="H334" s="614"/>
      <c r="I334" s="614"/>
      <c r="J334" s="600"/>
      <c r="K334" s="600"/>
      <c r="L334" s="600"/>
      <c r="M334" s="343"/>
      <c r="N334" s="343"/>
    </row>
    <row r="335" spans="2:14">
      <c r="B335" s="584"/>
      <c r="C335" s="600"/>
      <c r="D335" s="600"/>
      <c r="E335" s="614"/>
      <c r="F335" s="614"/>
      <c r="G335" s="614"/>
      <c r="H335" s="614"/>
      <c r="I335" s="614"/>
      <c r="J335" s="600"/>
      <c r="K335" s="600"/>
      <c r="L335" s="600"/>
      <c r="M335" s="343"/>
      <c r="N335" s="343"/>
    </row>
    <row r="336" spans="2:14">
      <c r="B336" s="584"/>
      <c r="C336" s="600"/>
      <c r="D336" s="600"/>
      <c r="E336" s="614"/>
      <c r="F336" s="614"/>
      <c r="G336" s="614"/>
      <c r="H336" s="614"/>
      <c r="I336" s="614"/>
      <c r="J336" s="600"/>
      <c r="K336" s="600"/>
      <c r="L336" s="600"/>
      <c r="M336" s="343"/>
      <c r="N336" s="343"/>
    </row>
    <row r="337" spans="2:14">
      <c r="B337" s="584"/>
      <c r="C337" s="600"/>
      <c r="D337" s="600"/>
      <c r="E337" s="614"/>
      <c r="F337" s="614"/>
      <c r="G337" s="614"/>
      <c r="H337" s="614"/>
      <c r="I337" s="614"/>
      <c r="J337" s="600"/>
      <c r="K337" s="600"/>
      <c r="L337" s="600"/>
      <c r="M337" s="343"/>
      <c r="N337" s="343"/>
    </row>
    <row r="338" spans="2:14">
      <c r="B338" s="584"/>
      <c r="C338" s="600"/>
      <c r="D338" s="600"/>
      <c r="E338" s="614"/>
      <c r="F338" s="614"/>
      <c r="G338" s="614"/>
      <c r="H338" s="614"/>
      <c r="I338" s="614"/>
      <c r="J338" s="600"/>
      <c r="K338" s="600"/>
      <c r="L338" s="600"/>
      <c r="M338" s="343"/>
      <c r="N338" s="343"/>
    </row>
    <row r="339" spans="2:14">
      <c r="B339" s="584"/>
      <c r="C339" s="600"/>
      <c r="D339" s="600"/>
      <c r="E339" s="614"/>
      <c r="F339" s="614"/>
      <c r="G339" s="614"/>
      <c r="H339" s="614"/>
      <c r="I339" s="614"/>
      <c r="J339" s="600"/>
      <c r="K339" s="600"/>
      <c r="L339" s="600"/>
      <c r="M339" s="343"/>
      <c r="N339" s="343"/>
    </row>
    <row r="340" spans="2:14">
      <c r="B340" s="584"/>
      <c r="C340" s="600"/>
      <c r="D340" s="600"/>
      <c r="E340" s="614"/>
      <c r="F340" s="614"/>
      <c r="G340" s="614"/>
      <c r="H340" s="614"/>
      <c r="I340" s="614"/>
      <c r="J340" s="600"/>
      <c r="K340" s="600"/>
      <c r="L340" s="600"/>
      <c r="M340" s="343"/>
      <c r="N340" s="343"/>
    </row>
    <row r="341" spans="2:14">
      <c r="B341" s="584"/>
      <c r="C341" s="600"/>
      <c r="D341" s="600"/>
      <c r="E341" s="614"/>
      <c r="F341" s="614"/>
      <c r="G341" s="614"/>
      <c r="H341" s="614"/>
      <c r="I341" s="614"/>
      <c r="J341" s="600"/>
      <c r="K341" s="600"/>
      <c r="L341" s="600"/>
      <c r="M341" s="343"/>
      <c r="N341" s="343"/>
    </row>
    <row r="342" spans="2:14">
      <c r="B342" s="584"/>
      <c r="C342" s="600"/>
      <c r="D342" s="600"/>
      <c r="E342" s="614"/>
      <c r="F342" s="614"/>
      <c r="G342" s="614"/>
      <c r="H342" s="614"/>
      <c r="I342" s="614"/>
      <c r="J342" s="600"/>
      <c r="K342" s="600"/>
      <c r="L342" s="600"/>
      <c r="M342" s="343"/>
      <c r="N342" s="343"/>
    </row>
    <row r="343" spans="2:14">
      <c r="B343" s="584"/>
      <c r="C343" s="600"/>
      <c r="D343" s="600"/>
      <c r="E343" s="614"/>
      <c r="F343" s="614"/>
      <c r="G343" s="614"/>
      <c r="H343" s="614"/>
      <c r="I343" s="614"/>
      <c r="J343" s="600"/>
      <c r="K343" s="600"/>
      <c r="L343" s="600"/>
      <c r="M343" s="343"/>
      <c r="N343" s="343"/>
    </row>
    <row r="344" spans="2:14">
      <c r="B344" s="584"/>
      <c r="C344" s="600"/>
      <c r="D344" s="600"/>
      <c r="E344" s="614"/>
      <c r="F344" s="614"/>
      <c r="G344" s="614"/>
      <c r="H344" s="614"/>
      <c r="I344" s="614"/>
      <c r="J344" s="600"/>
      <c r="K344" s="600"/>
      <c r="L344" s="600"/>
      <c r="M344" s="343"/>
      <c r="N344" s="343"/>
    </row>
    <row r="345" spans="2:14">
      <c r="B345" s="584"/>
      <c r="C345" s="600"/>
      <c r="D345" s="600"/>
      <c r="E345" s="614"/>
      <c r="F345" s="614"/>
      <c r="G345" s="614"/>
      <c r="H345" s="614"/>
      <c r="I345" s="614"/>
      <c r="J345" s="600"/>
      <c r="K345" s="600"/>
      <c r="L345" s="600"/>
      <c r="M345" s="343"/>
      <c r="N345" s="343"/>
    </row>
    <row r="346" spans="2:14">
      <c r="B346" s="584"/>
      <c r="C346" s="600"/>
      <c r="D346" s="600"/>
      <c r="E346" s="614"/>
      <c r="F346" s="614"/>
      <c r="G346" s="614"/>
      <c r="H346" s="614"/>
      <c r="I346" s="614"/>
      <c r="J346" s="600"/>
      <c r="K346" s="600"/>
      <c r="L346" s="600"/>
      <c r="M346" s="343"/>
      <c r="N346" s="343"/>
    </row>
    <row r="347" spans="2:14">
      <c r="B347" s="584"/>
      <c r="C347" s="600"/>
      <c r="D347" s="600"/>
      <c r="E347" s="614"/>
      <c r="F347" s="614"/>
      <c r="G347" s="614"/>
      <c r="H347" s="614"/>
      <c r="I347" s="614"/>
      <c r="J347" s="600"/>
      <c r="K347" s="600"/>
      <c r="L347" s="600"/>
      <c r="M347" s="343"/>
      <c r="N347" s="343"/>
    </row>
    <row r="348" spans="2:14">
      <c r="B348" s="584"/>
      <c r="C348" s="600"/>
      <c r="D348" s="600"/>
      <c r="E348" s="614"/>
      <c r="F348" s="614"/>
      <c r="G348" s="614"/>
      <c r="H348" s="614"/>
      <c r="I348" s="614"/>
      <c r="J348" s="600"/>
      <c r="K348" s="600"/>
      <c r="L348" s="600"/>
      <c r="M348" s="343"/>
      <c r="N348" s="343"/>
    </row>
    <row r="349" spans="2:14">
      <c r="B349" s="584"/>
      <c r="C349" s="600"/>
      <c r="D349" s="600"/>
      <c r="E349" s="614"/>
      <c r="F349" s="614"/>
      <c r="G349" s="614"/>
      <c r="H349" s="614"/>
      <c r="I349" s="614"/>
      <c r="J349" s="600"/>
      <c r="K349" s="600"/>
      <c r="L349" s="600"/>
      <c r="M349" s="343"/>
      <c r="N349" s="343"/>
    </row>
    <row r="350" spans="2:14">
      <c r="B350" s="584"/>
      <c r="C350" s="600"/>
      <c r="D350" s="600"/>
      <c r="E350" s="614"/>
      <c r="F350" s="614"/>
      <c r="G350" s="614"/>
      <c r="H350" s="614"/>
      <c r="I350" s="614"/>
      <c r="J350" s="600"/>
      <c r="K350" s="600"/>
      <c r="L350" s="600"/>
      <c r="M350" s="343"/>
      <c r="N350" s="343"/>
    </row>
    <row r="351" spans="2:14">
      <c r="B351" s="584"/>
      <c r="C351" s="600"/>
      <c r="D351" s="600"/>
      <c r="E351" s="614"/>
      <c r="F351" s="614"/>
      <c r="G351" s="614"/>
      <c r="H351" s="614"/>
      <c r="I351" s="614"/>
      <c r="J351" s="600"/>
      <c r="K351" s="600"/>
      <c r="L351" s="600"/>
      <c r="M351" s="343"/>
      <c r="N351" s="343"/>
    </row>
    <row r="352" spans="2:14">
      <c r="B352" s="584"/>
      <c r="C352" s="600"/>
      <c r="D352" s="600"/>
      <c r="E352" s="614"/>
      <c r="F352" s="614"/>
      <c r="G352" s="614"/>
      <c r="H352" s="614"/>
      <c r="I352" s="614"/>
      <c r="J352" s="600"/>
      <c r="K352" s="600"/>
      <c r="L352" s="600"/>
      <c r="M352" s="343"/>
      <c r="N352" s="343"/>
    </row>
    <row r="353" spans="2:14">
      <c r="B353" s="584"/>
      <c r="C353" s="600"/>
      <c r="D353" s="600"/>
      <c r="E353" s="614"/>
      <c r="F353" s="614"/>
      <c r="G353" s="614"/>
      <c r="H353" s="614"/>
      <c r="I353" s="614"/>
      <c r="J353" s="600"/>
      <c r="K353" s="600"/>
      <c r="L353" s="600"/>
      <c r="M353" s="343"/>
      <c r="N353" s="343"/>
    </row>
    <row r="354" spans="2:14">
      <c r="B354" s="584"/>
      <c r="C354" s="600"/>
      <c r="D354" s="600"/>
      <c r="E354" s="614"/>
      <c r="F354" s="614"/>
      <c r="G354" s="614"/>
      <c r="H354" s="614"/>
      <c r="I354" s="614"/>
      <c r="J354" s="600"/>
      <c r="K354" s="600"/>
      <c r="L354" s="600"/>
      <c r="M354" s="343"/>
      <c r="N354" s="343"/>
    </row>
    <row r="355" spans="2:14">
      <c r="B355" s="584"/>
      <c r="C355" s="600"/>
      <c r="D355" s="600"/>
      <c r="E355" s="614"/>
      <c r="F355" s="614"/>
      <c r="G355" s="614"/>
      <c r="H355" s="614"/>
      <c r="I355" s="614"/>
      <c r="J355" s="600"/>
      <c r="K355" s="600"/>
      <c r="L355" s="600"/>
      <c r="M355" s="343"/>
      <c r="N355" s="343"/>
    </row>
    <row r="356" spans="2:14">
      <c r="B356" s="584"/>
      <c r="C356" s="600"/>
      <c r="D356" s="600"/>
      <c r="E356" s="614"/>
      <c r="F356" s="614"/>
      <c r="G356" s="614"/>
      <c r="H356" s="614"/>
      <c r="I356" s="614"/>
      <c r="J356" s="600"/>
      <c r="K356" s="600"/>
      <c r="L356" s="600"/>
      <c r="M356" s="343"/>
      <c r="N356" s="343"/>
    </row>
    <row r="357" spans="2:14">
      <c r="B357" s="584"/>
      <c r="C357" s="600"/>
      <c r="D357" s="600"/>
      <c r="E357" s="614"/>
      <c r="F357" s="614"/>
      <c r="G357" s="614"/>
      <c r="H357" s="614"/>
      <c r="I357" s="614"/>
      <c r="J357" s="600"/>
      <c r="K357" s="600"/>
      <c r="L357" s="600"/>
      <c r="M357" s="343"/>
      <c r="N357" s="343"/>
    </row>
    <row r="358" spans="2:14">
      <c r="B358" s="584"/>
      <c r="C358" s="600"/>
      <c r="D358" s="600"/>
      <c r="E358" s="614"/>
      <c r="F358" s="614"/>
      <c r="G358" s="614"/>
      <c r="H358" s="614"/>
      <c r="I358" s="614"/>
      <c r="J358" s="600"/>
      <c r="K358" s="600"/>
      <c r="L358" s="600"/>
      <c r="M358" s="343"/>
      <c r="N358" s="343"/>
    </row>
    <row r="359" spans="2:14">
      <c r="B359" s="584"/>
      <c r="C359" s="600"/>
      <c r="D359" s="600"/>
      <c r="E359" s="614"/>
      <c r="F359" s="614"/>
      <c r="G359" s="614"/>
      <c r="H359" s="614"/>
      <c r="I359" s="614"/>
      <c r="J359" s="600"/>
      <c r="K359" s="600"/>
      <c r="L359" s="600"/>
      <c r="M359" s="343"/>
      <c r="N359" s="343"/>
    </row>
    <row r="360" spans="2:14">
      <c r="B360" s="584"/>
      <c r="C360" s="600"/>
      <c r="D360" s="600"/>
      <c r="E360" s="614"/>
      <c r="F360" s="614"/>
      <c r="G360" s="614"/>
      <c r="H360" s="614"/>
      <c r="I360" s="614"/>
      <c r="J360" s="600"/>
      <c r="K360" s="600"/>
      <c r="L360" s="600"/>
      <c r="M360" s="343"/>
      <c r="N360" s="343"/>
    </row>
    <row r="361" spans="2:14">
      <c r="B361" s="584"/>
      <c r="C361" s="600"/>
      <c r="D361" s="600"/>
      <c r="E361" s="614"/>
      <c r="F361" s="614"/>
      <c r="G361" s="614"/>
      <c r="H361" s="614"/>
      <c r="I361" s="614"/>
      <c r="J361" s="600"/>
      <c r="K361" s="600"/>
      <c r="L361" s="600"/>
      <c r="M361" s="343"/>
      <c r="N361" s="343"/>
    </row>
    <row r="362" spans="2:14">
      <c r="B362" s="584"/>
      <c r="C362" s="600"/>
      <c r="D362" s="600"/>
      <c r="E362" s="614"/>
      <c r="F362" s="614"/>
      <c r="G362" s="614"/>
      <c r="H362" s="614"/>
      <c r="I362" s="614"/>
      <c r="J362" s="600"/>
      <c r="K362" s="600"/>
      <c r="L362" s="600"/>
      <c r="M362" s="343"/>
      <c r="N362" s="343"/>
    </row>
    <row r="363" spans="2:14">
      <c r="B363" s="584"/>
      <c r="C363" s="600"/>
      <c r="D363" s="600"/>
      <c r="E363" s="614"/>
      <c r="F363" s="614"/>
      <c r="G363" s="614"/>
      <c r="H363" s="614"/>
      <c r="I363" s="614"/>
      <c r="J363" s="600"/>
      <c r="K363" s="600"/>
      <c r="L363" s="600"/>
      <c r="M363" s="343"/>
      <c r="N363" s="343"/>
    </row>
    <row r="364" spans="2:14">
      <c r="B364" s="584"/>
      <c r="C364" s="600"/>
      <c r="D364" s="600"/>
      <c r="E364" s="614"/>
      <c r="F364" s="614"/>
      <c r="G364" s="614"/>
      <c r="H364" s="614"/>
      <c r="I364" s="614"/>
      <c r="J364" s="600"/>
      <c r="K364" s="600"/>
      <c r="L364" s="600"/>
      <c r="M364" s="343"/>
      <c r="N364" s="343"/>
    </row>
    <row r="365" spans="2:14">
      <c r="B365" s="584"/>
      <c r="C365" s="600"/>
      <c r="D365" s="600"/>
      <c r="E365" s="614"/>
      <c r="F365" s="614"/>
      <c r="G365" s="614"/>
      <c r="H365" s="614"/>
      <c r="I365" s="614"/>
      <c r="J365" s="600"/>
      <c r="K365" s="600"/>
      <c r="L365" s="600"/>
      <c r="M365" s="343"/>
      <c r="N365" s="343"/>
    </row>
    <row r="366" spans="2:14">
      <c r="B366" s="584"/>
      <c r="C366" s="600"/>
      <c r="D366" s="600"/>
      <c r="E366" s="614"/>
      <c r="F366" s="614"/>
      <c r="G366" s="614"/>
      <c r="H366" s="614"/>
      <c r="I366" s="614"/>
      <c r="J366" s="600"/>
      <c r="K366" s="600"/>
      <c r="L366" s="600"/>
      <c r="M366" s="343"/>
      <c r="N366" s="343"/>
    </row>
    <row r="367" spans="2:14">
      <c r="B367" s="584"/>
      <c r="C367" s="600"/>
      <c r="D367" s="600"/>
      <c r="E367" s="614"/>
      <c r="F367" s="614"/>
      <c r="G367" s="614"/>
      <c r="H367" s="614"/>
      <c r="I367" s="614"/>
      <c r="J367" s="600"/>
      <c r="K367" s="600"/>
      <c r="L367" s="600"/>
      <c r="M367" s="343"/>
      <c r="N367" s="343"/>
    </row>
    <row r="368" spans="2:14">
      <c r="B368" s="584"/>
      <c r="C368" s="600"/>
      <c r="D368" s="600"/>
      <c r="E368" s="614"/>
      <c r="F368" s="614"/>
      <c r="G368" s="614"/>
      <c r="H368" s="614"/>
      <c r="I368" s="614"/>
      <c r="J368" s="600"/>
      <c r="K368" s="600"/>
      <c r="L368" s="600"/>
      <c r="M368" s="343"/>
      <c r="N368" s="343"/>
    </row>
    <row r="369" spans="2:14">
      <c r="B369" s="584"/>
      <c r="C369" s="600"/>
      <c r="D369" s="600"/>
      <c r="E369" s="614"/>
      <c r="F369" s="614"/>
      <c r="G369" s="614"/>
      <c r="H369" s="614"/>
      <c r="I369" s="614"/>
      <c r="J369" s="600"/>
      <c r="K369" s="600"/>
      <c r="L369" s="600"/>
      <c r="M369" s="343"/>
      <c r="N369" s="343"/>
    </row>
    <row r="370" spans="2:14">
      <c r="B370" s="584"/>
      <c r="C370" s="600"/>
      <c r="D370" s="600"/>
      <c r="E370" s="614"/>
      <c r="F370" s="614"/>
      <c r="G370" s="614"/>
      <c r="H370" s="614"/>
      <c r="I370" s="614"/>
      <c r="J370" s="600"/>
      <c r="K370" s="600"/>
      <c r="L370" s="600"/>
      <c r="M370" s="343"/>
      <c r="N370" s="343"/>
    </row>
    <row r="371" spans="2:14">
      <c r="B371" s="584"/>
      <c r="C371" s="600"/>
      <c r="D371" s="600"/>
      <c r="E371" s="614"/>
      <c r="F371" s="614"/>
      <c r="G371" s="614"/>
      <c r="H371" s="614"/>
      <c r="I371" s="614"/>
      <c r="J371" s="600"/>
      <c r="K371" s="600"/>
      <c r="L371" s="600"/>
      <c r="M371" s="343"/>
      <c r="N371" s="343"/>
    </row>
    <row r="372" spans="2:14">
      <c r="B372" s="584"/>
      <c r="C372" s="600"/>
      <c r="D372" s="600"/>
      <c r="E372" s="614"/>
      <c r="F372" s="614"/>
      <c r="G372" s="614"/>
      <c r="H372" s="614"/>
      <c r="I372" s="614"/>
      <c r="J372" s="600"/>
      <c r="K372" s="600"/>
      <c r="L372" s="600"/>
      <c r="M372" s="343"/>
      <c r="N372" s="343"/>
    </row>
    <row r="373" spans="2:14">
      <c r="B373" s="584"/>
      <c r="C373" s="600"/>
      <c r="D373" s="600"/>
      <c r="E373" s="614"/>
      <c r="F373" s="614"/>
      <c r="G373" s="614"/>
      <c r="H373" s="614"/>
      <c r="I373" s="614"/>
      <c r="J373" s="600"/>
      <c r="K373" s="600"/>
      <c r="L373" s="600"/>
      <c r="M373" s="343"/>
      <c r="N373" s="343"/>
    </row>
    <row r="374" spans="2:14">
      <c r="B374" s="584"/>
      <c r="C374" s="600"/>
      <c r="D374" s="600"/>
      <c r="E374" s="614"/>
      <c r="F374" s="614"/>
      <c r="G374" s="614"/>
      <c r="H374" s="614"/>
      <c r="I374" s="614"/>
      <c r="J374" s="600"/>
      <c r="K374" s="600"/>
      <c r="L374" s="600"/>
      <c r="M374" s="343"/>
      <c r="N374" s="343"/>
    </row>
    <row r="375" spans="2:14">
      <c r="B375" s="584"/>
      <c r="C375" s="600"/>
      <c r="D375" s="600"/>
      <c r="E375" s="614"/>
      <c r="F375" s="614"/>
      <c r="G375" s="614"/>
      <c r="H375" s="614"/>
      <c r="I375" s="614"/>
      <c r="J375" s="600"/>
      <c r="K375" s="600"/>
      <c r="L375" s="600"/>
      <c r="M375" s="343"/>
      <c r="N375" s="343"/>
    </row>
    <row r="376" spans="2:14">
      <c r="B376" s="584"/>
      <c r="C376" s="600"/>
      <c r="D376" s="600"/>
      <c r="E376" s="614"/>
      <c r="F376" s="614"/>
      <c r="G376" s="614"/>
      <c r="H376" s="614"/>
      <c r="I376" s="614"/>
      <c r="J376" s="600"/>
      <c r="K376" s="600"/>
      <c r="L376" s="600"/>
      <c r="M376" s="343"/>
      <c r="N376" s="343"/>
    </row>
    <row r="377" spans="2:14">
      <c r="B377" s="584"/>
      <c r="C377" s="600"/>
      <c r="D377" s="600"/>
      <c r="E377" s="614"/>
      <c r="F377" s="614"/>
      <c r="G377" s="614"/>
      <c r="H377" s="614"/>
      <c r="I377" s="614"/>
      <c r="J377" s="600"/>
      <c r="K377" s="600"/>
      <c r="L377" s="600"/>
      <c r="M377" s="343"/>
      <c r="N377" s="343"/>
    </row>
    <row r="378" spans="2:14">
      <c r="B378" s="584"/>
      <c r="C378" s="600"/>
      <c r="D378" s="600"/>
      <c r="E378" s="614"/>
      <c r="F378" s="614"/>
      <c r="G378" s="614"/>
      <c r="H378" s="614"/>
      <c r="I378" s="614"/>
      <c r="J378" s="600"/>
      <c r="K378" s="600"/>
      <c r="L378" s="600"/>
      <c r="M378" s="343"/>
      <c r="N378" s="343"/>
    </row>
    <row r="379" spans="2:14">
      <c r="B379" s="584"/>
      <c r="C379" s="600"/>
      <c r="D379" s="600"/>
      <c r="E379" s="614"/>
      <c r="F379" s="614"/>
      <c r="G379" s="614"/>
      <c r="H379" s="614"/>
      <c r="I379" s="614"/>
      <c r="J379" s="600"/>
      <c r="K379" s="600"/>
      <c r="L379" s="600"/>
      <c r="M379" s="343"/>
      <c r="N379" s="343"/>
    </row>
    <row r="380" spans="2:14">
      <c r="B380" s="584"/>
      <c r="C380" s="600"/>
      <c r="D380" s="600"/>
      <c r="E380" s="614"/>
      <c r="F380" s="614"/>
      <c r="G380" s="614"/>
      <c r="H380" s="614"/>
      <c r="I380" s="614"/>
      <c r="J380" s="600"/>
      <c r="K380" s="600"/>
      <c r="L380" s="600"/>
      <c r="M380" s="343"/>
      <c r="N380" s="343"/>
    </row>
    <row r="381" spans="2:14">
      <c r="B381" s="584"/>
      <c r="C381" s="600"/>
      <c r="D381" s="600"/>
      <c r="E381" s="614"/>
      <c r="F381" s="614"/>
      <c r="G381" s="614"/>
      <c r="H381" s="614"/>
      <c r="I381" s="614"/>
      <c r="J381" s="600"/>
      <c r="K381" s="600"/>
      <c r="L381" s="600"/>
      <c r="M381" s="343"/>
      <c r="N381" s="343"/>
    </row>
    <row r="382" spans="2:14">
      <c r="B382" s="584"/>
      <c r="C382" s="600"/>
      <c r="D382" s="600"/>
      <c r="E382" s="614"/>
      <c r="F382" s="614"/>
      <c r="G382" s="614"/>
      <c r="H382" s="614"/>
      <c r="I382" s="614"/>
      <c r="J382" s="600"/>
      <c r="K382" s="600"/>
      <c r="L382" s="600"/>
      <c r="M382" s="343"/>
      <c r="N382" s="343"/>
    </row>
    <row r="383" spans="2:14">
      <c r="B383" s="584"/>
      <c r="C383" s="600"/>
      <c r="D383" s="600"/>
      <c r="E383" s="614"/>
      <c r="F383" s="614"/>
      <c r="G383" s="614"/>
      <c r="H383" s="614"/>
      <c r="I383" s="614"/>
      <c r="J383" s="600"/>
      <c r="K383" s="600"/>
      <c r="L383" s="600"/>
      <c r="M383" s="343"/>
      <c r="N383" s="343"/>
    </row>
    <row r="384" spans="2:14">
      <c r="B384" s="584"/>
      <c r="C384" s="600"/>
      <c r="D384" s="600"/>
      <c r="E384" s="614"/>
      <c r="F384" s="614"/>
      <c r="G384" s="614"/>
      <c r="H384" s="614"/>
      <c r="I384" s="614"/>
      <c r="J384" s="600"/>
      <c r="K384" s="600"/>
      <c r="L384" s="600"/>
      <c r="M384" s="343"/>
      <c r="N384" s="343"/>
    </row>
    <row r="385" spans="2:14">
      <c r="B385" s="584"/>
      <c r="C385" s="600"/>
      <c r="D385" s="600"/>
      <c r="E385" s="614"/>
      <c r="F385" s="614"/>
      <c r="G385" s="614"/>
      <c r="H385" s="614"/>
      <c r="I385" s="614"/>
      <c r="J385" s="600"/>
      <c r="K385" s="600"/>
      <c r="L385" s="600"/>
      <c r="M385" s="343"/>
      <c r="N385" s="343"/>
    </row>
    <row r="386" spans="2:14">
      <c r="B386" s="584"/>
      <c r="C386" s="600"/>
      <c r="D386" s="600"/>
      <c r="E386" s="614"/>
      <c r="F386" s="614"/>
      <c r="G386" s="614"/>
      <c r="H386" s="614"/>
      <c r="I386" s="614"/>
      <c r="J386" s="600"/>
      <c r="K386" s="600"/>
      <c r="L386" s="600"/>
      <c r="M386" s="343"/>
      <c r="N386" s="343"/>
    </row>
    <row r="387" spans="2:14">
      <c r="B387" s="584"/>
      <c r="C387" s="600"/>
      <c r="D387" s="600"/>
      <c r="E387" s="614"/>
      <c r="F387" s="614"/>
      <c r="G387" s="614"/>
      <c r="H387" s="614"/>
      <c r="I387" s="614"/>
      <c r="J387" s="600"/>
      <c r="K387" s="600"/>
      <c r="L387" s="600"/>
      <c r="M387" s="343"/>
      <c r="N387" s="343"/>
    </row>
    <row r="388" spans="2:14">
      <c r="B388" s="584"/>
      <c r="C388" s="600"/>
      <c r="D388" s="600"/>
      <c r="E388" s="614"/>
      <c r="F388" s="614"/>
      <c r="G388" s="614"/>
      <c r="H388" s="614"/>
      <c r="I388" s="614"/>
      <c r="J388" s="600"/>
      <c r="K388" s="600"/>
      <c r="L388" s="600"/>
      <c r="M388" s="343"/>
      <c r="N388" s="343"/>
    </row>
    <row r="389" spans="2:14">
      <c r="B389" s="584"/>
      <c r="C389" s="600"/>
      <c r="D389" s="600"/>
      <c r="E389" s="614"/>
      <c r="F389" s="614"/>
      <c r="G389" s="614"/>
      <c r="H389" s="614"/>
      <c r="I389" s="614"/>
      <c r="J389" s="600"/>
      <c r="K389" s="600"/>
      <c r="L389" s="600"/>
      <c r="M389" s="343"/>
      <c r="N389" s="343"/>
    </row>
    <row r="390" spans="2:14">
      <c r="B390" s="584"/>
      <c r="C390" s="600"/>
      <c r="D390" s="600"/>
      <c r="E390" s="614"/>
      <c r="F390" s="614"/>
      <c r="G390" s="614"/>
      <c r="H390" s="614"/>
      <c r="I390" s="614"/>
      <c r="J390" s="600"/>
      <c r="K390" s="600"/>
      <c r="L390" s="600"/>
      <c r="M390" s="343"/>
      <c r="N390" s="343"/>
    </row>
    <row r="391" spans="2:14">
      <c r="B391" s="584"/>
      <c r="C391" s="600"/>
      <c r="D391" s="600"/>
      <c r="E391" s="614"/>
      <c r="F391" s="614"/>
      <c r="G391" s="614"/>
      <c r="H391" s="614"/>
      <c r="I391" s="614"/>
      <c r="J391" s="600"/>
      <c r="K391" s="600"/>
      <c r="L391" s="600"/>
      <c r="M391" s="343"/>
      <c r="N391" s="343"/>
    </row>
    <row r="392" spans="2:14">
      <c r="B392" s="584"/>
      <c r="C392" s="600"/>
      <c r="D392" s="600"/>
      <c r="E392" s="614"/>
      <c r="F392" s="614"/>
      <c r="G392" s="614"/>
      <c r="H392" s="614"/>
      <c r="I392" s="614"/>
      <c r="J392" s="600"/>
      <c r="K392" s="600"/>
      <c r="L392" s="600"/>
      <c r="M392" s="343"/>
      <c r="N392" s="343"/>
    </row>
    <row r="393" spans="2:14">
      <c r="B393" s="584"/>
      <c r="C393" s="600"/>
      <c r="D393" s="600"/>
      <c r="E393" s="614"/>
      <c r="F393" s="614"/>
      <c r="G393" s="614"/>
      <c r="H393" s="614"/>
      <c r="I393" s="614"/>
      <c r="J393" s="600"/>
      <c r="K393" s="600"/>
      <c r="L393" s="600"/>
      <c r="M393" s="343"/>
      <c r="N393" s="343"/>
    </row>
    <row r="394" spans="2:14">
      <c r="B394" s="584"/>
      <c r="C394" s="600"/>
      <c r="D394" s="600"/>
      <c r="E394" s="614"/>
      <c r="F394" s="614"/>
      <c r="G394" s="614"/>
      <c r="H394" s="614"/>
      <c r="I394" s="614"/>
      <c r="J394" s="600"/>
      <c r="K394" s="600"/>
      <c r="L394" s="600"/>
      <c r="M394" s="343"/>
      <c r="N394" s="343"/>
    </row>
    <row r="395" spans="2:14">
      <c r="B395" s="584"/>
      <c r="C395" s="600"/>
      <c r="D395" s="600"/>
      <c r="E395" s="614"/>
      <c r="F395" s="614"/>
      <c r="G395" s="614"/>
      <c r="H395" s="614"/>
      <c r="I395" s="614"/>
      <c r="J395" s="600"/>
      <c r="K395" s="600"/>
      <c r="L395" s="600"/>
      <c r="M395" s="343"/>
      <c r="N395" s="343"/>
    </row>
    <row r="396" spans="2:14">
      <c r="B396" s="584"/>
      <c r="C396" s="600"/>
      <c r="D396" s="600"/>
      <c r="E396" s="614"/>
      <c r="F396" s="614"/>
      <c r="G396" s="614"/>
      <c r="H396" s="614"/>
      <c r="I396" s="614"/>
      <c r="J396" s="600"/>
      <c r="K396" s="600"/>
      <c r="L396" s="600"/>
      <c r="M396" s="343"/>
      <c r="N396" s="343"/>
    </row>
    <row r="397" spans="2:14">
      <c r="B397" s="584"/>
      <c r="C397" s="600"/>
      <c r="D397" s="600"/>
      <c r="E397" s="614"/>
      <c r="F397" s="614"/>
      <c r="G397" s="614"/>
      <c r="H397" s="614"/>
      <c r="I397" s="614"/>
      <c r="J397" s="600"/>
      <c r="K397" s="600"/>
      <c r="L397" s="600"/>
      <c r="M397" s="343"/>
      <c r="N397" s="343"/>
    </row>
    <row r="398" spans="2:14">
      <c r="B398" s="584"/>
      <c r="C398" s="600"/>
      <c r="D398" s="600"/>
      <c r="E398" s="614"/>
      <c r="F398" s="614"/>
      <c r="G398" s="614"/>
      <c r="H398" s="614"/>
      <c r="I398" s="614"/>
      <c r="J398" s="600"/>
      <c r="K398" s="600"/>
      <c r="L398" s="600"/>
      <c r="M398" s="343"/>
      <c r="N398" s="343"/>
    </row>
    <row r="399" spans="2:14">
      <c r="B399" s="584"/>
      <c r="C399" s="600"/>
      <c r="D399" s="600"/>
      <c r="E399" s="614"/>
      <c r="F399" s="614"/>
      <c r="G399" s="614"/>
      <c r="H399" s="614"/>
      <c r="I399" s="614"/>
      <c r="J399" s="600"/>
      <c r="K399" s="600"/>
      <c r="L399" s="600"/>
      <c r="M399" s="343"/>
      <c r="N399" s="343"/>
    </row>
    <row r="400" spans="2:14">
      <c r="B400" s="584"/>
      <c r="C400" s="600"/>
      <c r="D400" s="600"/>
      <c r="E400" s="614"/>
      <c r="F400" s="614"/>
      <c r="G400" s="614"/>
      <c r="H400" s="614"/>
      <c r="I400" s="614"/>
      <c r="J400" s="600"/>
      <c r="K400" s="600"/>
      <c r="L400" s="600"/>
      <c r="M400" s="343"/>
      <c r="N400" s="343"/>
    </row>
    <row r="401" spans="2:14">
      <c r="B401" s="584"/>
      <c r="C401" s="600"/>
      <c r="D401" s="600"/>
      <c r="E401" s="614"/>
      <c r="F401" s="614"/>
      <c r="G401" s="614"/>
      <c r="H401" s="614"/>
      <c r="I401" s="614"/>
      <c r="J401" s="600"/>
      <c r="K401" s="600"/>
      <c r="L401" s="600"/>
      <c r="M401" s="343"/>
      <c r="N401" s="343"/>
    </row>
    <row r="402" spans="2:14">
      <c r="B402" s="584"/>
      <c r="C402" s="600"/>
      <c r="D402" s="600"/>
      <c r="E402" s="614"/>
      <c r="F402" s="614"/>
      <c r="G402" s="614"/>
      <c r="H402" s="614"/>
      <c r="I402" s="614"/>
      <c r="J402" s="600"/>
      <c r="K402" s="600"/>
      <c r="L402" s="600"/>
      <c r="M402" s="343"/>
      <c r="N402" s="343"/>
    </row>
    <row r="403" spans="2:14">
      <c r="B403" s="584"/>
      <c r="C403" s="600"/>
      <c r="D403" s="600"/>
      <c r="E403" s="614"/>
      <c r="F403" s="614"/>
      <c r="G403" s="614"/>
      <c r="H403" s="614"/>
      <c r="I403" s="614"/>
      <c r="J403" s="600"/>
      <c r="K403" s="600"/>
      <c r="L403" s="600"/>
      <c r="M403" s="343"/>
      <c r="N403" s="343"/>
    </row>
    <row r="404" spans="2:14">
      <c r="B404" s="584"/>
      <c r="C404" s="600"/>
      <c r="D404" s="600"/>
      <c r="E404" s="614"/>
      <c r="F404" s="614"/>
      <c r="G404" s="614"/>
      <c r="H404" s="614"/>
      <c r="I404" s="614"/>
      <c r="J404" s="600"/>
      <c r="K404" s="600"/>
      <c r="L404" s="600"/>
      <c r="M404" s="343"/>
      <c r="N404" s="343"/>
    </row>
    <row r="405" spans="2:14">
      <c r="B405" s="584"/>
      <c r="C405" s="600"/>
      <c r="D405" s="600"/>
      <c r="E405" s="614"/>
      <c r="F405" s="614"/>
      <c r="G405" s="614"/>
      <c r="H405" s="614"/>
      <c r="I405" s="614"/>
      <c r="J405" s="600"/>
      <c r="K405" s="600"/>
      <c r="L405" s="600"/>
      <c r="M405" s="343"/>
      <c r="N405" s="343"/>
    </row>
    <row r="406" spans="2:14">
      <c r="B406" s="584"/>
      <c r="C406" s="600"/>
      <c r="D406" s="600"/>
      <c r="E406" s="614"/>
      <c r="F406" s="614"/>
      <c r="G406" s="614"/>
      <c r="H406" s="614"/>
      <c r="I406" s="614"/>
      <c r="J406" s="600"/>
      <c r="K406" s="600"/>
      <c r="L406" s="600"/>
      <c r="M406" s="343"/>
      <c r="N406" s="343"/>
    </row>
    <row r="407" spans="2:14">
      <c r="B407" s="584"/>
      <c r="C407" s="600"/>
      <c r="D407" s="600"/>
      <c r="E407" s="614"/>
      <c r="F407" s="614"/>
      <c r="G407" s="614"/>
      <c r="H407" s="614"/>
      <c r="I407" s="614"/>
      <c r="J407" s="600"/>
      <c r="K407" s="600"/>
      <c r="L407" s="600"/>
      <c r="M407" s="343"/>
      <c r="N407" s="343"/>
    </row>
    <row r="408" spans="2:14">
      <c r="B408" s="584"/>
      <c r="C408" s="600"/>
      <c r="D408" s="600"/>
      <c r="E408" s="614"/>
      <c r="F408" s="614"/>
      <c r="G408" s="614"/>
      <c r="H408" s="614"/>
      <c r="I408" s="614"/>
      <c r="J408" s="600"/>
      <c r="K408" s="600"/>
      <c r="L408" s="600"/>
      <c r="M408" s="343"/>
      <c r="N408" s="343"/>
    </row>
    <row r="409" spans="2:14">
      <c r="B409" s="584"/>
      <c r="C409" s="600"/>
      <c r="D409" s="600"/>
      <c r="E409" s="614"/>
      <c r="F409" s="614"/>
      <c r="G409" s="614"/>
      <c r="H409" s="614"/>
      <c r="I409" s="614"/>
      <c r="J409" s="600"/>
      <c r="K409" s="600"/>
      <c r="L409" s="600"/>
      <c r="M409" s="343"/>
      <c r="N409" s="343"/>
    </row>
    <row r="410" spans="2:14">
      <c r="B410" s="584"/>
      <c r="C410" s="600"/>
      <c r="D410" s="600"/>
      <c r="E410" s="614"/>
      <c r="F410" s="614"/>
      <c r="G410" s="614"/>
      <c r="H410" s="614"/>
      <c r="I410" s="614"/>
      <c r="J410" s="600"/>
      <c r="K410" s="600"/>
      <c r="L410" s="600"/>
      <c r="M410" s="343"/>
      <c r="N410" s="343"/>
    </row>
    <row r="411" spans="2:14">
      <c r="B411" s="584"/>
      <c r="C411" s="600"/>
      <c r="D411" s="600"/>
      <c r="E411" s="614"/>
      <c r="F411" s="614"/>
      <c r="G411" s="614"/>
      <c r="H411" s="614"/>
      <c r="I411" s="614"/>
      <c r="J411" s="600"/>
      <c r="K411" s="600"/>
      <c r="L411" s="600"/>
      <c r="M411" s="343"/>
      <c r="N411" s="343"/>
    </row>
    <row r="412" spans="2:14">
      <c r="B412" s="584"/>
      <c r="C412" s="600"/>
      <c r="D412" s="600"/>
      <c r="E412" s="614"/>
      <c r="F412" s="614"/>
      <c r="G412" s="614"/>
      <c r="H412" s="614"/>
      <c r="I412" s="614"/>
      <c r="J412" s="600"/>
      <c r="K412" s="600"/>
      <c r="L412" s="600"/>
      <c r="M412" s="343"/>
      <c r="N412" s="343"/>
    </row>
    <row r="413" spans="2:14">
      <c r="B413" s="584"/>
      <c r="C413" s="600"/>
      <c r="D413" s="600"/>
      <c r="E413" s="614"/>
      <c r="F413" s="614"/>
      <c r="G413" s="614"/>
      <c r="H413" s="614"/>
      <c r="I413" s="614"/>
      <c r="J413" s="600"/>
      <c r="K413" s="600"/>
      <c r="L413" s="600"/>
      <c r="M413" s="343"/>
      <c r="N413" s="343"/>
    </row>
    <row r="414" spans="2:14">
      <c r="B414" s="584"/>
      <c r="C414" s="600"/>
      <c r="D414" s="600"/>
      <c r="E414" s="614"/>
      <c r="F414" s="614"/>
      <c r="G414" s="614"/>
      <c r="H414" s="614"/>
      <c r="I414" s="614"/>
      <c r="J414" s="600"/>
      <c r="K414" s="600"/>
      <c r="L414" s="600"/>
      <c r="M414" s="343"/>
      <c r="N414" s="343"/>
    </row>
    <row r="415" spans="2:14">
      <c r="B415" s="584"/>
      <c r="C415" s="600"/>
      <c r="D415" s="600"/>
      <c r="E415" s="614"/>
      <c r="F415" s="614"/>
      <c r="G415" s="614"/>
      <c r="H415" s="614"/>
      <c r="I415" s="614"/>
      <c r="J415" s="600"/>
      <c r="K415" s="600"/>
      <c r="L415" s="600"/>
      <c r="M415" s="343"/>
      <c r="N415" s="343"/>
    </row>
    <row r="416" spans="2:14">
      <c r="B416" s="584"/>
      <c r="C416" s="600"/>
      <c r="D416" s="600"/>
      <c r="E416" s="614"/>
      <c r="F416" s="614"/>
      <c r="G416" s="614"/>
      <c r="H416" s="614"/>
      <c r="I416" s="614"/>
      <c r="J416" s="600"/>
      <c r="K416" s="600"/>
      <c r="L416" s="600"/>
      <c r="M416" s="343"/>
      <c r="N416" s="343"/>
    </row>
    <row r="417" spans="2:14">
      <c r="B417" s="584"/>
      <c r="C417" s="600"/>
      <c r="D417" s="600"/>
      <c r="E417" s="614"/>
      <c r="F417" s="614"/>
      <c r="G417" s="614"/>
      <c r="H417" s="614"/>
      <c r="I417" s="614"/>
      <c r="J417" s="600"/>
      <c r="K417" s="600"/>
      <c r="L417" s="600"/>
      <c r="M417" s="343"/>
      <c r="N417" s="343"/>
    </row>
    <row r="418" spans="2:14">
      <c r="B418" s="584"/>
      <c r="C418" s="600"/>
      <c r="D418" s="600"/>
      <c r="E418" s="614"/>
      <c r="F418" s="614"/>
      <c r="G418" s="614"/>
      <c r="H418" s="614"/>
      <c r="I418" s="614"/>
      <c r="J418" s="600"/>
      <c r="K418" s="600"/>
      <c r="L418" s="600"/>
      <c r="M418" s="343"/>
      <c r="N418" s="343"/>
    </row>
    <row r="419" spans="2:14">
      <c r="B419" s="584"/>
      <c r="C419" s="600"/>
      <c r="D419" s="600"/>
      <c r="E419" s="614"/>
      <c r="F419" s="614"/>
      <c r="G419" s="614"/>
      <c r="H419" s="614"/>
      <c r="I419" s="614"/>
      <c r="J419" s="600"/>
      <c r="K419" s="600"/>
      <c r="L419" s="600"/>
      <c r="M419" s="343"/>
      <c r="N419" s="343"/>
    </row>
    <row r="420" spans="2:14">
      <c r="B420" s="584"/>
      <c r="C420" s="600"/>
      <c r="D420" s="600"/>
      <c r="E420" s="614"/>
      <c r="F420" s="614"/>
      <c r="G420" s="614"/>
      <c r="H420" s="614"/>
      <c r="I420" s="614"/>
      <c r="J420" s="600"/>
      <c r="K420" s="600"/>
      <c r="L420" s="600"/>
      <c r="M420" s="343"/>
      <c r="N420" s="343"/>
    </row>
    <row r="421" spans="2:14">
      <c r="B421" s="584"/>
      <c r="C421" s="600"/>
      <c r="D421" s="600"/>
      <c r="E421" s="614"/>
      <c r="F421" s="614"/>
      <c r="G421" s="614"/>
      <c r="H421" s="614"/>
      <c r="I421" s="614"/>
      <c r="J421" s="600"/>
      <c r="K421" s="600"/>
      <c r="L421" s="600"/>
      <c r="M421" s="343"/>
      <c r="N421" s="343"/>
    </row>
    <row r="422" spans="2:14">
      <c r="B422" s="584"/>
      <c r="C422" s="600"/>
      <c r="D422" s="600"/>
      <c r="E422" s="614"/>
      <c r="F422" s="614"/>
      <c r="G422" s="614"/>
      <c r="H422" s="614"/>
      <c r="I422" s="614"/>
      <c r="J422" s="600"/>
      <c r="K422" s="600"/>
      <c r="L422" s="600"/>
      <c r="M422" s="343"/>
      <c r="N422" s="343"/>
    </row>
    <row r="423" spans="2:14">
      <c r="B423" s="584"/>
      <c r="C423" s="600"/>
      <c r="D423" s="600"/>
      <c r="E423" s="614"/>
      <c r="F423" s="614"/>
      <c r="G423" s="614"/>
      <c r="H423" s="614"/>
      <c r="I423" s="614"/>
      <c r="J423" s="600"/>
      <c r="K423" s="600"/>
      <c r="L423" s="600"/>
      <c r="M423" s="343"/>
      <c r="N423" s="343"/>
    </row>
    <row r="424" spans="2:14">
      <c r="B424" s="584"/>
      <c r="C424" s="600"/>
      <c r="D424" s="600"/>
      <c r="E424" s="614"/>
      <c r="F424" s="614"/>
      <c r="G424" s="614"/>
      <c r="H424" s="614"/>
      <c r="I424" s="614"/>
      <c r="J424" s="600"/>
      <c r="K424" s="600"/>
      <c r="L424" s="600"/>
      <c r="M424" s="343"/>
      <c r="N424" s="343"/>
    </row>
    <row r="425" spans="2:14">
      <c r="B425" s="584"/>
      <c r="C425" s="600"/>
      <c r="D425" s="600"/>
      <c r="E425" s="614"/>
      <c r="F425" s="614"/>
      <c r="G425" s="614"/>
      <c r="H425" s="614"/>
      <c r="I425" s="614"/>
      <c r="J425" s="600"/>
      <c r="K425" s="600"/>
      <c r="L425" s="600"/>
      <c r="M425" s="343"/>
      <c r="N425" s="343"/>
    </row>
    <row r="426" spans="2:14">
      <c r="B426" s="584"/>
      <c r="C426" s="600"/>
      <c r="D426" s="600"/>
      <c r="E426" s="614"/>
      <c r="F426" s="614"/>
      <c r="G426" s="614"/>
      <c r="H426" s="614"/>
      <c r="I426" s="614"/>
      <c r="J426" s="600"/>
      <c r="K426" s="600"/>
      <c r="L426" s="600"/>
      <c r="M426" s="343"/>
      <c r="N426" s="343"/>
    </row>
    <row r="427" spans="2:14">
      <c r="B427" s="584"/>
      <c r="C427" s="600"/>
      <c r="D427" s="600"/>
      <c r="E427" s="614"/>
      <c r="F427" s="614"/>
      <c r="G427" s="614"/>
      <c r="H427" s="614"/>
      <c r="I427" s="614"/>
      <c r="J427" s="600"/>
      <c r="K427" s="600"/>
      <c r="L427" s="600"/>
      <c r="M427" s="343"/>
      <c r="N427" s="343"/>
    </row>
    <row r="428" spans="2:14">
      <c r="B428" s="584"/>
      <c r="C428" s="600"/>
      <c r="D428" s="600"/>
      <c r="E428" s="614"/>
      <c r="F428" s="614"/>
      <c r="G428" s="614"/>
      <c r="H428" s="614"/>
      <c r="I428" s="614"/>
      <c r="J428" s="600"/>
      <c r="K428" s="600"/>
      <c r="L428" s="600"/>
      <c r="M428" s="343"/>
      <c r="N428" s="343"/>
    </row>
    <row r="429" spans="2:14">
      <c r="B429" s="584"/>
      <c r="C429" s="600"/>
      <c r="D429" s="600"/>
      <c r="E429" s="614"/>
      <c r="F429" s="614"/>
      <c r="G429" s="614"/>
      <c r="H429" s="614"/>
      <c r="I429" s="614"/>
      <c r="J429" s="600"/>
      <c r="K429" s="600"/>
      <c r="L429" s="600"/>
      <c r="M429" s="343"/>
      <c r="N429" s="343"/>
    </row>
    <row r="430" spans="2:14">
      <c r="B430" s="584"/>
      <c r="C430" s="600"/>
      <c r="D430" s="600"/>
      <c r="E430" s="614"/>
      <c r="F430" s="614"/>
      <c r="G430" s="614"/>
      <c r="H430" s="614"/>
      <c r="I430" s="614"/>
      <c r="J430" s="600"/>
      <c r="K430" s="600"/>
      <c r="L430" s="600"/>
      <c r="M430" s="343"/>
      <c r="N430" s="343"/>
    </row>
    <row r="431" spans="2:14">
      <c r="B431" s="584"/>
      <c r="C431" s="600"/>
      <c r="D431" s="600"/>
      <c r="E431" s="614"/>
      <c r="F431" s="614"/>
      <c r="G431" s="614"/>
      <c r="H431" s="614"/>
      <c r="I431" s="614"/>
      <c r="J431" s="600"/>
      <c r="K431" s="600"/>
      <c r="L431" s="600"/>
      <c r="M431" s="343"/>
      <c r="N431" s="343"/>
    </row>
    <row r="432" spans="2:14">
      <c r="B432" s="584"/>
      <c r="C432" s="600"/>
      <c r="D432" s="600"/>
      <c r="E432" s="614"/>
      <c r="F432" s="614"/>
      <c r="G432" s="614"/>
      <c r="H432" s="614"/>
      <c r="I432" s="614"/>
      <c r="J432" s="600"/>
      <c r="K432" s="600"/>
      <c r="L432" s="600"/>
      <c r="M432" s="343"/>
      <c r="N432" s="343"/>
    </row>
    <row r="433" spans="2:14">
      <c r="B433" s="584"/>
      <c r="C433" s="600"/>
      <c r="D433" s="600"/>
      <c r="E433" s="614"/>
      <c r="F433" s="614"/>
      <c r="G433" s="614"/>
      <c r="H433" s="614"/>
      <c r="I433" s="614"/>
      <c r="J433" s="600"/>
      <c r="K433" s="600"/>
      <c r="L433" s="600"/>
      <c r="M433" s="343"/>
      <c r="N433" s="343"/>
    </row>
    <row r="434" spans="2:14">
      <c r="B434" s="584"/>
      <c r="C434" s="600"/>
      <c r="D434" s="600"/>
      <c r="E434" s="614"/>
      <c r="F434" s="614"/>
      <c r="G434" s="614"/>
      <c r="H434" s="614"/>
      <c r="I434" s="614"/>
      <c r="J434" s="600"/>
      <c r="K434" s="600"/>
      <c r="L434" s="600"/>
      <c r="M434" s="343"/>
      <c r="N434" s="343"/>
    </row>
    <row r="435" spans="2:14">
      <c r="B435" s="584"/>
      <c r="C435" s="600"/>
      <c r="D435" s="600"/>
      <c r="E435" s="614"/>
      <c r="F435" s="614"/>
      <c r="G435" s="614"/>
      <c r="H435" s="614"/>
      <c r="I435" s="614"/>
      <c r="J435" s="600"/>
      <c r="K435" s="600"/>
      <c r="L435" s="600"/>
      <c r="M435" s="343"/>
      <c r="N435" s="343"/>
    </row>
    <row r="436" spans="2:14">
      <c r="B436" s="584"/>
      <c r="C436" s="600"/>
      <c r="D436" s="600"/>
      <c r="E436" s="614"/>
      <c r="F436" s="614"/>
      <c r="G436" s="614"/>
      <c r="H436" s="614"/>
      <c r="I436" s="614"/>
      <c r="J436" s="600"/>
      <c r="K436" s="600"/>
      <c r="L436" s="600"/>
      <c r="M436" s="343"/>
      <c r="N436" s="343"/>
    </row>
    <row r="437" spans="2:14">
      <c r="B437" s="584"/>
      <c r="C437" s="600"/>
      <c r="D437" s="600"/>
      <c r="E437" s="614"/>
      <c r="F437" s="614"/>
      <c r="G437" s="614"/>
      <c r="H437" s="614"/>
      <c r="I437" s="614"/>
      <c r="J437" s="600"/>
      <c r="K437" s="600"/>
      <c r="L437" s="600"/>
      <c r="M437" s="343"/>
      <c r="N437" s="343"/>
    </row>
    <row r="438" spans="2:14">
      <c r="B438" s="584"/>
      <c r="C438" s="600"/>
      <c r="D438" s="600"/>
      <c r="E438" s="614"/>
      <c r="F438" s="614"/>
      <c r="G438" s="614"/>
      <c r="H438" s="614"/>
      <c r="I438" s="614"/>
      <c r="J438" s="600"/>
      <c r="K438" s="600"/>
      <c r="L438" s="600"/>
      <c r="M438" s="343"/>
      <c r="N438" s="343"/>
    </row>
    <row r="439" spans="2:14">
      <c r="B439" s="584"/>
      <c r="C439" s="600"/>
      <c r="D439" s="600"/>
      <c r="E439" s="614"/>
      <c r="F439" s="614"/>
      <c r="G439" s="614"/>
      <c r="H439" s="614"/>
      <c r="I439" s="614"/>
      <c r="J439" s="600"/>
      <c r="K439" s="600"/>
      <c r="L439" s="600"/>
      <c r="M439" s="343"/>
      <c r="N439" s="343"/>
    </row>
    <row r="440" spans="2:14">
      <c r="B440" s="584"/>
      <c r="C440" s="600"/>
      <c r="D440" s="600"/>
      <c r="E440" s="614"/>
      <c r="F440" s="614"/>
      <c r="G440" s="614"/>
      <c r="H440" s="614"/>
      <c r="I440" s="614"/>
      <c r="J440" s="600"/>
      <c r="K440" s="600"/>
      <c r="L440" s="600"/>
      <c r="M440" s="343"/>
      <c r="N440" s="343"/>
    </row>
    <row r="441" spans="2:14">
      <c r="B441" s="584"/>
      <c r="C441" s="600"/>
      <c r="D441" s="600"/>
      <c r="E441" s="614"/>
      <c r="F441" s="614"/>
      <c r="G441" s="614"/>
      <c r="H441" s="614"/>
      <c r="I441" s="614"/>
      <c r="J441" s="600"/>
      <c r="K441" s="600"/>
      <c r="L441" s="600"/>
      <c r="M441" s="343"/>
      <c r="N441" s="343"/>
    </row>
    <row r="442" spans="2:14">
      <c r="B442" s="584"/>
      <c r="C442" s="600"/>
      <c r="D442" s="600"/>
      <c r="E442" s="614"/>
      <c r="F442" s="614"/>
      <c r="G442" s="614"/>
      <c r="H442" s="614"/>
      <c r="I442" s="614"/>
      <c r="J442" s="600"/>
      <c r="K442" s="600"/>
      <c r="L442" s="600"/>
      <c r="M442" s="343"/>
      <c r="N442" s="343"/>
    </row>
    <row r="443" spans="2:14">
      <c r="B443" s="584"/>
      <c r="C443" s="600"/>
      <c r="D443" s="600"/>
      <c r="E443" s="614"/>
      <c r="F443" s="614"/>
      <c r="G443" s="614"/>
      <c r="H443" s="614"/>
      <c r="I443" s="614"/>
      <c r="J443" s="600"/>
      <c r="K443" s="600"/>
      <c r="L443" s="600"/>
      <c r="M443" s="343"/>
      <c r="N443" s="343"/>
    </row>
    <row r="444" spans="2:14">
      <c r="B444" s="584"/>
      <c r="C444" s="600"/>
      <c r="D444" s="600"/>
      <c r="E444" s="614"/>
      <c r="F444" s="614"/>
      <c r="G444" s="614"/>
      <c r="H444" s="614"/>
      <c r="I444" s="614"/>
      <c r="J444" s="600"/>
      <c r="K444" s="600"/>
      <c r="L444" s="600"/>
      <c r="M444" s="343"/>
      <c r="N444" s="343"/>
    </row>
    <row r="445" spans="2:14">
      <c r="B445" s="584"/>
      <c r="C445" s="600"/>
      <c r="D445" s="600"/>
      <c r="E445" s="614"/>
      <c r="F445" s="614"/>
      <c r="G445" s="614"/>
      <c r="H445" s="614"/>
      <c r="I445" s="614"/>
      <c r="J445" s="600"/>
      <c r="K445" s="600"/>
      <c r="L445" s="600"/>
      <c r="M445" s="343"/>
      <c r="N445" s="343"/>
    </row>
    <row r="446" spans="2:14">
      <c r="B446" s="584"/>
      <c r="C446" s="600"/>
      <c r="D446" s="600"/>
      <c r="E446" s="614"/>
      <c r="F446" s="614"/>
      <c r="G446" s="614"/>
      <c r="H446" s="614"/>
      <c r="I446" s="614"/>
      <c r="J446" s="600"/>
      <c r="K446" s="600"/>
      <c r="L446" s="600"/>
      <c r="M446" s="343"/>
      <c r="N446" s="343"/>
    </row>
  </sheetData>
  <sheetProtection algorithmName="SHA-512" hashValue="dwHA8FvBWHH3YkCR7VnFV6Vbl09y2UNQLlANSknVALCwQZgqMrZPX7HltUDjMoVUY13jhiuNmGmPdM9m5i1Z8Q==" saltValue="86SeNf7TbZBREc0viP1Cew==" spinCount="100000" sheet="1" objects="1" scenarios="1"/>
  <mergeCells count="15">
    <mergeCell ref="X10:Y10"/>
    <mergeCell ref="S4:T4"/>
    <mergeCell ref="U4:V4"/>
    <mergeCell ref="B9:N9"/>
    <mergeCell ref="C58:M59"/>
    <mergeCell ref="B8:N8"/>
    <mergeCell ref="V10:W10"/>
    <mergeCell ref="I11:J11"/>
    <mergeCell ref="L11:M11"/>
    <mergeCell ref="I25:J25"/>
    <mergeCell ref="L25:M25"/>
    <mergeCell ref="I39:J39"/>
    <mergeCell ref="L39:M39"/>
    <mergeCell ref="I54:J54"/>
    <mergeCell ref="L54:M5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3a">
    <tabColor indexed="42"/>
  </sheetPr>
  <dimension ref="A2:AK75"/>
  <sheetViews>
    <sheetView showGridLines="0" view="pageBreakPreview" topLeftCell="A19" zoomScaleNormal="85" zoomScaleSheetLayoutView="100" workbookViewId="0">
      <selection activeCell="Z44" sqref="Z44"/>
    </sheetView>
  </sheetViews>
  <sheetFormatPr defaultRowHeight="12.75"/>
  <cols>
    <col min="1" max="1" width="24.7109375" customWidth="1"/>
    <col min="2" max="2" width="7.140625" customWidth="1"/>
    <col min="3" max="7" width="8.7109375" customWidth="1"/>
    <col min="8" max="8" width="8.5703125" customWidth="1"/>
    <col min="9" max="9" width="10.7109375" customWidth="1"/>
    <col min="10" max="10" width="8.7109375" customWidth="1"/>
    <col min="11" max="11" width="8.5703125" customWidth="1"/>
    <col min="12" max="12" width="8.7109375" customWidth="1"/>
    <col min="24" max="26" width="9.140625" customWidth="1"/>
  </cols>
  <sheetData>
    <row r="2" spans="2:37">
      <c r="O2" s="1599"/>
      <c r="P2" s="1599"/>
      <c r="Q2" s="1599"/>
      <c r="R2" s="1397"/>
      <c r="S2" s="1397"/>
      <c r="T2" s="1397"/>
      <c r="U2" s="1599"/>
      <c r="V2" s="1599"/>
      <c r="W2" s="1599"/>
      <c r="X2" s="1599"/>
      <c r="Y2" s="1397"/>
      <c r="Z2" s="1397"/>
      <c r="AA2" s="1599"/>
      <c r="AB2" s="1599"/>
    </row>
    <row r="3" spans="2:37">
      <c r="O3" s="17"/>
      <c r="P3" s="1397"/>
      <c r="Q3" s="17"/>
      <c r="R3" s="1397"/>
      <c r="S3" s="1397"/>
      <c r="T3" s="1397"/>
      <c r="U3" s="17"/>
      <c r="V3" s="17"/>
      <c r="W3" s="17"/>
      <c r="X3" s="17"/>
      <c r="Y3" s="1397"/>
      <c r="Z3" s="1397"/>
      <c r="AA3" s="17"/>
      <c r="AB3" s="17"/>
    </row>
    <row r="4" spans="2:37">
      <c r="O4" s="17"/>
      <c r="P4" s="1397"/>
      <c r="Q4" s="17"/>
      <c r="R4" s="1397"/>
      <c r="S4" s="1397"/>
      <c r="T4" s="1397"/>
    </row>
    <row r="5" spans="2:37">
      <c r="O5" s="33"/>
      <c r="P5" s="1398"/>
      <c r="Q5" s="33"/>
      <c r="R5" s="1398"/>
      <c r="S5" s="1398"/>
      <c r="T5" s="1398"/>
      <c r="U5" s="18"/>
      <c r="V5" s="18"/>
      <c r="W5" s="18"/>
      <c r="X5" s="18"/>
      <c r="Y5" s="18"/>
      <c r="Z5" s="18"/>
      <c r="AA5" s="18"/>
      <c r="AB5" s="18"/>
      <c r="AC5" s="18"/>
      <c r="AD5" s="18"/>
    </row>
    <row r="6" spans="2:37">
      <c r="O6" s="18"/>
      <c r="P6" s="18"/>
      <c r="Q6" s="18"/>
      <c r="R6" s="18"/>
      <c r="S6" s="18"/>
      <c r="T6" s="18"/>
      <c r="U6" s="40"/>
      <c r="V6" s="18"/>
      <c r="W6" s="18"/>
      <c r="X6" s="18"/>
      <c r="Y6" s="18"/>
      <c r="Z6" s="18"/>
      <c r="AA6" s="18"/>
      <c r="AB6" s="18"/>
      <c r="AC6" s="18"/>
      <c r="AD6" s="18"/>
    </row>
    <row r="7" spans="2:37">
      <c r="O7" s="18"/>
      <c r="P7" s="18"/>
      <c r="Q7" s="18"/>
      <c r="R7" s="18"/>
      <c r="S7" s="18"/>
      <c r="T7" s="18"/>
      <c r="U7" s="40"/>
      <c r="V7" s="18"/>
      <c r="W7" s="18"/>
      <c r="X7" s="18"/>
      <c r="Y7" s="18"/>
      <c r="Z7" s="18"/>
      <c r="AA7" s="18"/>
      <c r="AB7" s="18"/>
      <c r="AC7" s="18"/>
      <c r="AD7" s="18"/>
    </row>
    <row r="8" spans="2:37" ht="18.75" customHeight="1" thickBot="1">
      <c r="B8" s="1598" t="s">
        <v>999</v>
      </c>
      <c r="C8" s="1598"/>
      <c r="D8" s="1598"/>
      <c r="E8" s="1598"/>
      <c r="F8" s="1598"/>
      <c r="G8" s="1598"/>
      <c r="H8" s="1598"/>
      <c r="I8" s="1598"/>
      <c r="J8" s="1598"/>
      <c r="K8" s="1598"/>
      <c r="L8" s="1598"/>
      <c r="O8" s="18"/>
      <c r="P8" s="18"/>
      <c r="Q8" s="18"/>
      <c r="R8" s="18"/>
      <c r="S8" s="18"/>
      <c r="T8" s="18"/>
      <c r="U8" s="18"/>
      <c r="V8" s="18"/>
      <c r="W8" s="18"/>
      <c r="X8" s="18"/>
      <c r="Y8" s="18"/>
      <c r="Z8" s="18"/>
      <c r="AA8" s="18"/>
      <c r="AB8" s="18"/>
      <c r="AC8" s="18"/>
      <c r="AD8" s="18"/>
    </row>
    <row r="9" spans="2:37" ht="13.5" thickTop="1"/>
    <row r="10" spans="2:37" ht="58.5" customHeight="1">
      <c r="B10" s="1596" t="s">
        <v>1636</v>
      </c>
      <c r="C10" s="1597"/>
      <c r="D10" s="1597"/>
      <c r="E10" s="1597"/>
      <c r="F10" s="1597"/>
      <c r="G10" s="1597"/>
      <c r="H10" s="1597"/>
      <c r="I10" s="1597"/>
      <c r="J10" s="1597"/>
      <c r="K10" s="1597"/>
      <c r="L10" s="1597"/>
      <c r="AJ10" s="1404" t="s">
        <v>163</v>
      </c>
      <c r="AK10" s="1404" t="s">
        <v>1645</v>
      </c>
    </row>
    <row r="11" spans="2:37">
      <c r="AJ11" s="1404" t="s">
        <v>1368</v>
      </c>
      <c r="AK11" s="1405">
        <f>34.923058983989/12</f>
        <v>2.9102549153324166</v>
      </c>
    </row>
    <row r="12" spans="2:37">
      <c r="F12" s="1350" t="s">
        <v>1035</v>
      </c>
      <c r="G12" s="1350" t="s">
        <v>872</v>
      </c>
      <c r="AJ12" s="1404" t="s">
        <v>273</v>
      </c>
      <c r="AK12" s="1405">
        <f>38.423058983989/12</f>
        <v>3.2019215819990836</v>
      </c>
    </row>
    <row r="13" spans="2:37">
      <c r="E13" s="16" t="s">
        <v>1002</v>
      </c>
      <c r="F13" s="1257">
        <f>RailWidth</f>
        <v>1</v>
      </c>
      <c r="G13" s="1238">
        <f>RailWidthRt</f>
        <v>1</v>
      </c>
      <c r="H13" t="s">
        <v>156</v>
      </c>
    </row>
    <row r="14" spans="2:37">
      <c r="E14" s="265" t="s">
        <v>1003</v>
      </c>
      <c r="F14" s="1257">
        <v>10</v>
      </c>
      <c r="G14" t="s">
        <v>156</v>
      </c>
      <c r="H14" s="1257">
        <f>NumLanes</f>
        <v>4</v>
      </c>
      <c r="I14" s="1179" t="s">
        <v>1569</v>
      </c>
      <c r="AJ14" s="1600" t="s">
        <v>1646</v>
      </c>
      <c r="AK14" s="1599"/>
    </row>
    <row r="15" spans="2:37" ht="18" customHeight="1">
      <c r="B15" s="217" t="s">
        <v>1012</v>
      </c>
      <c r="E15" s="16"/>
      <c r="F15" s="1350" t="s">
        <v>1035</v>
      </c>
      <c r="G15" s="1350" t="s">
        <v>872</v>
      </c>
      <c r="H15" s="34"/>
      <c r="AJ15" s="1179" t="s">
        <v>163</v>
      </c>
      <c r="AK15" s="1179" t="s">
        <v>1645</v>
      </c>
    </row>
    <row r="16" spans="2:37">
      <c r="B16" s="217"/>
      <c r="E16" s="16" t="s">
        <v>90</v>
      </c>
      <c r="F16" s="1257">
        <f>OSOHBack</f>
        <v>3</v>
      </c>
      <c r="G16" s="1238">
        <f>OSOHBackRT</f>
        <v>3</v>
      </c>
      <c r="H16" t="s">
        <v>156</v>
      </c>
      <c r="AJ16" t="str">
        <f>bkspangirder</f>
        <v>Tx54</v>
      </c>
      <c r="AK16" s="29" t="e">
        <f>_xlfn.XLOOKUP(AJ16,AJ11:AJ12,AK11:AK12)</f>
        <v>#N/A</v>
      </c>
    </row>
    <row r="17" spans="1:37">
      <c r="B17" s="69"/>
      <c r="D17" s="268" t="s">
        <v>1010</v>
      </c>
      <c r="E17" s="268"/>
      <c r="F17" s="29"/>
      <c r="H17" s="34"/>
    </row>
    <row r="18" spans="1:37">
      <c r="B18" s="264"/>
      <c r="D18" s="16" t="s">
        <v>1000</v>
      </c>
      <c r="E18" s="29">
        <f>'Live Load'!F15+'Live Load'!F20</f>
        <v>97.28</v>
      </c>
      <c r="F18" s="26" t="s">
        <v>341</v>
      </c>
      <c r="G18" s="313" t="str">
        <f>"{"&amp;FIXED('Live Load'!F15,2)&amp;"k + "&amp;FIXED('Live Load'!F20,2)&amp;"k}"</f>
        <v>{32.00k + 65.28k}</v>
      </c>
      <c r="AJ18" s="1600" t="s">
        <v>1647</v>
      </c>
      <c r="AK18" s="1599"/>
    </row>
    <row r="19" spans="1:37">
      <c r="B19" s="264"/>
      <c r="D19" s="16" t="s">
        <v>360</v>
      </c>
      <c r="E19" s="29">
        <f>'Live Load'!F20*('Live Load'!F11/100)</f>
        <v>21.542400000000001</v>
      </c>
      <c r="F19" t="s">
        <v>341</v>
      </c>
      <c r="G19" s="34" t="str">
        <f>"{"&amp;FIXED('Live Load'!F20,2)&amp;"k x "&amp;FIXED(('Live Load'!F11/100),2)&amp;"}"</f>
        <v>{65.28k x 0.33}</v>
      </c>
      <c r="AJ19" s="1179" t="s">
        <v>163</v>
      </c>
      <c r="AK19" s="1179" t="s">
        <v>1645</v>
      </c>
    </row>
    <row r="20" spans="1:37">
      <c r="B20" s="264"/>
      <c r="D20" s="268" t="s">
        <v>998</v>
      </c>
      <c r="E20" s="268"/>
      <c r="G20" s="34"/>
      <c r="AJ20" t="str">
        <f>fdspangirder</f>
        <v>Tx54</v>
      </c>
      <c r="AK20" s="29" t="e">
        <f>_xlfn.XLOOKUP(AJ20,AJ11:AJ12,AK11:AK12)</f>
        <v>#N/A</v>
      </c>
    </row>
    <row r="21" spans="1:37">
      <c r="B21" s="264"/>
      <c r="D21" s="16" t="s">
        <v>1000</v>
      </c>
      <c r="E21" s="29">
        <f>'Live Load'!F15+IF('Live Load'!F20='Live Load'!F22,'Live Load'!F20,IF('Live Load'!F21='Live Load'!F22,0,IF('Live Load'!F20&gt;'Live Load'!F21,'Live Load'!F20-8*(MAX(Geometry!G43,Geometry!G45)-28)/MAX(Geometry!G43,Geometry!G45),8*(MAX(Geometry!G43,Geometry!G45)-14)/MAX(Geometry!G43,Geometry!G45))))</f>
        <v>38.880000000000003</v>
      </c>
      <c r="F21" t="s">
        <v>341</v>
      </c>
      <c r="G21" s="34" t="str">
        <f>"{"&amp;FIXED('Live Load'!F15,2)&amp;"k + "&amp;IF('Live Load'!F20='Live Load'!F22,FIXED('Live Load'!F20,2),IF('Live Load'!F21='Live Load'!F22,0,IF('Live Load'!F20&gt;'Live Load'!F21,FIXED('Live Load'!F20,2) &amp;"k - 8k x ("&amp; FIXED(MAX(Geometry!G43,Geometry!G45),2) &amp;"ft - 28ft) / " &amp; FIXED(MAX(Geometry!G43,Geometry!G45),2) &amp;"ft}","8k x ("&amp;FIXED(MAX(Geometry!G43,Geometry!G45),2)&amp;"ft - 14 ft ) / "&amp;FIXED(MAX(Geometry!G43,Geometry!G45),2)&amp;"ft")))&amp;"}"</f>
        <v>{32.00k + 8k x (100.00ft - 14 ft ) / 100.00ft}</v>
      </c>
    </row>
    <row r="22" spans="1:37">
      <c r="B22" s="264"/>
      <c r="D22" s="16" t="s">
        <v>360</v>
      </c>
      <c r="E22" s="29">
        <f>IF('Live Load'!F20='Live Load'!F22,'Live Load'!F28,IF('Live Load'!F21='Live Load'!F22,0,IF('Live Load'!F20&gt;'Live Load'!F21,('Live Load'!F11/100)*('Live Load'!F20-8*(MAX(Geometry!G43,Geometry!G45)-28)/MAX(Geometry!G43,Geometry!G45)),('Live Load'!F11/100)*8*(MAX(Geometry!G43,Geometry!G45)-14)/MAX(Geometry!G43,Geometry!G45))))</f>
        <v>2.2704000000000004</v>
      </c>
      <c r="F22" t="s">
        <v>341</v>
      </c>
      <c r="G22" s="34" t="str">
        <f>"{0.33 x ("&amp;IF('Live Load'!F20='Live Load'!F22,FIXED('Live Load'!F20,2),IF('Live Load'!F21='Live Load'!F22,0,IF('Live Load'!F20&gt;'Live Load'!F21,FIXED('Live Load'!F20,2) &amp;"k - 8k x ("&amp; FIXED(MAX(Geometry!G43,Geometry!G45),2) &amp;"ft - 28ft) / " &amp; FIXED(MAX(Geometry!G43,Geometry!G45),2) &amp;"ft}","8k x ("&amp;FIXED(MAX(Geometry!G43,Geometry!G45),2)&amp;"ft - 14 ft ) / "&amp;FIXED(MAX(Geometry!G43,Geometry!G45),2)&amp;"ft")))&amp;")}"</f>
        <v>{0.33 x (8k x (100.00ft - 14 ft ) / 100.00ft)}</v>
      </c>
      <c r="Q22" s="1600" t="s">
        <v>1625</v>
      </c>
      <c r="R22" s="1599"/>
      <c r="S22" s="1600" t="s">
        <v>1632</v>
      </c>
      <c r="T22" s="1599"/>
      <c r="U22" s="1179" t="s">
        <v>1635</v>
      </c>
      <c r="X22" s="1591" t="s">
        <v>1631</v>
      </c>
      <c r="Y22" s="1399"/>
      <c r="Z22" s="1399"/>
    </row>
    <row r="23" spans="1:37" ht="12.75" customHeight="1">
      <c r="B23" s="264"/>
      <c r="D23" s="16"/>
      <c r="E23" s="29"/>
      <c r="G23" s="230"/>
      <c r="H23" s="1599" t="s">
        <v>1010</v>
      </c>
      <c r="I23" s="1599"/>
      <c r="J23" s="1599" t="s">
        <v>998</v>
      </c>
      <c r="K23" s="1599"/>
      <c r="N23" s="1398"/>
      <c r="O23" s="1398"/>
      <c r="P23" s="1398"/>
      <c r="Q23" s="1593" t="s">
        <v>1629</v>
      </c>
      <c r="R23" s="1593" t="s">
        <v>1630</v>
      </c>
      <c r="S23" s="1593" t="s">
        <v>1629</v>
      </c>
      <c r="T23" s="1593" t="s">
        <v>1630</v>
      </c>
      <c r="U23" s="1595" t="s">
        <v>1637</v>
      </c>
      <c r="V23" s="1595"/>
      <c r="W23" s="1398"/>
      <c r="X23" s="1591"/>
      <c r="Y23" s="1399"/>
      <c r="Z23" s="1399"/>
    </row>
    <row r="24" spans="1:37" ht="12.75" customHeight="1">
      <c r="B24" s="264"/>
      <c r="D24" s="235" t="s">
        <v>263</v>
      </c>
      <c r="E24" s="235" t="s">
        <v>1001</v>
      </c>
      <c r="F24" s="267" t="s">
        <v>1005</v>
      </c>
      <c r="G24" s="235" t="s">
        <v>1004</v>
      </c>
      <c r="H24" s="235" t="s">
        <v>1006</v>
      </c>
      <c r="I24" s="235" t="s">
        <v>1007</v>
      </c>
      <c r="J24" s="235" t="s">
        <v>1006</v>
      </c>
      <c r="K24" s="235" t="s">
        <v>1007</v>
      </c>
      <c r="M24" s="1351"/>
      <c r="N24" s="1401" t="s">
        <v>382</v>
      </c>
      <c r="O24" s="1401" t="s">
        <v>239</v>
      </c>
      <c r="P24" s="1402" t="s">
        <v>1628</v>
      </c>
      <c r="Q24" s="1594"/>
      <c r="R24" s="1594"/>
      <c r="S24" s="1594"/>
      <c r="T24" s="1594"/>
      <c r="U24" s="1401" t="s">
        <v>1625</v>
      </c>
      <c r="V24" s="1401" t="s">
        <v>1626</v>
      </c>
      <c r="W24" s="1401" t="s">
        <v>1627</v>
      </c>
      <c r="X24" s="1592"/>
      <c r="Y24" s="1402" t="s">
        <v>1633</v>
      </c>
      <c r="Z24" s="1402" t="s">
        <v>1634</v>
      </c>
      <c r="AB24" s="1351"/>
    </row>
    <row r="25" spans="1:37">
      <c r="A25" s="16" t="str">
        <f t="shared" ref="A25:A44" si="0">IF(D25="","*","")</f>
        <v/>
      </c>
      <c r="B25" s="264"/>
      <c r="D25" s="17">
        <v>1</v>
      </c>
      <c r="E25" s="843"/>
      <c r="F25" s="843">
        <f>BBSPA2</f>
        <v>14.666666666666666</v>
      </c>
      <c r="G25" s="266">
        <f>IF(N25="Ext",Z25,IF(N25="Int",Y25,""))</f>
        <v>1.2466213151927437</v>
      </c>
      <c r="H25" s="275">
        <f>IF(G25="","",G25*$E$18)</f>
        <v>121.2713215419501</v>
      </c>
      <c r="I25" s="275">
        <f>IF(G25="","",G25*$E$19)</f>
        <v>26.855215020408163</v>
      </c>
      <c r="J25" s="275">
        <f>IF(G25="","",G25*$E$21)</f>
        <v>48.468636734693874</v>
      </c>
      <c r="K25" s="275">
        <f>IF(G25="","",G25*$E$22)</f>
        <v>2.8303290340136056</v>
      </c>
      <c r="N25" s="1397" t="str">
        <f>IF(F25&lt;&gt;"","Ext",IF(E25&lt;&gt;"","Int",""))</f>
        <v>Ext</v>
      </c>
      <c r="O25" s="843">
        <f>MAX(E25:F25)</f>
        <v>14.666666666666666</v>
      </c>
      <c r="P25" s="843">
        <f>O25+IF(D25=1,$F$16-$F$13,$G$16-$G$13)</f>
        <v>16.666666666666664</v>
      </c>
      <c r="Q25" s="266">
        <f t="shared" ref="Q25:Q44" si="1">IF(N25="Ext",1.2*0.5*(MAX(P25-2,0)+MAX(P25-8,0))/O25*IF(LEFT(bkspangirder,1)&lt;&gt;"U",1,0.9),"")</f>
        <v>0.95454545454545436</v>
      </c>
      <c r="R25" s="266" t="str">
        <f>IF(N25="Int",1.2*0.5*(1+MAX(1-6/O25,0)),"")</f>
        <v/>
      </c>
      <c r="S25" s="266">
        <f t="shared" ref="S25:S44" si="2">IF(N25="Ext",IF($H$14&gt;1,1,0)*0.5*(MAX(P25-2,0)+MAX(P25-8,0)+MAX(P25-12,0)+MAX(P25-18,0))/O25*IF(LEFT(bkspangirder,1)&lt;&gt;"U",1,0.9),"")</f>
        <v>0.95454545454545436</v>
      </c>
      <c r="T25" s="266" t="str">
        <f>IF(N25="Int",IF($H$14&gt;1,1,0)*MAX(0.5*(1+MAX(1-6/O25,0)+MAX(1-4/O25,0)+MAX(1-10/O25,0)),2-8/O25-2/O25),"")</f>
        <v/>
      </c>
      <c r="U25" s="266">
        <f t="shared" ref="U25:U44" si="3">IF(LEFT(bkspangirder,1)&lt;&gt;"U",IF(N25="Int",IF(BkBms&gt;3,0.36+O25/25,Q25),Q25),
IF(BkBms&lt;3,$H$14/BkBms,IF(N25="Int",IF(O25&gt;18,R25,(O25/10)^0.6*(bkbmdepth/12/bkspanpgl)^0.1),Q25)))</f>
        <v>0.95454545454545436</v>
      </c>
      <c r="V25" s="266">
        <f t="shared" ref="V25:V44" si="4">IF(LEFT(bkspangirder,1)&lt;&gt;"U",
IF(BkBms&gt;3,IF(N25="Int",0.2+O25/12-(O25/35)^2,(0.2+O25/12-(O25/35)^2)*MAX(1,0.6+IF(D25=1,$F$16-$F$13,$G$16-$G$13)/10)),MAX(S25:T25)),
IF(BkBms&lt;3,$H$14/BkBms,IF(O25&gt;18,MAX(S25:T25),IF(N25="Int",(O25/7.4)^0.8*(bkbmdepth/12/bkspanpgl)^0.1,(O25/7.4)^0.8*(bkbmdepth/12/bkspanpgl)^0.1*MAX(1,0.8+IF(D25=1,$F$16-$F$13-$AK$16,$G$16-$G$13-$AK$16)/10)))))</f>
        <v>1.2466213151927437</v>
      </c>
      <c r="W25" s="269">
        <f>CHOOSE(MIN($H$14,4),1.2,1,0.85,0.65)</f>
        <v>0.65</v>
      </c>
      <c r="X25" s="266">
        <f t="shared" ref="X25:X44" si="5">$H$14*W25/BkBms</f>
        <v>0.65</v>
      </c>
      <c r="Y25" s="266" t="str">
        <f>IF(N25="Int",MAX(X25,MAX(U25:V25)),"")</f>
        <v/>
      </c>
      <c r="Z25" s="266">
        <f t="shared" ref="Z25:Z44" si="6">IF(N25="Ext",MAX($Y$25:$Y$44,X25,IF(LEFT(bkspangirder,1)&lt;&gt;"U",IF(IF(D25=1,OSOHBack,OSOHBackRT)&lt;0.5*O25,Y25,Q25/1.2),IF(DeckWidth-RailWidth-RailWidthRt&lt;20,U25/1.2,V25))),"")</f>
        <v>1.2466213151927437</v>
      </c>
    </row>
    <row r="26" spans="1:37">
      <c r="A26" s="16" t="str">
        <f t="shared" si="0"/>
        <v/>
      </c>
      <c r="B26" s="264"/>
      <c r="D26" s="17">
        <f>IF(D25="","",IF(1+D25&lt;=Geometry!$G$123,1+D25,""))</f>
        <v>2</v>
      </c>
      <c r="E26" s="843">
        <f>IF(D26&lt;Geometry!$G$123,AVERAGE(Geometry!E129:E130),"")</f>
        <v>14.666666666666666</v>
      </c>
      <c r="F26" s="843" t="str">
        <f>IF('Live Load on Cap'!D26=Geometry!$G$123,Geometry!E129,"")</f>
        <v/>
      </c>
      <c r="G26" s="266">
        <f t="shared" ref="G26:G44" si="7">IF(N26="Ext",Z26,IF(N26="Int",Y26,""))</f>
        <v>1.2466213151927437</v>
      </c>
      <c r="H26" s="275">
        <f t="shared" ref="H26:H44" si="8">IF(G26="","",G26*$E$18)</f>
        <v>121.2713215419501</v>
      </c>
      <c r="I26" s="275">
        <f t="shared" ref="I26:I44" si="9">IF(G26="","",G26*$E$19)</f>
        <v>26.855215020408163</v>
      </c>
      <c r="J26" s="275">
        <f t="shared" ref="J26:J44" si="10">IF(G26="","",G26*$E$21)</f>
        <v>48.468636734693874</v>
      </c>
      <c r="K26" s="275">
        <f t="shared" ref="K26:K44" si="11">IF(G26="","",G26*$E$22)</f>
        <v>2.8303290340136056</v>
      </c>
      <c r="N26" s="1397" t="str">
        <f t="shared" ref="N26:N28" si="12">IF(F26&lt;&gt;"","Ext",IF(E26&lt;&gt;"","Int",""))</f>
        <v>Int</v>
      </c>
      <c r="O26" s="843">
        <f t="shared" ref="O26:O28" si="13">MAX(E26:F26)</f>
        <v>14.666666666666666</v>
      </c>
      <c r="P26" s="843">
        <f t="shared" ref="P26:P44" si="14">O26+IF(D26=1,$F$16-$F$13,$G$16-$G$13)</f>
        <v>16.666666666666664</v>
      </c>
      <c r="Q26" s="266" t="str">
        <f t="shared" si="1"/>
        <v/>
      </c>
      <c r="R26" s="266">
        <f t="shared" ref="R26:R44" si="15">IF(N26="Int",1.2*0.5*(1+MAX(1-6/O26,0)),"")</f>
        <v>0.95454545454545447</v>
      </c>
      <c r="S26" s="266" t="str">
        <f t="shared" si="2"/>
        <v/>
      </c>
      <c r="T26" s="266">
        <f t="shared" ref="T26:T44" si="16">IF(N26="Int",IF($H$14&gt;1,1,0)*MAX(0.5*(1+MAX(1-6/O26,0)+MAX(1-4/O26,0)+MAX(1-10/O26,0)),2-8/O26-2/O26),"")</f>
        <v>1.3181818181818183</v>
      </c>
      <c r="U26" s="266">
        <f t="shared" si="3"/>
        <v>0.94666666666666666</v>
      </c>
      <c r="V26" s="266">
        <f t="shared" si="4"/>
        <v>1.2466213151927437</v>
      </c>
      <c r="W26" s="269">
        <f t="shared" ref="W26:W44" si="17">CHOOSE(MIN($H$14,4),1.2,1,0.85,0.65)</f>
        <v>0.65</v>
      </c>
      <c r="X26" s="266">
        <f t="shared" si="5"/>
        <v>0.65</v>
      </c>
      <c r="Y26" s="266">
        <f t="shared" ref="Y26:Y44" si="18">IF(N26="Int",MAX(X26,MAX(U26:V26)),"")</f>
        <v>1.2466213151927437</v>
      </c>
      <c r="Z26" s="266" t="str">
        <f t="shared" si="6"/>
        <v/>
      </c>
    </row>
    <row r="27" spans="1:37">
      <c r="A27" s="16" t="str">
        <f t="shared" si="0"/>
        <v/>
      </c>
      <c r="B27" s="264"/>
      <c r="D27" s="17">
        <f>IF(D26="","",IF(1+D26&lt;=Geometry!$G$123,1+D26,""))</f>
        <v>3</v>
      </c>
      <c r="E27" s="843">
        <f>IF(D27&lt;Geometry!$G$123,AVERAGE(Geometry!E130:E131),"")</f>
        <v>14.666666666666666</v>
      </c>
      <c r="F27" s="843" t="str">
        <f>IF('Live Load on Cap'!D27=Geometry!$G$123,Geometry!E130,"")</f>
        <v/>
      </c>
      <c r="G27" s="266">
        <f t="shared" si="7"/>
        <v>1.2466213151927437</v>
      </c>
      <c r="H27" s="275">
        <f t="shared" si="8"/>
        <v>121.2713215419501</v>
      </c>
      <c r="I27" s="275">
        <f t="shared" si="9"/>
        <v>26.855215020408163</v>
      </c>
      <c r="J27" s="275">
        <f t="shared" si="10"/>
        <v>48.468636734693874</v>
      </c>
      <c r="K27" s="275">
        <f t="shared" si="11"/>
        <v>2.8303290340136056</v>
      </c>
      <c r="M27" s="897"/>
      <c r="N27" s="1397" t="str">
        <f t="shared" si="12"/>
        <v>Int</v>
      </c>
      <c r="O27" s="843">
        <f t="shared" si="13"/>
        <v>14.666666666666666</v>
      </c>
      <c r="P27" s="843">
        <f t="shared" si="14"/>
        <v>16.666666666666664</v>
      </c>
      <c r="Q27" s="266" t="str">
        <f t="shared" si="1"/>
        <v/>
      </c>
      <c r="R27" s="266">
        <f t="shared" si="15"/>
        <v>0.95454545454545447</v>
      </c>
      <c r="S27" s="266" t="str">
        <f t="shared" si="2"/>
        <v/>
      </c>
      <c r="T27" s="266">
        <f t="shared" si="16"/>
        <v>1.3181818181818183</v>
      </c>
      <c r="U27" s="266">
        <f t="shared" si="3"/>
        <v>0.94666666666666666</v>
      </c>
      <c r="V27" s="266">
        <f t="shared" si="4"/>
        <v>1.2466213151927437</v>
      </c>
      <c r="W27" s="269">
        <f t="shared" si="17"/>
        <v>0.65</v>
      </c>
      <c r="X27" s="266">
        <f t="shared" si="5"/>
        <v>0.65</v>
      </c>
      <c r="Y27" s="266">
        <f t="shared" si="18"/>
        <v>1.2466213151927437</v>
      </c>
      <c r="Z27" s="266" t="str">
        <f t="shared" si="6"/>
        <v/>
      </c>
    </row>
    <row r="28" spans="1:37">
      <c r="A28" s="16" t="str">
        <f t="shared" si="0"/>
        <v/>
      </c>
      <c r="B28" s="264"/>
      <c r="D28" s="17">
        <f>IF(D27="","",IF(1+D27&lt;=Geometry!$G$123,1+D27,""))</f>
        <v>4</v>
      </c>
      <c r="E28" s="843" t="str">
        <f>IF(D28&lt;Geometry!$G$123,AVERAGE(Geometry!E131:E132),"")</f>
        <v/>
      </c>
      <c r="F28" s="843">
        <f>IF('Live Load on Cap'!D28=Geometry!$G$123,Geometry!E131,"")</f>
        <v>14.666666666666666</v>
      </c>
      <c r="G28" s="266">
        <f t="shared" si="7"/>
        <v>1.2466213151927437</v>
      </c>
      <c r="H28" s="275">
        <f t="shared" si="8"/>
        <v>121.2713215419501</v>
      </c>
      <c r="I28" s="275">
        <f t="shared" si="9"/>
        <v>26.855215020408163</v>
      </c>
      <c r="J28" s="275">
        <f t="shared" si="10"/>
        <v>48.468636734693874</v>
      </c>
      <c r="K28" s="275">
        <f t="shared" si="11"/>
        <v>2.8303290340136056</v>
      </c>
      <c r="N28" s="1397" t="str">
        <f t="shared" si="12"/>
        <v>Ext</v>
      </c>
      <c r="O28" s="843">
        <f t="shared" si="13"/>
        <v>14.666666666666666</v>
      </c>
      <c r="P28" s="843">
        <f t="shared" si="14"/>
        <v>16.666666666666664</v>
      </c>
      <c r="Q28" s="266">
        <f t="shared" si="1"/>
        <v>0.95454545454545436</v>
      </c>
      <c r="R28" s="266" t="str">
        <f t="shared" si="15"/>
        <v/>
      </c>
      <c r="S28" s="266">
        <f t="shared" si="2"/>
        <v>0.95454545454545436</v>
      </c>
      <c r="T28" s="266" t="str">
        <f t="shared" si="16"/>
        <v/>
      </c>
      <c r="U28" s="266">
        <f t="shared" si="3"/>
        <v>0.95454545454545436</v>
      </c>
      <c r="V28" s="266">
        <f t="shared" si="4"/>
        <v>1.2466213151927437</v>
      </c>
      <c r="W28" s="269">
        <f t="shared" si="17"/>
        <v>0.65</v>
      </c>
      <c r="X28" s="266">
        <f t="shared" si="5"/>
        <v>0.65</v>
      </c>
      <c r="Y28" s="266" t="str">
        <f t="shared" si="18"/>
        <v/>
      </c>
      <c r="Z28" s="266">
        <f t="shared" si="6"/>
        <v>1.2466213151927437</v>
      </c>
    </row>
    <row r="29" spans="1:37">
      <c r="A29" s="16" t="str">
        <f t="shared" si="0"/>
        <v>*</v>
      </c>
      <c r="B29" s="264"/>
      <c r="D29" s="17" t="str">
        <f>IF(D28="","",IF(1+D28&lt;=Geometry!$G$123,1+D28,""))</f>
        <v/>
      </c>
      <c r="E29" s="843" t="str">
        <f>IF(D29&lt;Geometry!$G$123,AVERAGE(Geometry!E132:E133),"")</f>
        <v/>
      </c>
      <c r="F29" s="843" t="str">
        <f>IF('Live Load on Cap'!D29=Geometry!$G$123,Geometry!E132,"")</f>
        <v/>
      </c>
      <c r="G29" s="266" t="str">
        <f t="shared" si="7"/>
        <v/>
      </c>
      <c r="H29" s="275" t="str">
        <f t="shared" si="8"/>
        <v/>
      </c>
      <c r="I29" s="275" t="str">
        <f t="shared" si="9"/>
        <v/>
      </c>
      <c r="J29" s="275" t="str">
        <f t="shared" si="10"/>
        <v/>
      </c>
      <c r="K29" s="275" t="str">
        <f t="shared" si="11"/>
        <v/>
      </c>
      <c r="N29" s="1397" t="str">
        <f t="shared" ref="N29:N43" si="19">IF(F29&lt;&gt;"","Ext",IF(E29&lt;&gt;"","Int",""))</f>
        <v/>
      </c>
      <c r="O29" s="843">
        <f t="shared" ref="O29:O43" si="20">MAX(E29:F29)</f>
        <v>0</v>
      </c>
      <c r="P29" s="843">
        <f t="shared" si="14"/>
        <v>2</v>
      </c>
      <c r="Q29" s="266" t="str">
        <f t="shared" si="1"/>
        <v/>
      </c>
      <c r="R29" s="266" t="str">
        <f t="shared" si="15"/>
        <v/>
      </c>
      <c r="S29" s="266" t="str">
        <f t="shared" si="2"/>
        <v/>
      </c>
      <c r="T29" s="266" t="str">
        <f t="shared" si="16"/>
        <v/>
      </c>
      <c r="U29" s="266" t="str">
        <f t="shared" si="3"/>
        <v/>
      </c>
      <c r="V29" s="266">
        <f t="shared" si="4"/>
        <v>0.2</v>
      </c>
      <c r="W29" s="269">
        <f t="shared" si="17"/>
        <v>0.65</v>
      </c>
      <c r="X29" s="266">
        <f t="shared" si="5"/>
        <v>0.65</v>
      </c>
      <c r="Y29" s="266" t="str">
        <f t="shared" si="18"/>
        <v/>
      </c>
      <c r="Z29" s="266" t="str">
        <f t="shared" si="6"/>
        <v/>
      </c>
    </row>
    <row r="30" spans="1:37">
      <c r="A30" s="16" t="str">
        <f t="shared" si="0"/>
        <v>*</v>
      </c>
      <c r="B30" s="264"/>
      <c r="D30" s="17" t="str">
        <f>IF(D29="","",IF(1+D29&lt;=Geometry!$G$123,1+D29,""))</f>
        <v/>
      </c>
      <c r="E30" s="843" t="str">
        <f>IF(D30&lt;Geometry!$G$123,AVERAGE(Geometry!E133:E134),"")</f>
        <v/>
      </c>
      <c r="F30" s="843" t="str">
        <f>IF('Live Load on Cap'!D30=Geometry!$G$123,Geometry!E133,"")</f>
        <v/>
      </c>
      <c r="G30" s="266" t="str">
        <f t="shared" si="7"/>
        <v/>
      </c>
      <c r="H30" s="275" t="str">
        <f t="shared" si="8"/>
        <v/>
      </c>
      <c r="I30" s="275" t="str">
        <f t="shared" si="9"/>
        <v/>
      </c>
      <c r="J30" s="275" t="str">
        <f t="shared" si="10"/>
        <v/>
      </c>
      <c r="K30" s="275" t="str">
        <f t="shared" si="11"/>
        <v/>
      </c>
      <c r="N30" s="1397" t="str">
        <f t="shared" si="19"/>
        <v/>
      </c>
      <c r="O30" s="843">
        <f t="shared" si="20"/>
        <v>0</v>
      </c>
      <c r="P30" s="843">
        <f t="shared" si="14"/>
        <v>2</v>
      </c>
      <c r="Q30" s="266" t="str">
        <f t="shared" si="1"/>
        <v/>
      </c>
      <c r="R30" s="266" t="str">
        <f t="shared" si="15"/>
        <v/>
      </c>
      <c r="S30" s="266" t="str">
        <f t="shared" si="2"/>
        <v/>
      </c>
      <c r="T30" s="266" t="str">
        <f t="shared" si="16"/>
        <v/>
      </c>
      <c r="U30" s="266" t="str">
        <f t="shared" si="3"/>
        <v/>
      </c>
      <c r="V30" s="266">
        <f t="shared" si="4"/>
        <v>0.2</v>
      </c>
      <c r="W30" s="269">
        <f t="shared" si="17"/>
        <v>0.65</v>
      </c>
      <c r="X30" s="266">
        <f t="shared" si="5"/>
        <v>0.65</v>
      </c>
      <c r="Y30" s="266" t="str">
        <f t="shared" si="18"/>
        <v/>
      </c>
      <c r="Z30" s="266" t="str">
        <f t="shared" si="6"/>
        <v/>
      </c>
    </row>
    <row r="31" spans="1:37">
      <c r="A31" s="16" t="str">
        <f t="shared" si="0"/>
        <v>*</v>
      </c>
      <c r="B31" s="264"/>
      <c r="D31" s="17" t="str">
        <f>IF(D30="","",IF(1+D30&lt;=Geometry!$G$123,1+D30,""))</f>
        <v/>
      </c>
      <c r="E31" s="843" t="str">
        <f>IF(D31&lt;Geometry!$G$123,AVERAGE(Geometry!E134:E135),"")</f>
        <v/>
      </c>
      <c r="F31" s="843" t="str">
        <f>IF('Live Load on Cap'!D31=Geometry!$G$123,Geometry!E134,"")</f>
        <v/>
      </c>
      <c r="G31" s="266" t="str">
        <f t="shared" si="7"/>
        <v/>
      </c>
      <c r="H31" s="275" t="str">
        <f t="shared" si="8"/>
        <v/>
      </c>
      <c r="I31" s="275" t="str">
        <f t="shared" si="9"/>
        <v/>
      </c>
      <c r="J31" s="275" t="str">
        <f t="shared" si="10"/>
        <v/>
      </c>
      <c r="K31" s="275" t="str">
        <f t="shared" si="11"/>
        <v/>
      </c>
      <c r="N31" s="1397" t="str">
        <f t="shared" si="19"/>
        <v/>
      </c>
      <c r="O31" s="843">
        <f t="shared" si="20"/>
        <v>0</v>
      </c>
      <c r="P31" s="843">
        <f t="shared" si="14"/>
        <v>2</v>
      </c>
      <c r="Q31" s="266" t="str">
        <f t="shared" si="1"/>
        <v/>
      </c>
      <c r="R31" s="266" t="str">
        <f t="shared" si="15"/>
        <v/>
      </c>
      <c r="S31" s="266" t="str">
        <f t="shared" si="2"/>
        <v/>
      </c>
      <c r="T31" s="266" t="str">
        <f t="shared" si="16"/>
        <v/>
      </c>
      <c r="U31" s="266" t="str">
        <f t="shared" si="3"/>
        <v/>
      </c>
      <c r="V31" s="266">
        <f t="shared" si="4"/>
        <v>0.2</v>
      </c>
      <c r="W31" s="269">
        <f t="shared" si="17"/>
        <v>0.65</v>
      </c>
      <c r="X31" s="266">
        <f t="shared" si="5"/>
        <v>0.65</v>
      </c>
      <c r="Y31" s="266" t="str">
        <f t="shared" si="18"/>
        <v/>
      </c>
      <c r="Z31" s="266" t="str">
        <f t="shared" si="6"/>
        <v/>
      </c>
    </row>
    <row r="32" spans="1:37">
      <c r="A32" s="16" t="str">
        <f t="shared" si="0"/>
        <v>*</v>
      </c>
      <c r="B32" s="264"/>
      <c r="D32" s="17" t="str">
        <f>IF(D31="","",IF(1+D31&lt;=Geometry!$G$123,1+D31,""))</f>
        <v/>
      </c>
      <c r="E32" s="843" t="str">
        <f>IF(D32&lt;Geometry!$G$123,AVERAGE(Geometry!E135:E136),"")</f>
        <v/>
      </c>
      <c r="F32" s="843" t="str">
        <f>IF('Live Load on Cap'!D32=Geometry!$G$123,Geometry!E135,"")</f>
        <v/>
      </c>
      <c r="G32" s="266" t="str">
        <f t="shared" si="7"/>
        <v/>
      </c>
      <c r="H32" s="275" t="str">
        <f t="shared" si="8"/>
        <v/>
      </c>
      <c r="I32" s="275" t="str">
        <f t="shared" si="9"/>
        <v/>
      </c>
      <c r="J32" s="275" t="str">
        <f t="shared" si="10"/>
        <v/>
      </c>
      <c r="K32" s="275" t="str">
        <f t="shared" si="11"/>
        <v/>
      </c>
      <c r="N32" s="1397" t="str">
        <f t="shared" si="19"/>
        <v/>
      </c>
      <c r="O32" s="843">
        <f t="shared" si="20"/>
        <v>0</v>
      </c>
      <c r="P32" s="843">
        <f t="shared" si="14"/>
        <v>2</v>
      </c>
      <c r="Q32" s="266" t="str">
        <f t="shared" si="1"/>
        <v/>
      </c>
      <c r="R32" s="266" t="str">
        <f t="shared" si="15"/>
        <v/>
      </c>
      <c r="S32" s="266" t="str">
        <f t="shared" si="2"/>
        <v/>
      </c>
      <c r="T32" s="266" t="str">
        <f t="shared" si="16"/>
        <v/>
      </c>
      <c r="U32" s="266" t="str">
        <f t="shared" si="3"/>
        <v/>
      </c>
      <c r="V32" s="266">
        <f t="shared" si="4"/>
        <v>0.2</v>
      </c>
      <c r="W32" s="269">
        <f t="shared" si="17"/>
        <v>0.65</v>
      </c>
      <c r="X32" s="266">
        <f t="shared" si="5"/>
        <v>0.65</v>
      </c>
      <c r="Y32" s="266" t="str">
        <f t="shared" si="18"/>
        <v/>
      </c>
      <c r="Z32" s="266" t="str">
        <f t="shared" si="6"/>
        <v/>
      </c>
    </row>
    <row r="33" spans="1:28">
      <c r="A33" s="16" t="str">
        <f>IF(D33="","*","")</f>
        <v>*</v>
      </c>
      <c r="B33" s="264"/>
      <c r="D33" s="17" t="str">
        <f>IF(D32="","",IF(1+D32&lt;=Geometry!$G$123,1+D32,""))</f>
        <v/>
      </c>
      <c r="E33" s="843" t="str">
        <f>IF(D33&lt;Geometry!$G$123,AVERAGE(Geometry!E136:E137),"")</f>
        <v/>
      </c>
      <c r="F33" s="843" t="str">
        <f>IF('Live Load on Cap'!D33=Geometry!$G$123,Geometry!E136,"")</f>
        <v/>
      </c>
      <c r="G33" s="266" t="str">
        <f t="shared" si="7"/>
        <v/>
      </c>
      <c r="H33" s="275" t="str">
        <f t="shared" si="8"/>
        <v/>
      </c>
      <c r="I33" s="275" t="str">
        <f t="shared" si="9"/>
        <v/>
      </c>
      <c r="J33" s="275" t="str">
        <f t="shared" si="10"/>
        <v/>
      </c>
      <c r="K33" s="275" t="str">
        <f t="shared" si="11"/>
        <v/>
      </c>
      <c r="N33" s="1397" t="str">
        <f t="shared" si="19"/>
        <v/>
      </c>
      <c r="O33" s="843">
        <f t="shared" si="20"/>
        <v>0</v>
      </c>
      <c r="P33" s="843">
        <f t="shared" si="14"/>
        <v>2</v>
      </c>
      <c r="Q33" s="266" t="str">
        <f t="shared" si="1"/>
        <v/>
      </c>
      <c r="R33" s="266" t="str">
        <f t="shared" si="15"/>
        <v/>
      </c>
      <c r="S33" s="266" t="str">
        <f t="shared" si="2"/>
        <v/>
      </c>
      <c r="T33" s="266" t="str">
        <f t="shared" si="16"/>
        <v/>
      </c>
      <c r="U33" s="266" t="str">
        <f t="shared" si="3"/>
        <v/>
      </c>
      <c r="V33" s="266">
        <f t="shared" si="4"/>
        <v>0.2</v>
      </c>
      <c r="W33" s="269">
        <f t="shared" si="17"/>
        <v>0.65</v>
      </c>
      <c r="X33" s="266">
        <f t="shared" si="5"/>
        <v>0.65</v>
      </c>
      <c r="Y33" s="266" t="str">
        <f t="shared" si="18"/>
        <v/>
      </c>
      <c r="Z33" s="266" t="str">
        <f t="shared" si="6"/>
        <v/>
      </c>
    </row>
    <row r="34" spans="1:28">
      <c r="A34" s="16" t="str">
        <f t="shared" si="0"/>
        <v>*</v>
      </c>
      <c r="B34" s="264"/>
      <c r="D34" s="17" t="str">
        <f>IF(D33="","",IF(1+D33&lt;=Geometry!$G$123,1+D33,""))</f>
        <v/>
      </c>
      <c r="E34" s="843" t="str">
        <f>IF(D34&lt;Geometry!$G$123,AVERAGE(Geometry!E137:E138),"")</f>
        <v/>
      </c>
      <c r="F34" s="843" t="str">
        <f>IF('Live Load on Cap'!D34=Geometry!$G$123,Geometry!E137,"")</f>
        <v/>
      </c>
      <c r="G34" s="266" t="str">
        <f t="shared" si="7"/>
        <v/>
      </c>
      <c r="H34" s="275" t="str">
        <f t="shared" si="8"/>
        <v/>
      </c>
      <c r="I34" s="275" t="str">
        <f t="shared" si="9"/>
        <v/>
      </c>
      <c r="J34" s="275" t="str">
        <f t="shared" si="10"/>
        <v/>
      </c>
      <c r="K34" s="275" t="str">
        <f t="shared" si="11"/>
        <v/>
      </c>
      <c r="N34" s="1397" t="str">
        <f t="shared" si="19"/>
        <v/>
      </c>
      <c r="O34" s="843">
        <f t="shared" si="20"/>
        <v>0</v>
      </c>
      <c r="P34" s="843">
        <f t="shared" si="14"/>
        <v>2</v>
      </c>
      <c r="Q34" s="266" t="str">
        <f t="shared" si="1"/>
        <v/>
      </c>
      <c r="R34" s="266" t="str">
        <f t="shared" si="15"/>
        <v/>
      </c>
      <c r="S34" s="266" t="str">
        <f t="shared" si="2"/>
        <v/>
      </c>
      <c r="T34" s="266" t="str">
        <f t="shared" si="16"/>
        <v/>
      </c>
      <c r="U34" s="266" t="str">
        <f t="shared" si="3"/>
        <v/>
      </c>
      <c r="V34" s="266">
        <f t="shared" si="4"/>
        <v>0.2</v>
      </c>
      <c r="W34" s="269">
        <f t="shared" si="17"/>
        <v>0.65</v>
      </c>
      <c r="X34" s="266">
        <f t="shared" si="5"/>
        <v>0.65</v>
      </c>
      <c r="Y34" s="266" t="str">
        <f t="shared" si="18"/>
        <v/>
      </c>
      <c r="Z34" s="266" t="str">
        <f t="shared" si="6"/>
        <v/>
      </c>
    </row>
    <row r="35" spans="1:28">
      <c r="A35" s="16" t="str">
        <f t="shared" si="0"/>
        <v>*</v>
      </c>
      <c r="B35" s="264"/>
      <c r="D35" s="17" t="str">
        <f>IF(D34="","",IF(1+D34&lt;=Geometry!$G$123,1+D34,""))</f>
        <v/>
      </c>
      <c r="E35" s="843" t="str">
        <f>IF(D35&lt;Geometry!$G$123,AVERAGE(Geometry!E138:E139),"")</f>
        <v/>
      </c>
      <c r="F35" s="843" t="str">
        <f>IF('Live Load on Cap'!D35=Geometry!$G$123,Geometry!E138,"")</f>
        <v/>
      </c>
      <c r="G35" s="266" t="str">
        <f t="shared" si="7"/>
        <v/>
      </c>
      <c r="H35" s="275" t="str">
        <f t="shared" si="8"/>
        <v/>
      </c>
      <c r="I35" s="275" t="str">
        <f t="shared" si="9"/>
        <v/>
      </c>
      <c r="J35" s="275" t="str">
        <f t="shared" si="10"/>
        <v/>
      </c>
      <c r="K35" s="275" t="str">
        <f t="shared" si="11"/>
        <v/>
      </c>
      <c r="N35" s="1397" t="str">
        <f t="shared" si="19"/>
        <v/>
      </c>
      <c r="O35" s="843">
        <f t="shared" si="20"/>
        <v>0</v>
      </c>
      <c r="P35" s="843">
        <f t="shared" si="14"/>
        <v>2</v>
      </c>
      <c r="Q35" s="266" t="str">
        <f t="shared" si="1"/>
        <v/>
      </c>
      <c r="R35" s="266" t="str">
        <f t="shared" si="15"/>
        <v/>
      </c>
      <c r="S35" s="266" t="str">
        <f t="shared" si="2"/>
        <v/>
      </c>
      <c r="T35" s="266" t="str">
        <f t="shared" si="16"/>
        <v/>
      </c>
      <c r="U35" s="266" t="str">
        <f t="shared" si="3"/>
        <v/>
      </c>
      <c r="V35" s="266">
        <f t="shared" si="4"/>
        <v>0.2</v>
      </c>
      <c r="W35" s="269">
        <f t="shared" si="17"/>
        <v>0.65</v>
      </c>
      <c r="X35" s="266">
        <f t="shared" si="5"/>
        <v>0.65</v>
      </c>
      <c r="Y35" s="266" t="str">
        <f t="shared" si="18"/>
        <v/>
      </c>
      <c r="Z35" s="266" t="str">
        <f t="shared" si="6"/>
        <v/>
      </c>
    </row>
    <row r="36" spans="1:28">
      <c r="A36" s="16" t="str">
        <f t="shared" si="0"/>
        <v>*</v>
      </c>
      <c r="B36" s="264"/>
      <c r="D36" s="17" t="str">
        <f>IF(D35="","",IF(1+D35&lt;=Geometry!$G$123,1+D35,""))</f>
        <v/>
      </c>
      <c r="E36" s="843" t="str">
        <f>IF(D36&lt;Geometry!$G$123,AVERAGE(Geometry!E139:E140),"")</f>
        <v/>
      </c>
      <c r="F36" s="843" t="str">
        <f>IF('Live Load on Cap'!D36=Geometry!$G$123,Geometry!E139,"")</f>
        <v/>
      </c>
      <c r="G36" s="266" t="str">
        <f t="shared" si="7"/>
        <v/>
      </c>
      <c r="H36" s="275" t="str">
        <f t="shared" si="8"/>
        <v/>
      </c>
      <c r="I36" s="275" t="str">
        <f t="shared" si="9"/>
        <v/>
      </c>
      <c r="J36" s="275" t="str">
        <f t="shared" si="10"/>
        <v/>
      </c>
      <c r="K36" s="275" t="str">
        <f t="shared" si="11"/>
        <v/>
      </c>
      <c r="N36" s="1397" t="str">
        <f t="shared" si="19"/>
        <v/>
      </c>
      <c r="O36" s="843">
        <f t="shared" si="20"/>
        <v>0</v>
      </c>
      <c r="P36" s="843">
        <f t="shared" si="14"/>
        <v>2</v>
      </c>
      <c r="Q36" s="266" t="str">
        <f t="shared" si="1"/>
        <v/>
      </c>
      <c r="R36" s="266" t="str">
        <f t="shared" si="15"/>
        <v/>
      </c>
      <c r="S36" s="266" t="str">
        <f t="shared" si="2"/>
        <v/>
      </c>
      <c r="T36" s="266" t="str">
        <f t="shared" si="16"/>
        <v/>
      </c>
      <c r="U36" s="266" t="str">
        <f t="shared" si="3"/>
        <v/>
      </c>
      <c r="V36" s="266">
        <f t="shared" si="4"/>
        <v>0.2</v>
      </c>
      <c r="W36" s="269">
        <f t="shared" si="17"/>
        <v>0.65</v>
      </c>
      <c r="X36" s="266">
        <f t="shared" si="5"/>
        <v>0.65</v>
      </c>
      <c r="Y36" s="266" t="str">
        <f t="shared" si="18"/>
        <v/>
      </c>
      <c r="Z36" s="266" t="str">
        <f t="shared" si="6"/>
        <v/>
      </c>
      <c r="AB36" t="str">
        <f t="shared" ref="AB36:AB44" si="21">IF(E36="",IF(F36="","",MAX(0.36+F36/25,$H$14/BkBms*IF($H$14=1,1.2,IF($H$14=2,1,IF($H$14=3,0.85,0.65))),IF(AND(LEFT(bkspangirder,1)&lt;&gt;"U",IF(D36=1,$F$16,$G$16)&gt;0.5*F36),IF(8+IF(D36=1,$F$13,$G$13)&lt;F36+IF(D36=1,$F$16,$G$16),1*(IF(D36=1,$F$16,$G$16)+F36-IF(D36=1,$F$13,$G$13)-$F$14/2)/F36,1.2*0.5*(IF(D36=1,$F$16,$G$16)+F36-IF(D36=1,$F$13,$G$13)-2)/F36),IF(AND(LEFT(bkspangirder,1)="U",DeckWidth-$F$13-$G$13&gt;20),0.2+F36/12-(F36/35)^2,0.36+F36/25)))),0.36+E36/25)</f>
        <v/>
      </c>
    </row>
    <row r="37" spans="1:28">
      <c r="A37" s="16" t="str">
        <f t="shared" si="0"/>
        <v>*</v>
      </c>
      <c r="B37" s="264"/>
      <c r="D37" s="17" t="str">
        <f>IF(D36="","",IF(1+D36&lt;=Geometry!$G$123,1+D36,""))</f>
        <v/>
      </c>
      <c r="E37" s="843" t="str">
        <f>IF(D37&lt;Geometry!$G$123,AVERAGE(Geometry!E140:E141),"")</f>
        <v/>
      </c>
      <c r="F37" s="843" t="str">
        <f>IF('Live Load on Cap'!D37=Geometry!$G$123,Geometry!E140,"")</f>
        <v/>
      </c>
      <c r="G37" s="266" t="str">
        <f t="shared" si="7"/>
        <v/>
      </c>
      <c r="H37" s="275" t="str">
        <f t="shared" si="8"/>
        <v/>
      </c>
      <c r="I37" s="275" t="str">
        <f t="shared" si="9"/>
        <v/>
      </c>
      <c r="J37" s="275" t="str">
        <f t="shared" si="10"/>
        <v/>
      </c>
      <c r="K37" s="275" t="str">
        <f t="shared" si="11"/>
        <v/>
      </c>
      <c r="N37" s="1397" t="str">
        <f t="shared" si="19"/>
        <v/>
      </c>
      <c r="O37" s="843">
        <f t="shared" si="20"/>
        <v>0</v>
      </c>
      <c r="P37" s="843">
        <f t="shared" si="14"/>
        <v>2</v>
      </c>
      <c r="Q37" s="266" t="str">
        <f t="shared" si="1"/>
        <v/>
      </c>
      <c r="R37" s="266" t="str">
        <f t="shared" si="15"/>
        <v/>
      </c>
      <c r="S37" s="266" t="str">
        <f t="shared" si="2"/>
        <v/>
      </c>
      <c r="T37" s="266" t="str">
        <f t="shared" si="16"/>
        <v/>
      </c>
      <c r="U37" s="266" t="str">
        <f t="shared" si="3"/>
        <v/>
      </c>
      <c r="V37" s="266">
        <f t="shared" si="4"/>
        <v>0.2</v>
      </c>
      <c r="W37" s="269">
        <f t="shared" si="17"/>
        <v>0.65</v>
      </c>
      <c r="X37" s="266">
        <f t="shared" si="5"/>
        <v>0.65</v>
      </c>
      <c r="Y37" s="266" t="str">
        <f t="shared" si="18"/>
        <v/>
      </c>
      <c r="Z37" s="266" t="str">
        <f t="shared" si="6"/>
        <v/>
      </c>
      <c r="AB37" t="str">
        <f t="shared" si="21"/>
        <v/>
      </c>
    </row>
    <row r="38" spans="1:28">
      <c r="A38" s="16" t="str">
        <f t="shared" si="0"/>
        <v>*</v>
      </c>
      <c r="B38" s="264"/>
      <c r="D38" s="17" t="str">
        <f>IF(D37="","",IF(1+D37&lt;=Geometry!$G$123,1+D37,""))</f>
        <v/>
      </c>
      <c r="E38" s="843" t="str">
        <f>IF(D38&lt;Geometry!$G$123,AVERAGE(Geometry!E141:E142),"")</f>
        <v/>
      </c>
      <c r="F38" s="843" t="str">
        <f>IF('Live Load on Cap'!D38=Geometry!$G$123,Geometry!E141,"")</f>
        <v/>
      </c>
      <c r="G38" s="266" t="str">
        <f t="shared" si="7"/>
        <v/>
      </c>
      <c r="H38" s="275" t="str">
        <f t="shared" si="8"/>
        <v/>
      </c>
      <c r="I38" s="275" t="str">
        <f t="shared" si="9"/>
        <v/>
      </c>
      <c r="J38" s="275" t="str">
        <f t="shared" si="10"/>
        <v/>
      </c>
      <c r="K38" s="275" t="str">
        <f t="shared" si="11"/>
        <v/>
      </c>
      <c r="N38" s="1397" t="str">
        <f t="shared" si="19"/>
        <v/>
      </c>
      <c r="O38" s="843">
        <f t="shared" si="20"/>
        <v>0</v>
      </c>
      <c r="P38" s="843">
        <f t="shared" si="14"/>
        <v>2</v>
      </c>
      <c r="Q38" s="266" t="str">
        <f t="shared" si="1"/>
        <v/>
      </c>
      <c r="R38" s="266" t="str">
        <f t="shared" si="15"/>
        <v/>
      </c>
      <c r="S38" s="266" t="str">
        <f t="shared" si="2"/>
        <v/>
      </c>
      <c r="T38" s="266" t="str">
        <f t="shared" si="16"/>
        <v/>
      </c>
      <c r="U38" s="266" t="str">
        <f t="shared" si="3"/>
        <v/>
      </c>
      <c r="V38" s="266">
        <f t="shared" si="4"/>
        <v>0.2</v>
      </c>
      <c r="W38" s="269">
        <f t="shared" si="17"/>
        <v>0.65</v>
      </c>
      <c r="X38" s="266">
        <f t="shared" si="5"/>
        <v>0.65</v>
      </c>
      <c r="Y38" s="266" t="str">
        <f t="shared" si="18"/>
        <v/>
      </c>
      <c r="Z38" s="266" t="str">
        <f t="shared" si="6"/>
        <v/>
      </c>
      <c r="AB38" t="str">
        <f t="shared" si="21"/>
        <v/>
      </c>
    </row>
    <row r="39" spans="1:28">
      <c r="A39" s="16" t="str">
        <f t="shared" si="0"/>
        <v>*</v>
      </c>
      <c r="B39" s="264"/>
      <c r="D39" s="17" t="str">
        <f>IF(D38="","",IF(1+D38&lt;=Geometry!$G$123,1+D38,""))</f>
        <v/>
      </c>
      <c r="E39" s="843" t="str">
        <f>IF(D39&lt;Geometry!$G$123,AVERAGE(Geometry!E142:E143),"")</f>
        <v/>
      </c>
      <c r="F39" s="843" t="str">
        <f>IF('Live Load on Cap'!D39=Geometry!$G$123,Geometry!E142,"")</f>
        <v/>
      </c>
      <c r="G39" s="266" t="str">
        <f t="shared" si="7"/>
        <v/>
      </c>
      <c r="H39" s="275" t="str">
        <f t="shared" si="8"/>
        <v/>
      </c>
      <c r="I39" s="275" t="str">
        <f t="shared" si="9"/>
        <v/>
      </c>
      <c r="J39" s="275" t="str">
        <f t="shared" si="10"/>
        <v/>
      </c>
      <c r="K39" s="275" t="str">
        <f t="shared" si="11"/>
        <v/>
      </c>
      <c r="N39" s="1397" t="str">
        <f t="shared" si="19"/>
        <v/>
      </c>
      <c r="O39" s="843">
        <f t="shared" si="20"/>
        <v>0</v>
      </c>
      <c r="P39" s="843">
        <f t="shared" si="14"/>
        <v>2</v>
      </c>
      <c r="Q39" s="266" t="str">
        <f t="shared" si="1"/>
        <v/>
      </c>
      <c r="R39" s="266" t="str">
        <f t="shared" si="15"/>
        <v/>
      </c>
      <c r="S39" s="266" t="str">
        <f t="shared" si="2"/>
        <v/>
      </c>
      <c r="T39" s="266" t="str">
        <f t="shared" si="16"/>
        <v/>
      </c>
      <c r="U39" s="266" t="str">
        <f t="shared" si="3"/>
        <v/>
      </c>
      <c r="V39" s="266">
        <f t="shared" si="4"/>
        <v>0.2</v>
      </c>
      <c r="W39" s="269">
        <f t="shared" si="17"/>
        <v>0.65</v>
      </c>
      <c r="X39" s="266">
        <f t="shared" si="5"/>
        <v>0.65</v>
      </c>
      <c r="Y39" s="266" t="str">
        <f t="shared" si="18"/>
        <v/>
      </c>
      <c r="Z39" s="266" t="str">
        <f t="shared" si="6"/>
        <v/>
      </c>
      <c r="AB39" t="str">
        <f t="shared" si="21"/>
        <v/>
      </c>
    </row>
    <row r="40" spans="1:28">
      <c r="A40" s="16" t="str">
        <f t="shared" si="0"/>
        <v>*</v>
      </c>
      <c r="B40" s="264"/>
      <c r="D40" s="17" t="str">
        <f>IF(D39="","",IF(1+D39&lt;=Geometry!$G$123,1+D39,""))</f>
        <v/>
      </c>
      <c r="E40" s="843" t="str">
        <f>IF(D40&lt;Geometry!$G$123,AVERAGE(Geometry!E143:E144),"")</f>
        <v/>
      </c>
      <c r="F40" s="843" t="str">
        <f>IF('Live Load on Cap'!D40=Geometry!$G$123,Geometry!E143,"")</f>
        <v/>
      </c>
      <c r="G40" s="266" t="str">
        <f t="shared" si="7"/>
        <v/>
      </c>
      <c r="H40" s="275" t="str">
        <f t="shared" si="8"/>
        <v/>
      </c>
      <c r="I40" s="275" t="str">
        <f t="shared" si="9"/>
        <v/>
      </c>
      <c r="J40" s="275" t="str">
        <f t="shared" si="10"/>
        <v/>
      </c>
      <c r="K40" s="275" t="str">
        <f t="shared" si="11"/>
        <v/>
      </c>
      <c r="N40" s="1397" t="str">
        <f t="shared" si="19"/>
        <v/>
      </c>
      <c r="O40" s="843">
        <f t="shared" si="20"/>
        <v>0</v>
      </c>
      <c r="P40" s="843">
        <f t="shared" si="14"/>
        <v>2</v>
      </c>
      <c r="Q40" s="266" t="str">
        <f t="shared" si="1"/>
        <v/>
      </c>
      <c r="R40" s="266" t="str">
        <f t="shared" si="15"/>
        <v/>
      </c>
      <c r="S40" s="266" t="str">
        <f t="shared" si="2"/>
        <v/>
      </c>
      <c r="T40" s="266" t="str">
        <f t="shared" si="16"/>
        <v/>
      </c>
      <c r="U40" s="266" t="str">
        <f t="shared" si="3"/>
        <v/>
      </c>
      <c r="V40" s="266">
        <f t="shared" si="4"/>
        <v>0.2</v>
      </c>
      <c r="W40" s="269">
        <f t="shared" si="17"/>
        <v>0.65</v>
      </c>
      <c r="X40" s="266">
        <f t="shared" si="5"/>
        <v>0.65</v>
      </c>
      <c r="Y40" s="266" t="str">
        <f t="shared" si="18"/>
        <v/>
      </c>
      <c r="Z40" s="266" t="str">
        <f t="shared" si="6"/>
        <v/>
      </c>
      <c r="AB40" t="str">
        <f t="shared" si="21"/>
        <v/>
      </c>
    </row>
    <row r="41" spans="1:28">
      <c r="A41" s="16" t="str">
        <f t="shared" si="0"/>
        <v>*</v>
      </c>
      <c r="B41" s="264"/>
      <c r="D41" s="17" t="str">
        <f>IF(D40="","",IF(1+D40&lt;=Geometry!$G$123,1+D40,""))</f>
        <v/>
      </c>
      <c r="E41" s="843" t="str">
        <f>IF(D41&lt;Geometry!$G$123,AVERAGE(Geometry!E144:E145),"")</f>
        <v/>
      </c>
      <c r="F41" s="843" t="str">
        <f>IF('Live Load on Cap'!D41=Geometry!$G$123,Geometry!E144,"")</f>
        <v/>
      </c>
      <c r="G41" s="266" t="str">
        <f t="shared" si="7"/>
        <v/>
      </c>
      <c r="H41" s="275" t="str">
        <f t="shared" si="8"/>
        <v/>
      </c>
      <c r="I41" s="275" t="str">
        <f t="shared" si="9"/>
        <v/>
      </c>
      <c r="J41" s="275" t="str">
        <f t="shared" si="10"/>
        <v/>
      </c>
      <c r="K41" s="275" t="str">
        <f t="shared" si="11"/>
        <v/>
      </c>
      <c r="N41" s="1397" t="str">
        <f t="shared" si="19"/>
        <v/>
      </c>
      <c r="O41" s="843">
        <f t="shared" si="20"/>
        <v>0</v>
      </c>
      <c r="P41" s="843">
        <f t="shared" si="14"/>
        <v>2</v>
      </c>
      <c r="Q41" s="266" t="str">
        <f t="shared" si="1"/>
        <v/>
      </c>
      <c r="R41" s="266" t="str">
        <f t="shared" si="15"/>
        <v/>
      </c>
      <c r="S41" s="266" t="str">
        <f t="shared" si="2"/>
        <v/>
      </c>
      <c r="T41" s="266" t="str">
        <f t="shared" si="16"/>
        <v/>
      </c>
      <c r="U41" s="266" t="str">
        <f t="shared" si="3"/>
        <v/>
      </c>
      <c r="V41" s="266">
        <f t="shared" si="4"/>
        <v>0.2</v>
      </c>
      <c r="W41" s="269">
        <f t="shared" si="17"/>
        <v>0.65</v>
      </c>
      <c r="X41" s="266">
        <f t="shared" si="5"/>
        <v>0.65</v>
      </c>
      <c r="Y41" s="266" t="str">
        <f t="shared" si="18"/>
        <v/>
      </c>
      <c r="Z41" s="266" t="str">
        <f t="shared" si="6"/>
        <v/>
      </c>
      <c r="AB41" t="str">
        <f t="shared" si="21"/>
        <v/>
      </c>
    </row>
    <row r="42" spans="1:28">
      <c r="A42" s="16" t="str">
        <f t="shared" si="0"/>
        <v>*</v>
      </c>
      <c r="B42" s="264"/>
      <c r="D42" s="17" t="str">
        <f>IF(D41="","",IF(1+D41&lt;=Geometry!$G$123,1+D41,""))</f>
        <v/>
      </c>
      <c r="E42" s="843" t="str">
        <f>IF(D42&lt;Geometry!$G$123,AVERAGE(Geometry!E145:E146),"")</f>
        <v/>
      </c>
      <c r="F42" s="843" t="str">
        <f>IF('Live Load on Cap'!D42=Geometry!$G$123,Geometry!E145,"")</f>
        <v/>
      </c>
      <c r="G42" s="266" t="str">
        <f t="shared" si="7"/>
        <v/>
      </c>
      <c r="H42" s="275" t="str">
        <f t="shared" si="8"/>
        <v/>
      </c>
      <c r="I42" s="275" t="str">
        <f t="shared" si="9"/>
        <v/>
      </c>
      <c r="J42" s="275" t="str">
        <f t="shared" si="10"/>
        <v/>
      </c>
      <c r="K42" s="275" t="str">
        <f t="shared" si="11"/>
        <v/>
      </c>
      <c r="N42" s="1397" t="str">
        <f t="shared" si="19"/>
        <v/>
      </c>
      <c r="O42" s="843">
        <f t="shared" si="20"/>
        <v>0</v>
      </c>
      <c r="P42" s="843">
        <f t="shared" si="14"/>
        <v>2</v>
      </c>
      <c r="Q42" s="266" t="str">
        <f t="shared" si="1"/>
        <v/>
      </c>
      <c r="R42" s="266" t="str">
        <f t="shared" si="15"/>
        <v/>
      </c>
      <c r="S42" s="266" t="str">
        <f t="shared" si="2"/>
        <v/>
      </c>
      <c r="T42" s="266" t="str">
        <f t="shared" si="16"/>
        <v/>
      </c>
      <c r="U42" s="266" t="str">
        <f t="shared" si="3"/>
        <v/>
      </c>
      <c r="V42" s="266">
        <f t="shared" si="4"/>
        <v>0.2</v>
      </c>
      <c r="W42" s="269">
        <f t="shared" si="17"/>
        <v>0.65</v>
      </c>
      <c r="X42" s="266">
        <f t="shared" si="5"/>
        <v>0.65</v>
      </c>
      <c r="Y42" s="266" t="str">
        <f t="shared" si="18"/>
        <v/>
      </c>
      <c r="Z42" s="266" t="str">
        <f t="shared" si="6"/>
        <v/>
      </c>
      <c r="AB42" t="str">
        <f t="shared" si="21"/>
        <v/>
      </c>
    </row>
    <row r="43" spans="1:28">
      <c r="A43" s="16" t="str">
        <f t="shared" si="0"/>
        <v>*</v>
      </c>
      <c r="B43" s="264"/>
      <c r="D43" s="17" t="str">
        <f>IF(D42="","",IF(1+D42&lt;=Geometry!$G$123,1+D42,""))</f>
        <v/>
      </c>
      <c r="E43" s="843" t="str">
        <f>IF(D43&lt;Geometry!$G$123,AVERAGE(Geometry!E146:E147),"")</f>
        <v/>
      </c>
      <c r="F43" s="843" t="str">
        <f>IF('Live Load on Cap'!D43=Geometry!$G$123,Geometry!E146,"")</f>
        <v/>
      </c>
      <c r="G43" s="266" t="str">
        <f t="shared" si="7"/>
        <v/>
      </c>
      <c r="H43" s="275" t="str">
        <f t="shared" si="8"/>
        <v/>
      </c>
      <c r="I43" s="275" t="str">
        <f t="shared" si="9"/>
        <v/>
      </c>
      <c r="J43" s="275" t="str">
        <f t="shared" si="10"/>
        <v/>
      </c>
      <c r="K43" s="275" t="str">
        <f t="shared" si="11"/>
        <v/>
      </c>
      <c r="N43" s="1397" t="str">
        <f t="shared" si="19"/>
        <v/>
      </c>
      <c r="O43" s="843">
        <f t="shared" si="20"/>
        <v>0</v>
      </c>
      <c r="P43" s="843">
        <f t="shared" si="14"/>
        <v>2</v>
      </c>
      <c r="Q43" s="266" t="str">
        <f t="shared" si="1"/>
        <v/>
      </c>
      <c r="R43" s="266" t="str">
        <f t="shared" si="15"/>
        <v/>
      </c>
      <c r="S43" s="266" t="str">
        <f t="shared" si="2"/>
        <v/>
      </c>
      <c r="T43" s="266" t="str">
        <f t="shared" si="16"/>
        <v/>
      </c>
      <c r="U43" s="266" t="str">
        <f t="shared" si="3"/>
        <v/>
      </c>
      <c r="V43" s="266">
        <f t="shared" si="4"/>
        <v>0.2</v>
      </c>
      <c r="W43" s="269">
        <f t="shared" si="17"/>
        <v>0.65</v>
      </c>
      <c r="X43" s="266">
        <f t="shared" si="5"/>
        <v>0.65</v>
      </c>
      <c r="Y43" s="266" t="str">
        <f t="shared" si="18"/>
        <v/>
      </c>
      <c r="Z43" s="266" t="str">
        <f t="shared" si="6"/>
        <v/>
      </c>
      <c r="AB43" t="str">
        <f t="shared" si="21"/>
        <v/>
      </c>
    </row>
    <row r="44" spans="1:28">
      <c r="A44" s="16" t="str">
        <f t="shared" si="0"/>
        <v>*</v>
      </c>
      <c r="B44" s="264"/>
      <c r="D44" s="17" t="str">
        <f>IF(D43="","",IF(1+D43&lt;=Geometry!$G$123,1+D43,""))</f>
        <v/>
      </c>
      <c r="E44" s="843"/>
      <c r="F44" s="843" t="str">
        <f>IF(BBSPA20="","",BBSPA20)</f>
        <v/>
      </c>
      <c r="G44" s="266" t="str">
        <f t="shared" si="7"/>
        <v/>
      </c>
      <c r="H44" s="275" t="str">
        <f t="shared" si="8"/>
        <v/>
      </c>
      <c r="I44" s="275" t="str">
        <f t="shared" si="9"/>
        <v/>
      </c>
      <c r="J44" s="275" t="str">
        <f t="shared" si="10"/>
        <v/>
      </c>
      <c r="K44" s="275" t="str">
        <f t="shared" si="11"/>
        <v/>
      </c>
      <c r="N44" s="1397" t="str">
        <f t="shared" ref="N44" si="22">IF(F44&lt;&gt;"","Ext",IF(E44&lt;&gt;"","Int",""))</f>
        <v/>
      </c>
      <c r="O44" s="843">
        <f t="shared" ref="O44" si="23">MAX(E44:F44)</f>
        <v>0</v>
      </c>
      <c r="P44" s="843">
        <f t="shared" si="14"/>
        <v>2</v>
      </c>
      <c r="Q44" s="266" t="str">
        <f t="shared" si="1"/>
        <v/>
      </c>
      <c r="R44" s="266" t="str">
        <f t="shared" si="15"/>
        <v/>
      </c>
      <c r="S44" s="266" t="str">
        <f t="shared" si="2"/>
        <v/>
      </c>
      <c r="T44" s="266" t="str">
        <f t="shared" si="16"/>
        <v/>
      </c>
      <c r="U44" s="266" t="str">
        <f t="shared" si="3"/>
        <v/>
      </c>
      <c r="V44" s="266">
        <f t="shared" si="4"/>
        <v>0.2</v>
      </c>
      <c r="W44" s="269">
        <f t="shared" si="17"/>
        <v>0.65</v>
      </c>
      <c r="X44" s="266">
        <f t="shared" si="5"/>
        <v>0.65</v>
      </c>
      <c r="Y44" s="266" t="str">
        <f t="shared" si="18"/>
        <v/>
      </c>
      <c r="Z44" s="266" t="str">
        <f t="shared" si="6"/>
        <v/>
      </c>
      <c r="AB44" t="str">
        <f t="shared" si="21"/>
        <v/>
      </c>
    </row>
    <row r="45" spans="1:28" ht="18" customHeight="1">
      <c r="A45" t="s">
        <v>1118</v>
      </c>
      <c r="B45" s="217" t="s">
        <v>1009</v>
      </c>
      <c r="F45" s="1350" t="s">
        <v>1035</v>
      </c>
      <c r="G45" s="1350" t="s">
        <v>872</v>
      </c>
    </row>
    <row r="46" spans="1:28">
      <c r="B46" s="217"/>
      <c r="E46" s="16" t="s">
        <v>90</v>
      </c>
      <c r="F46" s="1257">
        <f>OSOH</f>
        <v>3</v>
      </c>
      <c r="G46" s="1238">
        <f>OSOHRT</f>
        <v>3</v>
      </c>
      <c r="H46" t="s">
        <v>156</v>
      </c>
    </row>
    <row r="47" spans="1:28">
      <c r="B47" s="69"/>
      <c r="D47" t="s">
        <v>1011</v>
      </c>
    </row>
    <row r="48" spans="1:28">
      <c r="D48" s="16" t="s">
        <v>1000</v>
      </c>
      <c r="E48" s="29">
        <f>'Live Load'!F17+'Live Load'!F21</f>
        <v>104.80000000000001</v>
      </c>
      <c r="F48" t="s">
        <v>341</v>
      </c>
      <c r="G48" s="34" t="str">
        <f>"{"&amp;FIXED('Live Load'!F17,2)&amp;"k + "&amp;FIXED('Live Load'!F21,2)&amp;"k}"</f>
        <v>{38.40k + 66.40k}</v>
      </c>
    </row>
    <row r="49" spans="1:26">
      <c r="D49" s="16" t="s">
        <v>360</v>
      </c>
      <c r="E49" s="29">
        <f>'Live Load'!F21*('Live Load'!F11/100)</f>
        <v>21.912000000000003</v>
      </c>
      <c r="F49" t="s">
        <v>341</v>
      </c>
      <c r="G49" s="34" t="str">
        <f>"{"&amp;FIXED('Live Load'!F21,2)&amp;"k x "&amp;FIXED(('Live Load'!F11/100),2)&amp;"}"</f>
        <v>{66.40k x 0.33}</v>
      </c>
    </row>
    <row r="50" spans="1:26">
      <c r="D50" s="268" t="s">
        <v>998</v>
      </c>
      <c r="E50" s="268"/>
      <c r="G50" s="34"/>
    </row>
    <row r="51" spans="1:26">
      <c r="D51" s="16" t="s">
        <v>1000</v>
      </c>
      <c r="E51" s="29">
        <f>'Live Load'!F17+IF('Live Load'!F21='Live Load'!F22,'Live Load'!F21,IF('Live Load'!F20='Live Load'!F22,0,IF('Live Load'!F21&gt;='Live Load'!F20,'Live Load'!F21-8*(MAX(Geometry!G44,Geometry!G46)-28)/MAX(Geometry!G44,Geometry!G46),8*(MAX(Geometry!G44,Geometry!G46)-14)/MAX(Geometry!G44,Geometry!G46))))</f>
        <v>98.666666666666671</v>
      </c>
      <c r="F51" t="s">
        <v>341</v>
      </c>
      <c r="G51" s="34" t="str">
        <f>"{"&amp;FIXED('Live Load'!F17,2)&amp;"k + "&amp;IF('Live Load'!F21='Live Load'!F22,FIXED('Live Load'!F21,2),IF('Live Load'!F20='Live Load'!F22,0,IF('Live Load'!F21&gt;='Live Load'!F20,FIXED('Live Load'!F21,2) &amp;"k - 8k x ("&amp; FIXED(MAX(Geometry!G44,Geometry!G46),2) &amp;"ft - 28ft) / " &amp; FIXED(MAX(Geometry!G44,Geometry!G46),2) &amp;"ft}","8k x ("&amp;FIXED(MAX(Geometry!G44,Geometry!G46),2)&amp;"ft - 14 ft ) / "&amp;FIXED(MAX(Geometry!G44,Geometry!G46),2)&amp;"ft")))&amp;"}"</f>
        <v>{38.40k + 66.40k - 8k x (120.00ft - 28ft) / 120.00ft}}</v>
      </c>
    </row>
    <row r="52" spans="1:26">
      <c r="D52" s="16" t="s">
        <v>360</v>
      </c>
      <c r="E52" s="29">
        <f>IF('Live Load'!F21='Live Load'!F22,'Live Load'!F28,IF('Live Load'!F20='Live Load'!F22,0,IF('Live Load'!F21&gt;='Live Load'!F20,('Live Load'!F11/100)*('Live Load'!F21-8*(MAX(Geometry!G44,Geometry!G46)-28)/MAX(Geometry!G44,Geometry!G46)),('Live Load'!F11/100)*8*(MAX(Geometry!G44,Geometry!G46)-14)/MAX(Geometry!G44,Geometry!G46))))</f>
        <v>19.888000000000002</v>
      </c>
      <c r="F52" t="s">
        <v>341</v>
      </c>
      <c r="G52" s="34" t="str">
        <f>"{0.33 x ("&amp;IF('Live Load'!F21='Live Load'!F22,FIXED('Live Load'!F21,2),IF('Live Load'!F20='Live Load'!F22,0,IF('Live Load'!F21&gt;='Live Load'!F20,FIXED('Live Load'!F21,2) &amp;"k - 8k x ("&amp; FIXED(MAX(Geometry!G44,Geometry!G46),2) &amp;"ft - 28ft) / " &amp; FIXED(MAX(Geometry!G44,Geometry!G46),2) &amp;"ft}","8k x ("&amp;FIXED(MAX(Geometry!G44,Geometry!G46),2)&amp;"ft - 14 ft ) / "&amp;FIXED(MAX(Geometry!G44,Geometry!G46),2)&amp;"ft")))&amp;")}"</f>
        <v>{0.33 x (66.40k - 8k x (120.00ft - 28ft) / 120.00ft})}</v>
      </c>
      <c r="Q52" s="1600" t="s">
        <v>1625</v>
      </c>
      <c r="R52" s="1599"/>
      <c r="S52" s="1600" t="s">
        <v>1632</v>
      </c>
      <c r="T52" s="1599"/>
      <c r="U52" s="1179" t="s">
        <v>1635</v>
      </c>
      <c r="X52" s="1591" t="s">
        <v>1631</v>
      </c>
      <c r="Y52" s="1399"/>
      <c r="Z52" s="1399"/>
    </row>
    <row r="53" spans="1:26">
      <c r="D53" s="16"/>
      <c r="E53" s="29"/>
      <c r="G53" s="230"/>
      <c r="H53" s="1599" t="s">
        <v>1011</v>
      </c>
      <c r="I53" s="1599"/>
      <c r="J53" s="1599" t="s">
        <v>998</v>
      </c>
      <c r="K53" s="1599"/>
      <c r="N53" s="1398"/>
      <c r="O53" s="1398"/>
      <c r="P53" s="1398"/>
      <c r="Q53" s="1593" t="s">
        <v>1629</v>
      </c>
      <c r="R53" s="1593" t="s">
        <v>1630</v>
      </c>
      <c r="S53" s="1593" t="s">
        <v>1629</v>
      </c>
      <c r="T53" s="1593" t="s">
        <v>1630</v>
      </c>
      <c r="U53" s="1595" t="s">
        <v>1637</v>
      </c>
      <c r="V53" s="1595"/>
      <c r="W53" s="1398"/>
      <c r="X53" s="1591"/>
      <c r="Y53" s="1399"/>
      <c r="Z53" s="1399"/>
    </row>
    <row r="54" spans="1:26">
      <c r="D54" s="235" t="s">
        <v>263</v>
      </c>
      <c r="E54" s="235" t="s">
        <v>1001</v>
      </c>
      <c r="F54" s="267" t="s">
        <v>1005</v>
      </c>
      <c r="G54" s="235" t="s">
        <v>1004</v>
      </c>
      <c r="H54" s="235" t="s">
        <v>1006</v>
      </c>
      <c r="I54" s="235" t="s">
        <v>1007</v>
      </c>
      <c r="J54" s="235" t="s">
        <v>1006</v>
      </c>
      <c r="K54" s="235" t="s">
        <v>1007</v>
      </c>
      <c r="M54" s="1351"/>
      <c r="N54" s="1401" t="s">
        <v>382</v>
      </c>
      <c r="O54" s="1401" t="s">
        <v>239</v>
      </c>
      <c r="P54" s="1402" t="s">
        <v>1628</v>
      </c>
      <c r="Q54" s="1594"/>
      <c r="R54" s="1594"/>
      <c r="S54" s="1594"/>
      <c r="T54" s="1594"/>
      <c r="U54" s="1401" t="s">
        <v>1625</v>
      </c>
      <c r="V54" s="1401" t="s">
        <v>1626</v>
      </c>
      <c r="W54" s="1401" t="s">
        <v>1627</v>
      </c>
      <c r="X54" s="1592"/>
      <c r="Y54" s="1402" t="s">
        <v>1633</v>
      </c>
      <c r="Z54" s="1402" t="s">
        <v>1634</v>
      </c>
    </row>
    <row r="55" spans="1:26">
      <c r="A55" s="16" t="str">
        <f t="shared" ref="A55:A74" si="24">IF(D55="","*","")</f>
        <v/>
      </c>
      <c r="D55" s="17">
        <v>1</v>
      </c>
      <c r="E55" s="843"/>
      <c r="F55" s="843">
        <f>FBSPA2</f>
        <v>14.666666666666666</v>
      </c>
      <c r="G55" s="266">
        <f>IF(N55="Ext",Z55,IF(N55="Int",Y55,""))</f>
        <v>1.2466213151927437</v>
      </c>
      <c r="H55" s="275">
        <f>IF(G55="","",G55*$E$48)</f>
        <v>130.64591383219954</v>
      </c>
      <c r="I55" s="275">
        <f>IF(G55="","",G55*$E$49)</f>
        <v>27.315966258503401</v>
      </c>
      <c r="J55" s="275">
        <f>IF(G55="","",G55*$E$51)</f>
        <v>122.99996976568404</v>
      </c>
      <c r="K55" s="275">
        <f>IF(G55="","",G55*$E$52)</f>
        <v>24.792804716553288</v>
      </c>
      <c r="N55" s="1397" t="str">
        <f>IF(F55&lt;&gt;"","Ext",IF(E55&lt;&gt;"","Int",""))</f>
        <v>Ext</v>
      </c>
      <c r="O55" s="843">
        <f>MAX(E55:F55)</f>
        <v>14.666666666666666</v>
      </c>
      <c r="P55" s="843">
        <f>O55+IF(D55=1,$F$46-$F$13,$G$46-$G$13)</f>
        <v>16.666666666666664</v>
      </c>
      <c r="Q55" s="266">
        <f t="shared" ref="Q55:Q74" si="25">IF(N55="Ext",1.2*0.5*(MAX(P55-2,0)+MAX(P55-8,0))/O55*IF(LEFT(fdspangirder,1)&lt;&gt;"U",1,0.9),"")</f>
        <v>0.95454545454545436</v>
      </c>
      <c r="R55" s="266" t="str">
        <f>IF(N55="Int",1.2*0.5*(1+MAX(1-6/O55,0)),"")</f>
        <v/>
      </c>
      <c r="S55" s="266">
        <f t="shared" ref="S55:S74" si="26">IF(N55="Ext",IF($H$14&gt;1,1,0)*0.5*(MAX(P55-2,0)+MAX(P55-8,0)+MAX(P55-12,0)+MAX(P55-18,0))/O55*IF(LEFT(fdspangirder,1)&lt;&gt;"U",1,0.9),"")</f>
        <v>0.95454545454545436</v>
      </c>
      <c r="T55" s="266" t="str">
        <f>IF(N55="Int",IF($H$14&gt;1,1,0)*MAX(0.5*(1+MAX(1-6/O55,0)+MAX(1-4/O55,0)+MAX(1-10/O55,0)),2-8/O55-2/O55),"")</f>
        <v/>
      </c>
      <c r="U55" s="266">
        <f t="shared" ref="U55:U74" si="27">IF(LEFT(bkspangirder,1)&lt;&gt;"U",IF(N55="Int",IF(BkBms&gt;3,0.36+O55/25,Q55),Q55),
IF(BkBms&lt;3,$H$14/BkBms,IF(N55="Int",IF(O55&gt;18,R55,(O55/10)^0.6*(bkbmdepth/12/bkspanpgl)^0.1),Q55)))</f>
        <v>0.95454545454545436</v>
      </c>
      <c r="V55" s="266">
        <f t="shared" ref="V55:V74" si="28">IF(LEFT(bkspangirder,1)&lt;&gt;"U",
IF(BkBms&gt;3,IF(N55="Int",0.2+O55/12-(O55/35)^2,(0.2+O55/12-(O55/35)^2)*MAX(1,0.6+IF(D55=1,$F$46-$F$13,$G$46-$G$13)/10)),MAX(S55:T55)),
IF(BkBms&lt;3,$H$14/BkBms,IF(O55&gt;18,MAX(S55:T55),IF(N55="Int",(O55/7.4)^0.8*(bkbmdepth/12/bkspanpgl)^0.1,(O55/7.4)^0.8*(bkbmdepth/12/bkspanpgl)^0.1*MAX(1,0.8+IF(D55=1,$F$46-$F$13-$AK$16,$G$46-$G$13-$AK$16)/10)))))</f>
        <v>1.2466213151927437</v>
      </c>
      <c r="W55" s="269">
        <f>CHOOSE(MIN($H$14,4),1.2,1,0.85,0.65)</f>
        <v>0.65</v>
      </c>
      <c r="X55" s="266">
        <f t="shared" ref="X55:X74" si="29">$H$14*W55/FdBms</f>
        <v>0.65</v>
      </c>
      <c r="Y55" s="266" t="str">
        <f>IF(N55="Int",MAX(X55,MAX(U55:V55)),"")</f>
        <v/>
      </c>
      <c r="Z55" s="266">
        <f t="shared" ref="Z55:Z74" si="30">IF(N55="Ext",MAX($Y$55:$Y$74,X55,IF(LEFT(bkspangirder,1)&lt;&gt;"U",IF(IF(D55=1,OSOHBack,OSOHBackRT)&lt;0.5*O55,Y55,Q55/1.2),IF(DeckWidth-RailWidth-RailWidthRt&lt;20,U55/1.2,V55))),"")</f>
        <v>1.2466213151927437</v>
      </c>
    </row>
    <row r="56" spans="1:26">
      <c r="A56" s="16" t="str">
        <f t="shared" si="24"/>
        <v/>
      </c>
      <c r="D56" s="17">
        <f>IF(D55="","",IF(1+D55&lt;=Geometry!$G$151,1+D55,""))</f>
        <v>2</v>
      </c>
      <c r="E56" s="843">
        <f>IF(D56&lt;Geometry!$G$151,AVERAGE(Geometry!E157:E158),"")</f>
        <v>14.666666666666666</v>
      </c>
      <c r="F56" s="843" t="str">
        <f>IF('Live Load on Cap'!D56=Geometry!$G$151,Geometry!E157,"")</f>
        <v/>
      </c>
      <c r="G56" s="266">
        <f t="shared" ref="G56:G74" si="31">IF(N56="Ext",Z56,IF(N56="Int",Y56,""))</f>
        <v>1.2466213151927437</v>
      </c>
      <c r="H56" s="275">
        <f t="shared" ref="H56:H74" si="32">IF(G56="","",G56*$E$48)</f>
        <v>130.64591383219954</v>
      </c>
      <c r="I56" s="275">
        <f t="shared" ref="I56:I73" si="33">IF(G56="","",G56*$E$49)</f>
        <v>27.315966258503401</v>
      </c>
      <c r="J56" s="275">
        <f t="shared" ref="J56:J74" si="34">IF(G56="","",G56*$E$51)</f>
        <v>122.99996976568404</v>
      </c>
      <c r="K56" s="275">
        <f t="shared" ref="K56:K74" si="35">IF(G56="","",G56*$E$52)</f>
        <v>24.792804716553288</v>
      </c>
      <c r="N56" s="1397" t="str">
        <f t="shared" ref="N56:N74" si="36">IF(F56&lt;&gt;"","Ext",IF(E56&lt;&gt;"","Int",""))</f>
        <v>Int</v>
      </c>
      <c r="O56" s="843">
        <f t="shared" ref="O56:O74" si="37">MAX(E56:F56)</f>
        <v>14.666666666666666</v>
      </c>
      <c r="P56" s="843">
        <f t="shared" ref="P56:P74" si="38">O56+IF(D56=1,$F$46-$F$13,$G$46-$G$13)</f>
        <v>16.666666666666664</v>
      </c>
      <c r="Q56" s="266" t="str">
        <f t="shared" si="25"/>
        <v/>
      </c>
      <c r="R56" s="266">
        <f t="shared" ref="R56:R74" si="39">IF(N56="Int",1.2*0.5*(1+MAX(1-6/O56,0)),"")</f>
        <v>0.95454545454545447</v>
      </c>
      <c r="S56" s="266" t="str">
        <f t="shared" si="26"/>
        <v/>
      </c>
      <c r="T56" s="266">
        <f t="shared" ref="T56:T74" si="40">IF(N56="Int",IF($H$14&gt;1,1,0)*MAX(0.5*(1+MAX(1-6/O56,0)+MAX(1-4/O56,0)+MAX(1-10/O56,0)),2-8/O56-2/O56),"")</f>
        <v>1.3181818181818183</v>
      </c>
      <c r="U56" s="266">
        <f t="shared" si="27"/>
        <v>0.94666666666666666</v>
      </c>
      <c r="V56" s="266">
        <f t="shared" si="28"/>
        <v>1.2466213151927437</v>
      </c>
      <c r="W56" s="269">
        <f t="shared" ref="W56:W74" si="41">CHOOSE(MIN($H$14,4),1.2,1,0.85,0.65)</f>
        <v>0.65</v>
      </c>
      <c r="X56" s="266">
        <f t="shared" si="29"/>
        <v>0.65</v>
      </c>
      <c r="Y56" s="266">
        <f t="shared" ref="Y56:Y74" si="42">IF(N56="Int",MAX(X56,MAX(U56:V56)),"")</f>
        <v>1.2466213151927437</v>
      </c>
      <c r="Z56" s="266" t="str">
        <f t="shared" si="30"/>
        <v/>
      </c>
    </row>
    <row r="57" spans="1:26">
      <c r="A57" s="16" t="str">
        <f t="shared" si="24"/>
        <v/>
      </c>
      <c r="D57" s="17">
        <f>IF(D56="","",IF(1+D56&lt;=Geometry!$G$151,1+D56,""))</f>
        <v>3</v>
      </c>
      <c r="E57" s="843">
        <f>IF(D57&lt;Geometry!$G$151,AVERAGE(Geometry!E158:E159),"")</f>
        <v>14.666666666666666</v>
      </c>
      <c r="F57" s="843" t="str">
        <f>IF('Live Load on Cap'!D57=Geometry!$G$151,Geometry!E158,"")</f>
        <v/>
      </c>
      <c r="G57" s="266">
        <f t="shared" si="31"/>
        <v>1.2466213151927437</v>
      </c>
      <c r="H57" s="275">
        <f t="shared" si="32"/>
        <v>130.64591383219954</v>
      </c>
      <c r="I57" s="275">
        <f t="shared" si="33"/>
        <v>27.315966258503401</v>
      </c>
      <c r="J57" s="275">
        <f t="shared" si="34"/>
        <v>122.99996976568404</v>
      </c>
      <c r="K57" s="275">
        <f t="shared" si="35"/>
        <v>24.792804716553288</v>
      </c>
      <c r="M57" s="897"/>
      <c r="N57" s="1397" t="str">
        <f t="shared" si="36"/>
        <v>Int</v>
      </c>
      <c r="O57" s="843">
        <f t="shared" si="37"/>
        <v>14.666666666666666</v>
      </c>
      <c r="P57" s="843">
        <f t="shared" si="38"/>
        <v>16.666666666666664</v>
      </c>
      <c r="Q57" s="266" t="str">
        <f t="shared" si="25"/>
        <v/>
      </c>
      <c r="R57" s="266">
        <f t="shared" si="39"/>
        <v>0.95454545454545447</v>
      </c>
      <c r="S57" s="266" t="str">
        <f t="shared" si="26"/>
        <v/>
      </c>
      <c r="T57" s="266">
        <f t="shared" si="40"/>
        <v>1.3181818181818183</v>
      </c>
      <c r="U57" s="266">
        <f t="shared" si="27"/>
        <v>0.94666666666666666</v>
      </c>
      <c r="V57" s="266">
        <f t="shared" si="28"/>
        <v>1.2466213151927437</v>
      </c>
      <c r="W57" s="269">
        <f t="shared" si="41"/>
        <v>0.65</v>
      </c>
      <c r="X57" s="266">
        <f t="shared" si="29"/>
        <v>0.65</v>
      </c>
      <c r="Y57" s="266">
        <f t="shared" si="42"/>
        <v>1.2466213151927437</v>
      </c>
      <c r="Z57" s="266" t="str">
        <f t="shared" si="30"/>
        <v/>
      </c>
    </row>
    <row r="58" spans="1:26">
      <c r="A58" s="16" t="str">
        <f t="shared" si="24"/>
        <v/>
      </c>
      <c r="D58" s="17">
        <f>IF(D57="","",IF(1+D57&lt;=Geometry!$G$151,1+D57,""))</f>
        <v>4</v>
      </c>
      <c r="E58" s="843" t="str">
        <f>IF(D58&lt;Geometry!$G$151,AVERAGE(Geometry!E159:E160),"")</f>
        <v/>
      </c>
      <c r="F58" s="843">
        <f>IF('Live Load on Cap'!D58=Geometry!$G$151,Geometry!E159,"")</f>
        <v>14.666666666666666</v>
      </c>
      <c r="G58" s="266">
        <f t="shared" si="31"/>
        <v>1.2466213151927437</v>
      </c>
      <c r="H58" s="275">
        <f t="shared" si="32"/>
        <v>130.64591383219954</v>
      </c>
      <c r="I58" s="275">
        <f t="shared" si="33"/>
        <v>27.315966258503401</v>
      </c>
      <c r="J58" s="275">
        <f t="shared" si="34"/>
        <v>122.99996976568404</v>
      </c>
      <c r="K58" s="275">
        <f t="shared" si="35"/>
        <v>24.792804716553288</v>
      </c>
      <c r="N58" s="1397" t="str">
        <f t="shared" si="36"/>
        <v>Ext</v>
      </c>
      <c r="O58" s="843">
        <f t="shared" si="37"/>
        <v>14.666666666666666</v>
      </c>
      <c r="P58" s="843">
        <f t="shared" si="38"/>
        <v>16.666666666666664</v>
      </c>
      <c r="Q58" s="266">
        <f t="shared" si="25"/>
        <v>0.95454545454545436</v>
      </c>
      <c r="R58" s="266" t="str">
        <f t="shared" si="39"/>
        <v/>
      </c>
      <c r="S58" s="266">
        <f t="shared" si="26"/>
        <v>0.95454545454545436</v>
      </c>
      <c r="T58" s="266" t="str">
        <f t="shared" si="40"/>
        <v/>
      </c>
      <c r="U58" s="266">
        <f t="shared" si="27"/>
        <v>0.95454545454545436</v>
      </c>
      <c r="V58" s="266">
        <f t="shared" si="28"/>
        <v>1.2466213151927437</v>
      </c>
      <c r="W58" s="269">
        <f t="shared" si="41"/>
        <v>0.65</v>
      </c>
      <c r="X58" s="266">
        <f t="shared" si="29"/>
        <v>0.65</v>
      </c>
      <c r="Y58" s="266" t="str">
        <f t="shared" si="42"/>
        <v/>
      </c>
      <c r="Z58" s="266">
        <f t="shared" si="30"/>
        <v>1.2466213151927437</v>
      </c>
    </row>
    <row r="59" spans="1:26">
      <c r="A59" s="16" t="str">
        <f t="shared" si="24"/>
        <v>*</v>
      </c>
      <c r="D59" s="17" t="str">
        <f>IF(D58="","",IF(1+D58&lt;=Geometry!$G$151,1+D58,""))</f>
        <v/>
      </c>
      <c r="E59" s="843" t="str">
        <f>IF(D59&lt;Geometry!$G$151,AVERAGE(Geometry!E160:E161),"")</f>
        <v/>
      </c>
      <c r="F59" s="843" t="str">
        <f>IF('Live Load on Cap'!D59=Geometry!$G$151,Geometry!E160,"")</f>
        <v/>
      </c>
      <c r="G59" s="266" t="str">
        <f t="shared" si="31"/>
        <v/>
      </c>
      <c r="H59" s="275" t="str">
        <f t="shared" si="32"/>
        <v/>
      </c>
      <c r="I59" s="275" t="str">
        <f t="shared" si="33"/>
        <v/>
      </c>
      <c r="J59" s="275" t="str">
        <f t="shared" si="34"/>
        <v/>
      </c>
      <c r="K59" s="275" t="str">
        <f t="shared" si="35"/>
        <v/>
      </c>
      <c r="N59" s="1397" t="str">
        <f t="shared" si="36"/>
        <v/>
      </c>
      <c r="O59" s="843">
        <f t="shared" si="37"/>
        <v>0</v>
      </c>
      <c r="P59" s="843">
        <f t="shared" si="38"/>
        <v>2</v>
      </c>
      <c r="Q59" s="266" t="str">
        <f t="shared" si="25"/>
        <v/>
      </c>
      <c r="R59" s="266" t="str">
        <f t="shared" si="39"/>
        <v/>
      </c>
      <c r="S59" s="266" t="str">
        <f t="shared" si="26"/>
        <v/>
      </c>
      <c r="T59" s="266" t="str">
        <f t="shared" si="40"/>
        <v/>
      </c>
      <c r="U59" s="266" t="str">
        <f t="shared" si="27"/>
        <v/>
      </c>
      <c r="V59" s="266">
        <f t="shared" si="28"/>
        <v>0.2</v>
      </c>
      <c r="W59" s="269">
        <f t="shared" si="41"/>
        <v>0.65</v>
      </c>
      <c r="X59" s="266">
        <f t="shared" si="29"/>
        <v>0.65</v>
      </c>
      <c r="Y59" s="266" t="str">
        <f t="shared" si="42"/>
        <v/>
      </c>
      <c r="Z59" s="266" t="str">
        <f t="shared" si="30"/>
        <v/>
      </c>
    </row>
    <row r="60" spans="1:26">
      <c r="A60" s="16" t="str">
        <f t="shared" si="24"/>
        <v>*</v>
      </c>
      <c r="D60" s="17" t="str">
        <f>IF(D59="","",IF(1+D59&lt;=Geometry!$G$151,1+D59,""))</f>
        <v/>
      </c>
      <c r="E60" s="843" t="str">
        <f>IF(D60&lt;Geometry!$G$151,AVERAGE(Geometry!E161:E162),"")</f>
        <v/>
      </c>
      <c r="F60" s="843" t="str">
        <f>IF('Live Load on Cap'!D60=Geometry!$G$151,Geometry!E161,"")</f>
        <v/>
      </c>
      <c r="G60" s="266" t="str">
        <f t="shared" si="31"/>
        <v/>
      </c>
      <c r="H60" s="275" t="str">
        <f t="shared" si="32"/>
        <v/>
      </c>
      <c r="I60" s="275" t="str">
        <f t="shared" si="33"/>
        <v/>
      </c>
      <c r="J60" s="275" t="str">
        <f t="shared" si="34"/>
        <v/>
      </c>
      <c r="K60" s="275" t="str">
        <f t="shared" si="35"/>
        <v/>
      </c>
      <c r="N60" s="1397" t="str">
        <f t="shared" si="36"/>
        <v/>
      </c>
      <c r="O60" s="843">
        <f t="shared" si="37"/>
        <v>0</v>
      </c>
      <c r="P60" s="843">
        <f t="shared" si="38"/>
        <v>2</v>
      </c>
      <c r="Q60" s="266" t="str">
        <f t="shared" si="25"/>
        <v/>
      </c>
      <c r="R60" s="266" t="str">
        <f t="shared" si="39"/>
        <v/>
      </c>
      <c r="S60" s="266" t="str">
        <f t="shared" si="26"/>
        <v/>
      </c>
      <c r="T60" s="266" t="str">
        <f t="shared" si="40"/>
        <v/>
      </c>
      <c r="U60" s="266" t="str">
        <f t="shared" si="27"/>
        <v/>
      </c>
      <c r="V60" s="266">
        <f t="shared" si="28"/>
        <v>0.2</v>
      </c>
      <c r="W60" s="269">
        <f t="shared" si="41"/>
        <v>0.65</v>
      </c>
      <c r="X60" s="266">
        <f t="shared" si="29"/>
        <v>0.65</v>
      </c>
      <c r="Y60" s="266" t="str">
        <f t="shared" si="42"/>
        <v/>
      </c>
      <c r="Z60" s="266" t="str">
        <f t="shared" si="30"/>
        <v/>
      </c>
    </row>
    <row r="61" spans="1:26">
      <c r="A61" s="16" t="str">
        <f t="shared" si="24"/>
        <v>*</v>
      </c>
      <c r="D61" s="17" t="str">
        <f>IF(D60="","",IF(1+D60&lt;=Geometry!$G$151,1+D60,""))</f>
        <v/>
      </c>
      <c r="E61" s="843" t="str">
        <f>IF(D61&lt;Geometry!$G$151,AVERAGE(Geometry!E162:E163),"")</f>
        <v/>
      </c>
      <c r="F61" s="843" t="str">
        <f>IF('Live Load on Cap'!D61=Geometry!$G$151,Geometry!E162,"")</f>
        <v/>
      </c>
      <c r="G61" s="266" t="str">
        <f t="shared" si="31"/>
        <v/>
      </c>
      <c r="H61" s="275" t="str">
        <f t="shared" si="32"/>
        <v/>
      </c>
      <c r="I61" s="275" t="str">
        <f t="shared" si="33"/>
        <v/>
      </c>
      <c r="J61" s="275" t="str">
        <f t="shared" si="34"/>
        <v/>
      </c>
      <c r="K61" s="275" t="str">
        <f t="shared" si="35"/>
        <v/>
      </c>
      <c r="N61" s="1397" t="str">
        <f t="shared" si="36"/>
        <v/>
      </c>
      <c r="O61" s="843">
        <f t="shared" si="37"/>
        <v>0</v>
      </c>
      <c r="P61" s="843">
        <f t="shared" si="38"/>
        <v>2</v>
      </c>
      <c r="Q61" s="266" t="str">
        <f t="shared" si="25"/>
        <v/>
      </c>
      <c r="R61" s="266" t="str">
        <f t="shared" si="39"/>
        <v/>
      </c>
      <c r="S61" s="266" t="str">
        <f t="shared" si="26"/>
        <v/>
      </c>
      <c r="T61" s="266" t="str">
        <f t="shared" si="40"/>
        <v/>
      </c>
      <c r="U61" s="266" t="str">
        <f t="shared" si="27"/>
        <v/>
      </c>
      <c r="V61" s="266">
        <f t="shared" si="28"/>
        <v>0.2</v>
      </c>
      <c r="W61" s="269">
        <f t="shared" si="41"/>
        <v>0.65</v>
      </c>
      <c r="X61" s="266">
        <f t="shared" si="29"/>
        <v>0.65</v>
      </c>
      <c r="Y61" s="266" t="str">
        <f t="shared" si="42"/>
        <v/>
      </c>
      <c r="Z61" s="266" t="str">
        <f t="shared" si="30"/>
        <v/>
      </c>
    </row>
    <row r="62" spans="1:26">
      <c r="A62" s="16" t="str">
        <f t="shared" si="24"/>
        <v>*</v>
      </c>
      <c r="D62" s="17" t="str">
        <f>IF(D61="","",IF(1+D61&lt;=Geometry!$G$151,1+D61,""))</f>
        <v/>
      </c>
      <c r="E62" s="843" t="str">
        <f>IF(D62&lt;Geometry!$G$151,AVERAGE(Geometry!E163:E164),"")</f>
        <v/>
      </c>
      <c r="F62" s="843" t="str">
        <f>IF('Live Load on Cap'!D62=Geometry!$G$151,Geometry!E163,"")</f>
        <v/>
      </c>
      <c r="G62" s="266" t="str">
        <f t="shared" si="31"/>
        <v/>
      </c>
      <c r="H62" s="275" t="str">
        <f t="shared" si="32"/>
        <v/>
      </c>
      <c r="I62" s="275" t="str">
        <f t="shared" si="33"/>
        <v/>
      </c>
      <c r="J62" s="275" t="str">
        <f t="shared" si="34"/>
        <v/>
      </c>
      <c r="K62" s="275" t="str">
        <f t="shared" si="35"/>
        <v/>
      </c>
      <c r="N62" s="1397" t="str">
        <f t="shared" si="36"/>
        <v/>
      </c>
      <c r="O62" s="843">
        <f t="shared" si="37"/>
        <v>0</v>
      </c>
      <c r="P62" s="843">
        <f t="shared" si="38"/>
        <v>2</v>
      </c>
      <c r="Q62" s="266" t="str">
        <f t="shared" si="25"/>
        <v/>
      </c>
      <c r="R62" s="266" t="str">
        <f t="shared" si="39"/>
        <v/>
      </c>
      <c r="S62" s="266" t="str">
        <f t="shared" si="26"/>
        <v/>
      </c>
      <c r="T62" s="266" t="str">
        <f t="shared" si="40"/>
        <v/>
      </c>
      <c r="U62" s="266" t="str">
        <f t="shared" si="27"/>
        <v/>
      </c>
      <c r="V62" s="266">
        <f t="shared" si="28"/>
        <v>0.2</v>
      </c>
      <c r="W62" s="269">
        <f t="shared" si="41"/>
        <v>0.65</v>
      </c>
      <c r="X62" s="266">
        <f t="shared" si="29"/>
        <v>0.65</v>
      </c>
      <c r="Y62" s="266" t="str">
        <f t="shared" si="42"/>
        <v/>
      </c>
      <c r="Z62" s="266" t="str">
        <f t="shared" si="30"/>
        <v/>
      </c>
    </row>
    <row r="63" spans="1:26">
      <c r="A63" s="16" t="str">
        <f t="shared" si="24"/>
        <v>*</v>
      </c>
      <c r="D63" s="17" t="str">
        <f>IF(D62="","",IF(1+D62&lt;=Geometry!$G$151,1+D62,""))</f>
        <v/>
      </c>
      <c r="E63" s="843" t="str">
        <f>IF(D63&lt;Geometry!$G$151,AVERAGE(Geometry!E164:E165),"")</f>
        <v/>
      </c>
      <c r="F63" s="843" t="str">
        <f>IF('Live Load on Cap'!D63=Geometry!$G$151,Geometry!E164,"")</f>
        <v/>
      </c>
      <c r="G63" s="266" t="str">
        <f t="shared" si="31"/>
        <v/>
      </c>
      <c r="H63" s="275" t="str">
        <f t="shared" si="32"/>
        <v/>
      </c>
      <c r="I63" s="275" t="str">
        <f t="shared" si="33"/>
        <v/>
      </c>
      <c r="J63" s="275" t="str">
        <f t="shared" si="34"/>
        <v/>
      </c>
      <c r="K63" s="275" t="str">
        <f t="shared" si="35"/>
        <v/>
      </c>
      <c r="N63" s="1397" t="str">
        <f t="shared" si="36"/>
        <v/>
      </c>
      <c r="O63" s="843">
        <f t="shared" si="37"/>
        <v>0</v>
      </c>
      <c r="P63" s="843">
        <f t="shared" si="38"/>
        <v>2</v>
      </c>
      <c r="Q63" s="266" t="str">
        <f t="shared" si="25"/>
        <v/>
      </c>
      <c r="R63" s="266" t="str">
        <f t="shared" si="39"/>
        <v/>
      </c>
      <c r="S63" s="266" t="str">
        <f t="shared" si="26"/>
        <v/>
      </c>
      <c r="T63" s="266" t="str">
        <f t="shared" si="40"/>
        <v/>
      </c>
      <c r="U63" s="266" t="str">
        <f t="shared" si="27"/>
        <v/>
      </c>
      <c r="V63" s="266">
        <f t="shared" si="28"/>
        <v>0.2</v>
      </c>
      <c r="W63" s="269">
        <f t="shared" si="41"/>
        <v>0.65</v>
      </c>
      <c r="X63" s="266">
        <f t="shared" si="29"/>
        <v>0.65</v>
      </c>
      <c r="Y63" s="266" t="str">
        <f t="shared" si="42"/>
        <v/>
      </c>
      <c r="Z63" s="266" t="str">
        <f t="shared" si="30"/>
        <v/>
      </c>
    </row>
    <row r="64" spans="1:26">
      <c r="A64" s="16" t="str">
        <f t="shared" si="24"/>
        <v>*</v>
      </c>
      <c r="D64" s="17" t="str">
        <f>IF(D63="","",IF(1+D63&lt;=Geometry!$G$151,1+D63,""))</f>
        <v/>
      </c>
      <c r="E64" s="843" t="str">
        <f>IF(D64&lt;Geometry!$G$151,AVERAGE(Geometry!E165:E166),"")</f>
        <v/>
      </c>
      <c r="F64" s="843" t="str">
        <f>IF('Live Load on Cap'!D64=Geometry!$G$151,Geometry!E165,"")</f>
        <v/>
      </c>
      <c r="G64" s="266" t="str">
        <f t="shared" si="31"/>
        <v/>
      </c>
      <c r="H64" s="275" t="str">
        <f t="shared" si="32"/>
        <v/>
      </c>
      <c r="I64" s="275" t="str">
        <f t="shared" si="33"/>
        <v/>
      </c>
      <c r="J64" s="275" t="str">
        <f t="shared" si="34"/>
        <v/>
      </c>
      <c r="K64" s="275" t="str">
        <f t="shared" si="35"/>
        <v/>
      </c>
      <c r="N64" s="1397" t="str">
        <f t="shared" si="36"/>
        <v/>
      </c>
      <c r="O64" s="843">
        <f t="shared" si="37"/>
        <v>0</v>
      </c>
      <c r="P64" s="843">
        <f t="shared" si="38"/>
        <v>2</v>
      </c>
      <c r="Q64" s="266" t="str">
        <f t="shared" si="25"/>
        <v/>
      </c>
      <c r="R64" s="266" t="str">
        <f t="shared" si="39"/>
        <v/>
      </c>
      <c r="S64" s="266" t="str">
        <f t="shared" si="26"/>
        <v/>
      </c>
      <c r="T64" s="266" t="str">
        <f t="shared" si="40"/>
        <v/>
      </c>
      <c r="U64" s="266" t="str">
        <f t="shared" si="27"/>
        <v/>
      </c>
      <c r="V64" s="266">
        <f t="shared" si="28"/>
        <v>0.2</v>
      </c>
      <c r="W64" s="269">
        <f t="shared" si="41"/>
        <v>0.65</v>
      </c>
      <c r="X64" s="266">
        <f t="shared" si="29"/>
        <v>0.65</v>
      </c>
      <c r="Y64" s="266" t="str">
        <f t="shared" si="42"/>
        <v/>
      </c>
      <c r="Z64" s="266" t="str">
        <f t="shared" si="30"/>
        <v/>
      </c>
    </row>
    <row r="65" spans="1:26">
      <c r="A65" s="16" t="str">
        <f t="shared" si="24"/>
        <v>*</v>
      </c>
      <c r="D65" s="17" t="str">
        <f>IF(D64="","",IF(1+D64&lt;=Geometry!$G$151,1+D64,""))</f>
        <v/>
      </c>
      <c r="E65" s="843" t="str">
        <f>IF(D65&lt;Geometry!$G$151,AVERAGE(Geometry!E166:E167),"")</f>
        <v/>
      </c>
      <c r="F65" s="843" t="str">
        <f>IF('Live Load on Cap'!D65=Geometry!$G$151,Geometry!E166,"")</f>
        <v/>
      </c>
      <c r="G65" s="266" t="str">
        <f t="shared" si="31"/>
        <v/>
      </c>
      <c r="H65" s="275" t="str">
        <f t="shared" si="32"/>
        <v/>
      </c>
      <c r="I65" s="275" t="str">
        <f t="shared" si="33"/>
        <v/>
      </c>
      <c r="J65" s="275" t="str">
        <f t="shared" si="34"/>
        <v/>
      </c>
      <c r="K65" s="275" t="str">
        <f t="shared" si="35"/>
        <v/>
      </c>
      <c r="N65" s="1397" t="str">
        <f t="shared" si="36"/>
        <v/>
      </c>
      <c r="O65" s="843">
        <f t="shared" si="37"/>
        <v>0</v>
      </c>
      <c r="P65" s="843">
        <f t="shared" si="38"/>
        <v>2</v>
      </c>
      <c r="Q65" s="266" t="str">
        <f t="shared" si="25"/>
        <v/>
      </c>
      <c r="R65" s="266" t="str">
        <f t="shared" si="39"/>
        <v/>
      </c>
      <c r="S65" s="266" t="str">
        <f t="shared" si="26"/>
        <v/>
      </c>
      <c r="T65" s="266" t="str">
        <f t="shared" si="40"/>
        <v/>
      </c>
      <c r="U65" s="266" t="str">
        <f t="shared" si="27"/>
        <v/>
      </c>
      <c r="V65" s="266">
        <f t="shared" si="28"/>
        <v>0.2</v>
      </c>
      <c r="W65" s="269">
        <f t="shared" si="41"/>
        <v>0.65</v>
      </c>
      <c r="X65" s="266">
        <f t="shared" si="29"/>
        <v>0.65</v>
      </c>
      <c r="Y65" s="266" t="str">
        <f t="shared" si="42"/>
        <v/>
      </c>
      <c r="Z65" s="266" t="str">
        <f t="shared" si="30"/>
        <v/>
      </c>
    </row>
    <row r="66" spans="1:26">
      <c r="A66" s="16" t="str">
        <f t="shared" si="24"/>
        <v>*</v>
      </c>
      <c r="D66" s="17" t="str">
        <f>IF(D65="","",IF(1+D65&lt;=Geometry!$G$151,1+D65,""))</f>
        <v/>
      </c>
      <c r="E66" s="843" t="str">
        <f>IF(D66&lt;Geometry!$G$151,AVERAGE(Geometry!E167:E168),"")</f>
        <v/>
      </c>
      <c r="F66" s="843" t="str">
        <f>IF('Live Load on Cap'!D66=Geometry!$G$151,Geometry!E167,"")</f>
        <v/>
      </c>
      <c r="G66" s="266" t="str">
        <f t="shared" si="31"/>
        <v/>
      </c>
      <c r="H66" s="275" t="str">
        <f t="shared" si="32"/>
        <v/>
      </c>
      <c r="I66" s="275" t="str">
        <f t="shared" si="33"/>
        <v/>
      </c>
      <c r="J66" s="275" t="str">
        <f t="shared" si="34"/>
        <v/>
      </c>
      <c r="K66" s="275" t="str">
        <f t="shared" si="35"/>
        <v/>
      </c>
      <c r="N66" s="1397" t="str">
        <f t="shared" si="36"/>
        <v/>
      </c>
      <c r="O66" s="843">
        <f t="shared" si="37"/>
        <v>0</v>
      </c>
      <c r="P66" s="843">
        <f t="shared" si="38"/>
        <v>2</v>
      </c>
      <c r="Q66" s="266" t="str">
        <f t="shared" si="25"/>
        <v/>
      </c>
      <c r="R66" s="266" t="str">
        <f t="shared" si="39"/>
        <v/>
      </c>
      <c r="S66" s="266" t="str">
        <f t="shared" si="26"/>
        <v/>
      </c>
      <c r="T66" s="266" t="str">
        <f t="shared" si="40"/>
        <v/>
      </c>
      <c r="U66" s="266" t="str">
        <f t="shared" si="27"/>
        <v/>
      </c>
      <c r="V66" s="266">
        <f t="shared" si="28"/>
        <v>0.2</v>
      </c>
      <c r="W66" s="269">
        <f t="shared" si="41"/>
        <v>0.65</v>
      </c>
      <c r="X66" s="266">
        <f t="shared" si="29"/>
        <v>0.65</v>
      </c>
      <c r="Y66" s="266" t="str">
        <f t="shared" si="42"/>
        <v/>
      </c>
      <c r="Z66" s="266" t="str">
        <f t="shared" si="30"/>
        <v/>
      </c>
    </row>
    <row r="67" spans="1:26">
      <c r="A67" s="16" t="str">
        <f t="shared" si="24"/>
        <v>*</v>
      </c>
      <c r="D67" s="17" t="str">
        <f>IF(D66="","",IF(1+D66&lt;=Geometry!$G$151,1+D66,""))</f>
        <v/>
      </c>
      <c r="E67" s="843" t="str">
        <f>IF(D67&lt;Geometry!$G$151,AVERAGE(Geometry!E168:E169),"")</f>
        <v/>
      </c>
      <c r="F67" s="843" t="str">
        <f>IF('Live Load on Cap'!D67=Geometry!$G$151,Geometry!E168,"")</f>
        <v/>
      </c>
      <c r="G67" s="266" t="str">
        <f t="shared" si="31"/>
        <v/>
      </c>
      <c r="H67" s="275" t="str">
        <f t="shared" si="32"/>
        <v/>
      </c>
      <c r="I67" s="275" t="str">
        <f t="shared" si="33"/>
        <v/>
      </c>
      <c r="J67" s="275" t="str">
        <f t="shared" si="34"/>
        <v/>
      </c>
      <c r="K67" s="275" t="str">
        <f t="shared" si="35"/>
        <v/>
      </c>
      <c r="N67" s="1397" t="str">
        <f t="shared" si="36"/>
        <v/>
      </c>
      <c r="O67" s="843">
        <f t="shared" si="37"/>
        <v>0</v>
      </c>
      <c r="P67" s="843">
        <f t="shared" si="38"/>
        <v>2</v>
      </c>
      <c r="Q67" s="266" t="str">
        <f t="shared" si="25"/>
        <v/>
      </c>
      <c r="R67" s="266" t="str">
        <f t="shared" si="39"/>
        <v/>
      </c>
      <c r="S67" s="266" t="str">
        <f t="shared" si="26"/>
        <v/>
      </c>
      <c r="T67" s="266" t="str">
        <f t="shared" si="40"/>
        <v/>
      </c>
      <c r="U67" s="266" t="str">
        <f t="shared" si="27"/>
        <v/>
      </c>
      <c r="V67" s="266">
        <f t="shared" si="28"/>
        <v>0.2</v>
      </c>
      <c r="W67" s="269">
        <f t="shared" si="41"/>
        <v>0.65</v>
      </c>
      <c r="X67" s="266">
        <f t="shared" si="29"/>
        <v>0.65</v>
      </c>
      <c r="Y67" s="266" t="str">
        <f t="shared" si="42"/>
        <v/>
      </c>
      <c r="Z67" s="266" t="str">
        <f t="shared" si="30"/>
        <v/>
      </c>
    </row>
    <row r="68" spans="1:26">
      <c r="A68" s="16" t="str">
        <f t="shared" si="24"/>
        <v>*</v>
      </c>
      <c r="D68" s="17" t="str">
        <f>IF(D67="","",IF(1+D67&lt;=Geometry!$G$151,1+D67,""))</f>
        <v/>
      </c>
      <c r="E68" s="843" t="str">
        <f>IF(D68&lt;Geometry!$G$151,AVERAGE(Geometry!E169:E170),"")</f>
        <v/>
      </c>
      <c r="F68" s="843" t="str">
        <f>IF('Live Load on Cap'!D68=Geometry!$G$151,Geometry!E169,"")</f>
        <v/>
      </c>
      <c r="G68" s="266" t="str">
        <f t="shared" si="31"/>
        <v/>
      </c>
      <c r="H68" s="275" t="str">
        <f t="shared" si="32"/>
        <v/>
      </c>
      <c r="I68" s="275" t="str">
        <f t="shared" si="33"/>
        <v/>
      </c>
      <c r="J68" s="275" t="str">
        <f t="shared" si="34"/>
        <v/>
      </c>
      <c r="K68" s="275" t="str">
        <f t="shared" si="35"/>
        <v/>
      </c>
      <c r="N68" s="1397" t="str">
        <f t="shared" si="36"/>
        <v/>
      </c>
      <c r="O68" s="843">
        <f t="shared" si="37"/>
        <v>0</v>
      </c>
      <c r="P68" s="843">
        <f t="shared" si="38"/>
        <v>2</v>
      </c>
      <c r="Q68" s="266" t="str">
        <f t="shared" si="25"/>
        <v/>
      </c>
      <c r="R68" s="266" t="str">
        <f t="shared" si="39"/>
        <v/>
      </c>
      <c r="S68" s="266" t="str">
        <f t="shared" si="26"/>
        <v/>
      </c>
      <c r="T68" s="266" t="str">
        <f t="shared" si="40"/>
        <v/>
      </c>
      <c r="U68" s="266" t="str">
        <f t="shared" si="27"/>
        <v/>
      </c>
      <c r="V68" s="266">
        <f t="shared" si="28"/>
        <v>0.2</v>
      </c>
      <c r="W68" s="269">
        <f t="shared" si="41"/>
        <v>0.65</v>
      </c>
      <c r="X68" s="266">
        <f t="shared" si="29"/>
        <v>0.65</v>
      </c>
      <c r="Y68" s="266" t="str">
        <f t="shared" si="42"/>
        <v/>
      </c>
      <c r="Z68" s="266" t="str">
        <f t="shared" si="30"/>
        <v/>
      </c>
    </row>
    <row r="69" spans="1:26">
      <c r="A69" s="16" t="str">
        <f t="shared" si="24"/>
        <v>*</v>
      </c>
      <c r="D69" s="17" t="str">
        <f>IF(D68="","",IF(1+D68&lt;=Geometry!$G$151,1+D68,""))</f>
        <v/>
      </c>
      <c r="E69" s="843" t="str">
        <f>IF(D69&lt;Geometry!$G$151,AVERAGE(Geometry!E170:E171),"")</f>
        <v/>
      </c>
      <c r="F69" s="843" t="str">
        <f>IF('Live Load on Cap'!D69=Geometry!$G$151,Geometry!E170,"")</f>
        <v/>
      </c>
      <c r="G69" s="266" t="str">
        <f t="shared" si="31"/>
        <v/>
      </c>
      <c r="H69" s="275" t="str">
        <f t="shared" si="32"/>
        <v/>
      </c>
      <c r="I69" s="275" t="str">
        <f t="shared" si="33"/>
        <v/>
      </c>
      <c r="J69" s="275" t="str">
        <f t="shared" si="34"/>
        <v/>
      </c>
      <c r="K69" s="275" t="str">
        <f t="shared" si="35"/>
        <v/>
      </c>
      <c r="N69" s="1397" t="str">
        <f t="shared" si="36"/>
        <v/>
      </c>
      <c r="O69" s="843">
        <f t="shared" si="37"/>
        <v>0</v>
      </c>
      <c r="P69" s="843">
        <f t="shared" si="38"/>
        <v>2</v>
      </c>
      <c r="Q69" s="266" t="str">
        <f t="shared" si="25"/>
        <v/>
      </c>
      <c r="R69" s="266" t="str">
        <f t="shared" si="39"/>
        <v/>
      </c>
      <c r="S69" s="266" t="str">
        <f t="shared" si="26"/>
        <v/>
      </c>
      <c r="T69" s="266" t="str">
        <f t="shared" si="40"/>
        <v/>
      </c>
      <c r="U69" s="266" t="str">
        <f t="shared" si="27"/>
        <v/>
      </c>
      <c r="V69" s="266">
        <f t="shared" si="28"/>
        <v>0.2</v>
      </c>
      <c r="W69" s="269">
        <f t="shared" si="41"/>
        <v>0.65</v>
      </c>
      <c r="X69" s="266">
        <f t="shared" si="29"/>
        <v>0.65</v>
      </c>
      <c r="Y69" s="266" t="str">
        <f t="shared" si="42"/>
        <v/>
      </c>
      <c r="Z69" s="266" t="str">
        <f t="shared" si="30"/>
        <v/>
      </c>
    </row>
    <row r="70" spans="1:26">
      <c r="A70" s="16" t="str">
        <f t="shared" si="24"/>
        <v>*</v>
      </c>
      <c r="D70" s="17" t="str">
        <f>IF(D69="","",IF(1+D69&lt;=Geometry!$G$151,1+D69,""))</f>
        <v/>
      </c>
      <c r="E70" s="843" t="str">
        <f>IF(D70&lt;Geometry!$G$151,AVERAGE(Geometry!E171:E172),"")</f>
        <v/>
      </c>
      <c r="F70" s="843" t="str">
        <f>IF('Live Load on Cap'!D70=Geometry!$G$151,Geometry!E171,"")</f>
        <v/>
      </c>
      <c r="G70" s="266" t="str">
        <f t="shared" si="31"/>
        <v/>
      </c>
      <c r="H70" s="275" t="str">
        <f t="shared" si="32"/>
        <v/>
      </c>
      <c r="I70" s="275" t="str">
        <f t="shared" si="33"/>
        <v/>
      </c>
      <c r="J70" s="275" t="str">
        <f t="shared" si="34"/>
        <v/>
      </c>
      <c r="K70" s="275" t="str">
        <f t="shared" si="35"/>
        <v/>
      </c>
      <c r="N70" s="1397" t="str">
        <f t="shared" si="36"/>
        <v/>
      </c>
      <c r="O70" s="843">
        <f t="shared" si="37"/>
        <v>0</v>
      </c>
      <c r="P70" s="843">
        <f t="shared" si="38"/>
        <v>2</v>
      </c>
      <c r="Q70" s="266" t="str">
        <f t="shared" si="25"/>
        <v/>
      </c>
      <c r="R70" s="266" t="str">
        <f t="shared" si="39"/>
        <v/>
      </c>
      <c r="S70" s="266" t="str">
        <f t="shared" si="26"/>
        <v/>
      </c>
      <c r="T70" s="266" t="str">
        <f t="shared" si="40"/>
        <v/>
      </c>
      <c r="U70" s="266" t="str">
        <f t="shared" si="27"/>
        <v/>
      </c>
      <c r="V70" s="266">
        <f t="shared" si="28"/>
        <v>0.2</v>
      </c>
      <c r="W70" s="269">
        <f t="shared" si="41"/>
        <v>0.65</v>
      </c>
      <c r="X70" s="266">
        <f t="shared" si="29"/>
        <v>0.65</v>
      </c>
      <c r="Y70" s="266" t="str">
        <f t="shared" si="42"/>
        <v/>
      </c>
      <c r="Z70" s="266" t="str">
        <f t="shared" si="30"/>
        <v/>
      </c>
    </row>
    <row r="71" spans="1:26">
      <c r="A71" s="16" t="str">
        <f t="shared" si="24"/>
        <v>*</v>
      </c>
      <c r="D71" s="17" t="str">
        <f>IF(D70="","",IF(1+D70&lt;=Geometry!$G$151,1+D70,""))</f>
        <v/>
      </c>
      <c r="E71" s="843" t="str">
        <f>IF(D71&lt;Geometry!$G$151,AVERAGE(Geometry!E172:E173),"")</f>
        <v/>
      </c>
      <c r="F71" s="843" t="str">
        <f>IF('Live Load on Cap'!D71=Geometry!$G$151,Geometry!E172,"")</f>
        <v/>
      </c>
      <c r="G71" s="266" t="str">
        <f t="shared" si="31"/>
        <v/>
      </c>
      <c r="H71" s="275" t="str">
        <f t="shared" si="32"/>
        <v/>
      </c>
      <c r="I71" s="275" t="str">
        <f t="shared" si="33"/>
        <v/>
      </c>
      <c r="J71" s="275" t="str">
        <f t="shared" si="34"/>
        <v/>
      </c>
      <c r="K71" s="275" t="str">
        <f t="shared" si="35"/>
        <v/>
      </c>
      <c r="N71" s="1397" t="str">
        <f t="shared" si="36"/>
        <v/>
      </c>
      <c r="O71" s="843">
        <f t="shared" si="37"/>
        <v>0</v>
      </c>
      <c r="P71" s="843">
        <f t="shared" si="38"/>
        <v>2</v>
      </c>
      <c r="Q71" s="266" t="str">
        <f t="shared" si="25"/>
        <v/>
      </c>
      <c r="R71" s="266" t="str">
        <f t="shared" si="39"/>
        <v/>
      </c>
      <c r="S71" s="266" t="str">
        <f t="shared" si="26"/>
        <v/>
      </c>
      <c r="T71" s="266" t="str">
        <f t="shared" si="40"/>
        <v/>
      </c>
      <c r="U71" s="266" t="str">
        <f t="shared" si="27"/>
        <v/>
      </c>
      <c r="V71" s="266">
        <f t="shared" si="28"/>
        <v>0.2</v>
      </c>
      <c r="W71" s="269">
        <f t="shared" si="41"/>
        <v>0.65</v>
      </c>
      <c r="X71" s="266">
        <f t="shared" si="29"/>
        <v>0.65</v>
      </c>
      <c r="Y71" s="266" t="str">
        <f t="shared" si="42"/>
        <v/>
      </c>
      <c r="Z71" s="266" t="str">
        <f t="shared" si="30"/>
        <v/>
      </c>
    </row>
    <row r="72" spans="1:26">
      <c r="A72" s="16" t="str">
        <f t="shared" si="24"/>
        <v>*</v>
      </c>
      <c r="D72" s="17" t="str">
        <f>IF(D71="","",IF(1+D71&lt;=Geometry!$G$151,1+D71,""))</f>
        <v/>
      </c>
      <c r="E72" s="843" t="str">
        <f>IF(D72&lt;Geometry!$G$151,AVERAGE(Geometry!E173:E174),"")</f>
        <v/>
      </c>
      <c r="F72" s="843" t="str">
        <f>IF('Live Load on Cap'!D72=Geometry!$G$151,Geometry!E173,"")</f>
        <v/>
      </c>
      <c r="G72" s="266" t="str">
        <f t="shared" si="31"/>
        <v/>
      </c>
      <c r="H72" s="275" t="str">
        <f t="shared" si="32"/>
        <v/>
      </c>
      <c r="I72" s="275" t="str">
        <f t="shared" si="33"/>
        <v/>
      </c>
      <c r="J72" s="275" t="str">
        <f t="shared" si="34"/>
        <v/>
      </c>
      <c r="K72" s="275" t="str">
        <f t="shared" si="35"/>
        <v/>
      </c>
      <c r="N72" s="1397" t="str">
        <f t="shared" si="36"/>
        <v/>
      </c>
      <c r="O72" s="843">
        <f t="shared" si="37"/>
        <v>0</v>
      </c>
      <c r="P72" s="843">
        <f t="shared" si="38"/>
        <v>2</v>
      </c>
      <c r="Q72" s="266" t="str">
        <f t="shared" si="25"/>
        <v/>
      </c>
      <c r="R72" s="266" t="str">
        <f t="shared" si="39"/>
        <v/>
      </c>
      <c r="S72" s="266" t="str">
        <f t="shared" si="26"/>
        <v/>
      </c>
      <c r="T72" s="266" t="str">
        <f t="shared" si="40"/>
        <v/>
      </c>
      <c r="U72" s="266" t="str">
        <f t="shared" si="27"/>
        <v/>
      </c>
      <c r="V72" s="266">
        <f t="shared" si="28"/>
        <v>0.2</v>
      </c>
      <c r="W72" s="269">
        <f t="shared" si="41"/>
        <v>0.65</v>
      </c>
      <c r="X72" s="266">
        <f t="shared" si="29"/>
        <v>0.65</v>
      </c>
      <c r="Y72" s="266" t="str">
        <f t="shared" si="42"/>
        <v/>
      </c>
      <c r="Z72" s="266" t="str">
        <f t="shared" si="30"/>
        <v/>
      </c>
    </row>
    <row r="73" spans="1:26">
      <c r="A73" s="16" t="str">
        <f t="shared" si="24"/>
        <v>*</v>
      </c>
      <c r="D73" s="17" t="str">
        <f>IF(D72="","",IF(1+D72&lt;=Geometry!$G$151,1+D72,""))</f>
        <v/>
      </c>
      <c r="E73" s="843" t="str">
        <f>IF(D73&lt;Geometry!$G$151,AVERAGE(Geometry!E174:E175),"")</f>
        <v/>
      </c>
      <c r="F73" s="843" t="str">
        <f>IF('Live Load on Cap'!D73=Geometry!$G$151,Geometry!E174,"")</f>
        <v/>
      </c>
      <c r="G73" s="266" t="str">
        <f t="shared" si="31"/>
        <v/>
      </c>
      <c r="H73" s="275" t="str">
        <f t="shared" si="32"/>
        <v/>
      </c>
      <c r="I73" s="275" t="str">
        <f t="shared" si="33"/>
        <v/>
      </c>
      <c r="J73" s="275" t="str">
        <f t="shared" si="34"/>
        <v/>
      </c>
      <c r="K73" s="275" t="str">
        <f t="shared" si="35"/>
        <v/>
      </c>
      <c r="N73" s="1397" t="str">
        <f t="shared" si="36"/>
        <v/>
      </c>
      <c r="O73" s="843">
        <f t="shared" si="37"/>
        <v>0</v>
      </c>
      <c r="P73" s="843">
        <f t="shared" si="38"/>
        <v>2</v>
      </c>
      <c r="Q73" s="266" t="str">
        <f t="shared" si="25"/>
        <v/>
      </c>
      <c r="R73" s="266" t="str">
        <f t="shared" si="39"/>
        <v/>
      </c>
      <c r="S73" s="266" t="str">
        <f t="shared" si="26"/>
        <v/>
      </c>
      <c r="T73" s="266" t="str">
        <f t="shared" si="40"/>
        <v/>
      </c>
      <c r="U73" s="266" t="str">
        <f t="shared" si="27"/>
        <v/>
      </c>
      <c r="V73" s="266">
        <f t="shared" si="28"/>
        <v>0.2</v>
      </c>
      <c r="W73" s="269">
        <f t="shared" si="41"/>
        <v>0.65</v>
      </c>
      <c r="X73" s="266">
        <f t="shared" si="29"/>
        <v>0.65</v>
      </c>
      <c r="Y73" s="266" t="str">
        <f t="shared" si="42"/>
        <v/>
      </c>
      <c r="Z73" s="266" t="str">
        <f t="shared" si="30"/>
        <v/>
      </c>
    </row>
    <row r="74" spans="1:26">
      <c r="A74" s="16" t="str">
        <f t="shared" si="24"/>
        <v>*</v>
      </c>
      <c r="D74" s="17" t="str">
        <f>IF(D73="","",IF(1+D73&lt;=Geometry!$G$151,1+D73,""))</f>
        <v/>
      </c>
      <c r="E74" s="843"/>
      <c r="F74" s="843" t="str">
        <f>IF(FBSPA20="","",FBSPA20)</f>
        <v/>
      </c>
      <c r="G74" s="266" t="str">
        <f t="shared" si="31"/>
        <v/>
      </c>
      <c r="H74" s="275" t="str">
        <f t="shared" si="32"/>
        <v/>
      </c>
      <c r="I74" s="275" t="str">
        <f>IF(G74="","",G74*$E$49)</f>
        <v/>
      </c>
      <c r="J74" s="275" t="str">
        <f t="shared" si="34"/>
        <v/>
      </c>
      <c r="K74" s="275" t="str">
        <f t="shared" si="35"/>
        <v/>
      </c>
      <c r="N74" s="1397" t="str">
        <f t="shared" si="36"/>
        <v/>
      </c>
      <c r="O74" s="843">
        <f t="shared" si="37"/>
        <v>0</v>
      </c>
      <c r="P74" s="843">
        <f t="shared" si="38"/>
        <v>2</v>
      </c>
      <c r="Q74" s="266" t="str">
        <f t="shared" si="25"/>
        <v/>
      </c>
      <c r="R74" s="266" t="str">
        <f t="shared" si="39"/>
        <v/>
      </c>
      <c r="S74" s="266" t="str">
        <f t="shared" si="26"/>
        <v/>
      </c>
      <c r="T74" s="266" t="str">
        <f t="shared" si="40"/>
        <v/>
      </c>
      <c r="U74" s="266" t="str">
        <f t="shared" si="27"/>
        <v/>
      </c>
      <c r="V74" s="266">
        <f t="shared" si="28"/>
        <v>0.2</v>
      </c>
      <c r="W74" s="269">
        <f t="shared" si="41"/>
        <v>0.65</v>
      </c>
      <c r="X74" s="266">
        <f t="shared" si="29"/>
        <v>0.65</v>
      </c>
      <c r="Y74" s="266" t="str">
        <f t="shared" si="42"/>
        <v/>
      </c>
      <c r="Z74" s="266" t="str">
        <f t="shared" si="30"/>
        <v/>
      </c>
    </row>
    <row r="75" spans="1:26">
      <c r="A75" t="s">
        <v>670</v>
      </c>
    </row>
  </sheetData>
  <mergeCells count="28">
    <mergeCell ref="AJ14:AK14"/>
    <mergeCell ref="AJ18:AK18"/>
    <mergeCell ref="H53:I53"/>
    <mergeCell ref="J53:K53"/>
    <mergeCell ref="H23:I23"/>
    <mergeCell ref="J23:K23"/>
    <mergeCell ref="X22:X24"/>
    <mergeCell ref="Q22:R22"/>
    <mergeCell ref="S22:T22"/>
    <mergeCell ref="S23:S24"/>
    <mergeCell ref="T23:T24"/>
    <mergeCell ref="U23:V23"/>
    <mergeCell ref="Q23:Q24"/>
    <mergeCell ref="R23:R24"/>
    <mergeCell ref="Q52:R52"/>
    <mergeCell ref="S52:T52"/>
    <mergeCell ref="B10:L10"/>
    <mergeCell ref="B8:L8"/>
    <mergeCell ref="AA2:AB2"/>
    <mergeCell ref="U2:V2"/>
    <mergeCell ref="W2:X2"/>
    <mergeCell ref="O2:Q2"/>
    <mergeCell ref="X52:X54"/>
    <mergeCell ref="Q53:Q54"/>
    <mergeCell ref="R53:R54"/>
    <mergeCell ref="S53:S54"/>
    <mergeCell ref="T53:T54"/>
    <mergeCell ref="U53:V53"/>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indexed="42"/>
  </sheetPr>
  <dimension ref="A5:BF423"/>
  <sheetViews>
    <sheetView showGridLines="0" view="pageBreakPreview" topLeftCell="A7" zoomScaleNormal="100" zoomScaleSheetLayoutView="100" workbookViewId="0"/>
  </sheetViews>
  <sheetFormatPr defaultRowHeight="12.75"/>
  <cols>
    <col min="1" max="1" width="24.7109375" style="358" customWidth="1"/>
    <col min="2" max="2" width="6.28515625" customWidth="1"/>
    <col min="3" max="4" width="8.7109375" customWidth="1"/>
    <col min="5" max="5" width="9.5703125" customWidth="1"/>
    <col min="6" max="7" width="8.7109375" customWidth="1"/>
    <col min="8" max="8" width="8.5703125" customWidth="1"/>
    <col min="9" max="9" width="10.7109375" customWidth="1"/>
    <col min="10" max="10" width="8.7109375" customWidth="1"/>
    <col min="11" max="11" width="8.5703125" customWidth="1"/>
    <col min="12" max="12" width="8.7109375" customWidth="1"/>
    <col min="13" max="22" width="9.140625" style="337"/>
    <col min="23" max="30" width="10" style="337" customWidth="1"/>
    <col min="31" max="58" width="9.140625" style="337"/>
  </cols>
  <sheetData>
    <row r="5" spans="1:30">
      <c r="N5" s="338"/>
    </row>
    <row r="6" spans="1:30">
      <c r="N6" s="338"/>
    </row>
    <row r="7" spans="1:30">
      <c r="N7" s="338"/>
    </row>
    <row r="8" spans="1:30" ht="19.5" customHeight="1" thickBot="1">
      <c r="B8" s="1598" t="s">
        <v>1293</v>
      </c>
      <c r="C8" s="1598"/>
      <c r="D8" s="1598"/>
      <c r="E8" s="1598"/>
      <c r="F8" s="1598"/>
      <c r="G8" s="1598"/>
      <c r="H8" s="1598"/>
      <c r="I8" s="1598"/>
      <c r="J8" s="1598"/>
      <c r="K8" s="1598"/>
      <c r="L8" s="1598"/>
    </row>
    <row r="9" spans="1:30" ht="13.5" thickTop="1">
      <c r="B9" s="18"/>
      <c r="D9" s="244" t="s">
        <v>977</v>
      </c>
      <c r="E9" s="245">
        <f>2*halfeffectiveface/12</f>
        <v>6</v>
      </c>
      <c r="F9" s="61" t="s">
        <v>156</v>
      </c>
      <c r="I9" s="16" t="s">
        <v>978</v>
      </c>
      <c r="J9" s="246">
        <f>(ColSpa1)-caplength/2</f>
        <v>0</v>
      </c>
      <c r="K9" t="s">
        <v>156</v>
      </c>
      <c r="L9" s="18"/>
      <c r="M9" s="338"/>
    </row>
    <row r="10" spans="1:30" ht="14.25" thickBot="1">
      <c r="B10" s="18"/>
      <c r="D10" s="21" t="s">
        <v>989</v>
      </c>
      <c r="E10" s="246">
        <f>E9/2</f>
        <v>3</v>
      </c>
      <c r="F10" s="61" t="s">
        <v>156</v>
      </c>
      <c r="L10" s="817" t="s">
        <v>246</v>
      </c>
      <c r="M10" s="338"/>
      <c r="W10" s="338"/>
      <c r="X10" s="338"/>
    </row>
    <row r="11" spans="1:30" ht="12.75" customHeight="1">
      <c r="B11" s="1617" t="s">
        <v>255</v>
      </c>
      <c r="C11" s="1617"/>
      <c r="D11" s="1617"/>
      <c r="E11" s="1617"/>
      <c r="F11" s="247"/>
      <c r="G11" s="71"/>
      <c r="H11" s="40" t="s">
        <v>990</v>
      </c>
      <c r="I11" s="247">
        <f>Geometry!G123</f>
        <v>4</v>
      </c>
      <c r="J11" s="61"/>
      <c r="K11" s="61"/>
      <c r="L11" s="18"/>
      <c r="M11" s="338"/>
      <c r="N11" s="439"/>
      <c r="O11" s="440"/>
      <c r="P11" s="440"/>
      <c r="Q11" s="440"/>
      <c r="R11" s="440"/>
      <c r="S11" s="1615" t="s">
        <v>994</v>
      </c>
      <c r="T11" s="1616"/>
      <c r="U11" s="1616"/>
      <c r="V11" s="1616"/>
      <c r="W11" s="400"/>
      <c r="X11" s="441"/>
    </row>
    <row r="12" spans="1:30" ht="15.75" customHeight="1">
      <c r="B12" s="1617"/>
      <c r="C12" s="1617"/>
      <c r="D12" s="1617"/>
      <c r="E12" s="1617"/>
      <c r="F12" s="248"/>
      <c r="G12" s="248"/>
      <c r="H12" s="248"/>
      <c r="I12" s="1613" t="s">
        <v>1147</v>
      </c>
      <c r="J12" s="1613"/>
      <c r="K12" s="1613"/>
      <c r="L12" s="1613"/>
      <c r="M12" s="349"/>
      <c r="N12" s="442"/>
      <c r="O12" s="443" t="s">
        <v>1040</v>
      </c>
      <c r="P12" s="443" t="s">
        <v>1041</v>
      </c>
      <c r="Q12" s="443" t="s">
        <v>1042</v>
      </c>
      <c r="R12" s="443" t="s">
        <v>1043</v>
      </c>
      <c r="S12" s="1609" t="s">
        <v>721</v>
      </c>
      <c r="T12" s="1611" t="s">
        <v>890</v>
      </c>
      <c r="U12" s="1611" t="s">
        <v>995</v>
      </c>
      <c r="V12" s="1611" t="s">
        <v>1013</v>
      </c>
      <c r="W12" s="1607" t="s">
        <v>1034</v>
      </c>
      <c r="X12" s="1608"/>
      <c r="Y12" s="1607" t="s">
        <v>1014</v>
      </c>
      <c r="Z12" s="1608"/>
      <c r="AA12" s="1607" t="s">
        <v>1015</v>
      </c>
      <c r="AB12" s="1608"/>
      <c r="AC12" s="1607" t="s">
        <v>1016</v>
      </c>
      <c r="AD12" s="1608"/>
    </row>
    <row r="13" spans="1:30" ht="12.75" customHeight="1">
      <c r="B13" s="249" t="s">
        <v>263</v>
      </c>
      <c r="C13" s="1614" t="s">
        <v>443</v>
      </c>
      <c r="D13" s="1614"/>
      <c r="E13" s="1614" t="s">
        <v>1067</v>
      </c>
      <c r="F13" s="1614"/>
      <c r="G13" s="249" t="s">
        <v>721</v>
      </c>
      <c r="H13" s="249" t="s">
        <v>890</v>
      </c>
      <c r="I13" s="263" t="s">
        <v>997</v>
      </c>
      <c r="J13" s="263" t="s">
        <v>1008</v>
      </c>
      <c r="K13" s="263"/>
      <c r="M13" s="349"/>
      <c r="N13" s="444"/>
      <c r="O13" s="445"/>
      <c r="P13" s="445"/>
      <c r="Q13" s="445"/>
      <c r="R13" s="445"/>
      <c r="S13" s="1610"/>
      <c r="T13" s="1612"/>
      <c r="U13" s="1612"/>
      <c r="V13" s="1612"/>
      <c r="W13" s="446"/>
      <c r="X13" s="447">
        <v>0</v>
      </c>
      <c r="Y13" s="446"/>
      <c r="Z13" s="447">
        <v>0</v>
      </c>
      <c r="AA13" s="446"/>
      <c r="AB13" s="447">
        <v>0</v>
      </c>
      <c r="AC13" s="446"/>
      <c r="AD13" s="447">
        <v>0</v>
      </c>
    </row>
    <row r="14" spans="1:30" ht="12" customHeight="1">
      <c r="A14" s="391" t="str">
        <f>IF(B14="","*","")</f>
        <v/>
      </c>
      <c r="B14" s="251">
        <f>Geometry!D128</f>
        <v>1</v>
      </c>
      <c r="C14" s="1606">
        <f>IF(B14="","",((caplength/2-Geometry!I128)+$J$9))</f>
        <v>22</v>
      </c>
      <c r="D14" s="1606"/>
      <c r="E14" s="1606">
        <f>IF(C14="","",IF(C14&gt;$E$10,C14-$E$10,IF(C14&lt;-$E$10,C14+$E$10,"--")))</f>
        <v>19</v>
      </c>
      <c r="F14" s="1606"/>
      <c r="G14" s="252">
        <f>IF(E14="--","",'Conc DL'!Q31)</f>
        <v>110.82062499999999</v>
      </c>
      <c r="H14" s="253">
        <f>IF(E14="--","",'Conc DL'!R31)</f>
        <v>1.875</v>
      </c>
      <c r="I14" s="254">
        <f>IF(E14="--","",'Live Load on Cap'!J25)</f>
        <v>48.468636734693874</v>
      </c>
      <c r="J14" s="255">
        <f>IF(E14="--","",'Live Load on Cap'!K25)</f>
        <v>2.8303290340136056</v>
      </c>
      <c r="K14" s="254"/>
      <c r="M14" s="398"/>
      <c r="N14" s="448"/>
      <c r="O14" s="449">
        <f>IF($B14&gt;$I$11,0,IF($C14&gt;$E$10,O13+G14,IF($C14&lt;-$E$10,O15-G14,0)))</f>
        <v>110.82062499999999</v>
      </c>
      <c r="P14" s="449">
        <f>IF($B14&gt;$I$11,0,IF($C14&gt;$E$10,P13+H14,IF($C14&lt;-$E$10,P15-H14,0)))</f>
        <v>1.875</v>
      </c>
      <c r="Q14" s="449">
        <f>IF($B14&gt;$I$11,0,IF($C14&gt;$E$10,Q13+I14,IF($C14&lt;-$E$10,Q15-I14,0)))</f>
        <v>48.468636734693874</v>
      </c>
      <c r="R14" s="449">
        <f>IF($B14&gt;$I$11,0,IF($C14&gt;$E$10,R13+J14,IF($C14&lt;-$E$10,R15-J14,0)))</f>
        <v>2.8303290340136056</v>
      </c>
      <c r="S14" s="450" t="str">
        <f t="shared" ref="S14:S33" si="0">IF($E14="--","",IF($N$34&gt;0,IF($E14&gt;0,FIXED(G14,1)&amp;"k "&amp;IF(S15="","","+ "),""),IF($E14&lt;0,FIXED(G14,1)&amp;"k "&amp;IF(S15="","","+ "),"")))</f>
        <v/>
      </c>
      <c r="T14" s="450" t="str">
        <f t="shared" ref="T14:T33" si="1">IF($E14="--","",IF($N$34&gt;0,IF($E14&gt;0,FIXED(H14,1)&amp;"k "&amp;IF(T15="","","+ "),""),IF($E14&lt;0,FIXED(H14,1)&amp;"k "&amp;IF(T15="","","+ "),"")))</f>
        <v/>
      </c>
      <c r="U14" s="451" t="str">
        <f t="shared" ref="U14:U33" si="2">IF($E14="--","",IF($N$34&gt;0,IF($E14&gt;0,FIXED(I14,1)&amp;"k "&amp;IF(U15="","","+ "),""),IF($E14&lt;0,FIXED(I14,1)&amp;"k "&amp;IF(U15="","","+ "),"")))</f>
        <v/>
      </c>
      <c r="V14" s="452" t="str">
        <f t="shared" ref="V14:V33" si="3">IF($E14="--","",IF($N$34&gt;0,IF($E14&gt;0,FIXED(J14,1)&amp;"k "&amp;IF(V15="","","+ "),""),IF($E14&lt;0,FIXED(J14,1)&amp;"k "&amp;IF(V15="","","+ "),"")))</f>
        <v/>
      </c>
      <c r="W14" s="453">
        <f>IF(G14="","",IF(ABS(E14)&gt;0,G14*ABS(E14),0))</f>
        <v>2105.5918750000001</v>
      </c>
      <c r="X14" s="454">
        <f>IF($B14&gt;$I$11,0,IF($C14&gt;$E$10,X13+W14,IF($C14&lt;-$E$10,X15-W14,0)))</f>
        <v>2105.5918750000001</v>
      </c>
      <c r="Y14" s="453">
        <f>IF(H14="","",IF(ABS(E14)&gt;0,H14*ABS(E14),0))</f>
        <v>35.625</v>
      </c>
      <c r="Z14" s="454">
        <f>IF($B14&gt;$I$11,0,IF($C14&gt;$E$10,Z13+Y14,IF($C14&lt;-$E$10,Z15-Y14,0)))</f>
        <v>35.625</v>
      </c>
      <c r="AA14" s="453">
        <f>IF(I14="","",IF(ABS(E14)&gt;0,I14*ABS(E14),0))</f>
        <v>920.90409795918356</v>
      </c>
      <c r="AB14" s="454">
        <f>IF($B14&gt;$I$11,0,IF($C14&gt;$E$10,AB13+AA14,IF($C14&lt;-$E$10,AB15-AA14,0)))</f>
        <v>920.90409795918356</v>
      </c>
      <c r="AC14" s="453">
        <f>IF(J14="","",IF(ABS(E14)&gt;0,J14*ABS(E14),0))</f>
        <v>53.776251646258508</v>
      </c>
      <c r="AD14" s="454">
        <f>IF($B14&gt;$I$11,0,IF($C14&gt;$E$10,AD13+AC14,IF($C14&lt;-$E$10,AD15-AC14,0)))</f>
        <v>53.776251646258508</v>
      </c>
    </row>
    <row r="15" spans="1:30" ht="12" customHeight="1">
      <c r="A15" s="391" t="str">
        <f t="shared" ref="A15:A33" si="4">IF(B15="","*","")</f>
        <v/>
      </c>
      <c r="B15" s="251">
        <f>Geometry!D129</f>
        <v>2</v>
      </c>
      <c r="C15" s="1606">
        <f>IF(B15="","",((caplength/2-Geometry!I129)+$J$9))</f>
        <v>7.3333333333333357</v>
      </c>
      <c r="D15" s="1606"/>
      <c r="E15" s="1606">
        <f t="shared" ref="E15:E33" si="5">IF(C15="","",IF(C15&gt;$E$10,C15-$E$10,IF(C15&lt;-$E$10,C15+$E$10,"--")))</f>
        <v>4.3333333333333357</v>
      </c>
      <c r="F15" s="1606"/>
      <c r="G15" s="252">
        <f>IF(E15="--","",'Conc DL'!Q32)</f>
        <v>146.9425</v>
      </c>
      <c r="H15" s="253">
        <f>IF(E15="--","",'Conc DL'!R32)</f>
        <v>1.875</v>
      </c>
      <c r="I15" s="254">
        <f>IF(E15="--","",'Live Load on Cap'!J26)</f>
        <v>48.468636734693874</v>
      </c>
      <c r="J15" s="255">
        <f>IF(E15="--","",'Live Load on Cap'!K26)</f>
        <v>2.8303290340136056</v>
      </c>
      <c r="K15" s="254"/>
      <c r="M15" s="398"/>
      <c r="N15" s="448"/>
      <c r="O15" s="449">
        <f>IF(B15&gt;$I$11,0,IF(C15&gt;$E$10,O14+G15,IF(C15&lt;-$E$10,O16-G15,0)))</f>
        <v>257.763125</v>
      </c>
      <c r="P15" s="449">
        <f t="shared" ref="P15:P20" si="6">IF($B15&gt;$I$11,0,IF($C15&gt;$E$10,P14+H15,IF($C15&lt;-$E$10,P16-H15,0)))</f>
        <v>3.75</v>
      </c>
      <c r="Q15" s="449">
        <f t="shared" ref="Q15:Q32" si="7">IF($B15&gt;$I$11,0,IF($C15&gt;$E$10,Q14+I15,IF($C15&lt;-$E$10,Q16-I15,0)))</f>
        <v>96.937273469387748</v>
      </c>
      <c r="R15" s="449">
        <f t="shared" ref="R15:R32" si="8">IF($B15&gt;$I$11,0,IF($C15&gt;$E$10,R14+J15,IF($C15&lt;-$E$10,R16-J15,0)))</f>
        <v>5.6606580680272112</v>
      </c>
      <c r="S15" s="450" t="str">
        <f t="shared" si="0"/>
        <v/>
      </c>
      <c r="T15" s="450" t="str">
        <f t="shared" si="1"/>
        <v/>
      </c>
      <c r="U15" s="451" t="str">
        <f t="shared" si="2"/>
        <v/>
      </c>
      <c r="V15" s="452" t="str">
        <f t="shared" si="3"/>
        <v/>
      </c>
      <c r="W15" s="453">
        <f t="shared" ref="W15:W32" si="9">IF(G15="","",IF(ABS(E15)&gt;0,G15*ABS(E15),0))</f>
        <v>636.75083333333362</v>
      </c>
      <c r="X15" s="454">
        <f t="shared" ref="X15:AD32" si="10">IF($B15&gt;$I$11,0,IF($C15&gt;$E$10,X14+W15,IF($C15&lt;-$E$10,X16-W15,0)))</f>
        <v>2742.3427083333336</v>
      </c>
      <c r="Y15" s="453">
        <f t="shared" ref="Y15:Y32" si="11">IF(H15="","",IF(ABS(E15)&gt;0,H15*ABS(E15),0))</f>
        <v>8.1250000000000036</v>
      </c>
      <c r="Z15" s="454">
        <f t="shared" si="10"/>
        <v>43.75</v>
      </c>
      <c r="AA15" s="453">
        <f t="shared" ref="AA15:AA32" si="12">IF(I15="","",IF(ABS(E15)&gt;0,I15*ABS(E15),0))</f>
        <v>210.03075918367358</v>
      </c>
      <c r="AB15" s="454">
        <f t="shared" si="10"/>
        <v>1130.9348571428573</v>
      </c>
      <c r="AC15" s="453">
        <f t="shared" ref="AC15:AC32" si="13">IF(J15="","",IF(ABS(E15)&gt;0,J15*ABS(E15),0))</f>
        <v>12.264759147392297</v>
      </c>
      <c r="AD15" s="454">
        <f t="shared" si="10"/>
        <v>66.041010793650798</v>
      </c>
    </row>
    <row r="16" spans="1:30" ht="12" customHeight="1">
      <c r="A16" s="391" t="str">
        <f t="shared" si="4"/>
        <v/>
      </c>
      <c r="B16" s="251">
        <f>Geometry!D130</f>
        <v>3</v>
      </c>
      <c r="C16" s="1606">
        <f>IF(B16="","",((caplength/2-Geometry!I130)+$J$9))</f>
        <v>-7.3333333333333286</v>
      </c>
      <c r="D16" s="1606"/>
      <c r="E16" s="1606">
        <f t="shared" si="5"/>
        <v>-4.3333333333333286</v>
      </c>
      <c r="F16" s="1606"/>
      <c r="G16" s="252">
        <f>IF(E16="--","",'Conc DL'!Q33)</f>
        <v>146.9425</v>
      </c>
      <c r="H16" s="253">
        <f>IF(E16="--","",'Conc DL'!R33)</f>
        <v>1.875</v>
      </c>
      <c r="I16" s="254">
        <f>IF(E16="--","",'Live Load on Cap'!J27)</f>
        <v>48.468636734693874</v>
      </c>
      <c r="J16" s="255">
        <f>IF(E16="--","",'Live Load on Cap'!K27)</f>
        <v>2.8303290340136056</v>
      </c>
      <c r="K16" s="254"/>
      <c r="M16" s="398"/>
      <c r="N16" s="448"/>
      <c r="O16" s="449">
        <f t="shared" ref="O16:O33" si="14">IF(B16&gt;$I$11,0,IF(C16&gt;$E$10,O15+G16,IF(C16&lt;-$E$10,O17-G16,0)))</f>
        <v>-269.71312499999999</v>
      </c>
      <c r="P16" s="449">
        <f t="shared" si="6"/>
        <v>-3.75</v>
      </c>
      <c r="Q16" s="449">
        <f t="shared" si="7"/>
        <v>-96.937273469387748</v>
      </c>
      <c r="R16" s="449">
        <f t="shared" si="8"/>
        <v>-5.6606580680272112</v>
      </c>
      <c r="S16" s="450" t="str">
        <f t="shared" si="0"/>
        <v xml:space="preserve">146.9k + </v>
      </c>
      <c r="T16" s="450" t="str">
        <f t="shared" si="1"/>
        <v xml:space="preserve">1.9k + </v>
      </c>
      <c r="U16" s="451" t="str">
        <f t="shared" si="2"/>
        <v xml:space="preserve">48.5k + </v>
      </c>
      <c r="V16" s="452" t="str">
        <f t="shared" si="3"/>
        <v xml:space="preserve">2.8k + </v>
      </c>
      <c r="W16" s="453">
        <f t="shared" si="9"/>
        <v>636.75083333333259</v>
      </c>
      <c r="X16" s="454">
        <f t="shared" si="10"/>
        <v>-2969.3927083333319</v>
      </c>
      <c r="Y16" s="453">
        <f t="shared" si="11"/>
        <v>8.1249999999999911</v>
      </c>
      <c r="Z16" s="454">
        <f t="shared" si="10"/>
        <v>-43.749999999999979</v>
      </c>
      <c r="AA16" s="453">
        <f t="shared" si="12"/>
        <v>210.03075918367321</v>
      </c>
      <c r="AB16" s="454">
        <f t="shared" si="10"/>
        <v>-1130.9348571428563</v>
      </c>
      <c r="AC16" s="453">
        <f t="shared" si="13"/>
        <v>12.264759147392278</v>
      </c>
      <c r="AD16" s="454">
        <f t="shared" si="10"/>
        <v>-66.04101079365077</v>
      </c>
    </row>
    <row r="17" spans="1:30" ht="12" customHeight="1">
      <c r="A17" s="391" t="str">
        <f t="shared" si="4"/>
        <v/>
      </c>
      <c r="B17" s="251">
        <f>Geometry!D131</f>
        <v>4</v>
      </c>
      <c r="C17" s="1606">
        <f>IF(B17="","",((caplength/2-Geometry!I131)+$J$9))</f>
        <v>-21.999999999999993</v>
      </c>
      <c r="D17" s="1606"/>
      <c r="E17" s="1606">
        <f t="shared" si="5"/>
        <v>-18.999999999999993</v>
      </c>
      <c r="F17" s="1606"/>
      <c r="G17" s="252">
        <f>IF(E17="--","",'Conc DL'!Q34)</f>
        <v>122.77062500000001</v>
      </c>
      <c r="H17" s="253">
        <f>IF(E17="--","",'Conc DL'!R34)</f>
        <v>1.875</v>
      </c>
      <c r="I17" s="254">
        <f>IF(E17="--","",'Live Load on Cap'!J28)</f>
        <v>48.468636734693874</v>
      </c>
      <c r="J17" s="255">
        <f>IF(E17="--","",'Live Load on Cap'!K28)</f>
        <v>2.8303290340136056</v>
      </c>
      <c r="K17" s="254"/>
      <c r="M17" s="398"/>
      <c r="N17" s="448"/>
      <c r="O17" s="449">
        <f t="shared" si="14"/>
        <v>-122.77062500000001</v>
      </c>
      <c r="P17" s="449">
        <f t="shared" si="6"/>
        <v>-1.875</v>
      </c>
      <c r="Q17" s="449">
        <f t="shared" si="7"/>
        <v>-48.468636734693874</v>
      </c>
      <c r="R17" s="449">
        <f t="shared" si="8"/>
        <v>-2.8303290340136056</v>
      </c>
      <c r="S17" s="450" t="str">
        <f t="shared" si="0"/>
        <v xml:space="preserve">122.8k </v>
      </c>
      <c r="T17" s="450" t="str">
        <f t="shared" si="1"/>
        <v xml:space="preserve">1.9k </v>
      </c>
      <c r="U17" s="451" t="str">
        <f t="shared" si="2"/>
        <v xml:space="preserve">48.5k </v>
      </c>
      <c r="V17" s="452" t="str">
        <f t="shared" si="3"/>
        <v xml:space="preserve">2.8k </v>
      </c>
      <c r="W17" s="453">
        <f t="shared" si="9"/>
        <v>2332.6418749999993</v>
      </c>
      <c r="X17" s="454">
        <f t="shared" si="10"/>
        <v>-2332.6418749999993</v>
      </c>
      <c r="Y17" s="453">
        <f t="shared" si="11"/>
        <v>35.624999999999986</v>
      </c>
      <c r="Z17" s="454">
        <f t="shared" si="10"/>
        <v>-35.624999999999986</v>
      </c>
      <c r="AA17" s="453">
        <f t="shared" si="12"/>
        <v>920.90409795918322</v>
      </c>
      <c r="AB17" s="454">
        <f t="shared" si="10"/>
        <v>-920.90409795918322</v>
      </c>
      <c r="AC17" s="453">
        <f t="shared" si="13"/>
        <v>53.776251646258487</v>
      </c>
      <c r="AD17" s="454">
        <f t="shared" si="10"/>
        <v>-53.776251646258487</v>
      </c>
    </row>
    <row r="18" spans="1:30" ht="12" hidden="1" customHeight="1">
      <c r="A18" s="391" t="str">
        <f t="shared" si="4"/>
        <v>*</v>
      </c>
      <c r="B18" s="251" t="str">
        <f>Geometry!D132</f>
        <v/>
      </c>
      <c r="C18" s="1606" t="str">
        <f>IF(B18="","",((caplength/2-Geometry!I132)+$J$9))</f>
        <v/>
      </c>
      <c r="D18" s="1606"/>
      <c r="E18" s="1606" t="str">
        <f t="shared" si="5"/>
        <v/>
      </c>
      <c r="F18" s="1606"/>
      <c r="G18" s="252" t="str">
        <f>IF(E18="--","",'Conc DL'!Q35)</f>
        <v/>
      </c>
      <c r="H18" s="253" t="str">
        <f>IF(E18="--","",'Conc DL'!R35)</f>
        <v/>
      </c>
      <c r="I18" s="254" t="str">
        <f>IF(E18="--","",'Live Load on Cap'!J29)</f>
        <v/>
      </c>
      <c r="J18" s="255" t="str">
        <f>IF(E18="--","",'Live Load on Cap'!K29)</f>
        <v/>
      </c>
      <c r="K18" s="254"/>
      <c r="M18" s="398"/>
      <c r="N18" s="448"/>
      <c r="O18" s="449">
        <f t="shared" si="14"/>
        <v>0</v>
      </c>
      <c r="P18" s="449">
        <f t="shared" si="6"/>
        <v>0</v>
      </c>
      <c r="Q18" s="449">
        <f t="shared" si="7"/>
        <v>0</v>
      </c>
      <c r="R18" s="449">
        <f t="shared" si="8"/>
        <v>0</v>
      </c>
      <c r="S18" s="450" t="str">
        <f t="shared" si="0"/>
        <v/>
      </c>
      <c r="T18" s="450" t="str">
        <f t="shared" si="1"/>
        <v/>
      </c>
      <c r="U18" s="451" t="str">
        <f t="shared" si="2"/>
        <v/>
      </c>
      <c r="V18" s="452" t="str">
        <f t="shared" si="3"/>
        <v/>
      </c>
      <c r="W18" s="453" t="str">
        <f t="shared" si="9"/>
        <v/>
      </c>
      <c r="X18" s="454">
        <f t="shared" si="10"/>
        <v>0</v>
      </c>
      <c r="Y18" s="453" t="str">
        <f t="shared" si="11"/>
        <v/>
      </c>
      <c r="Z18" s="454">
        <f t="shared" si="10"/>
        <v>0</v>
      </c>
      <c r="AA18" s="453" t="str">
        <f t="shared" si="12"/>
        <v/>
      </c>
      <c r="AB18" s="454">
        <f t="shared" si="10"/>
        <v>0</v>
      </c>
      <c r="AC18" s="453" t="str">
        <f t="shared" si="13"/>
        <v/>
      </c>
      <c r="AD18" s="454">
        <f t="shared" si="10"/>
        <v>0</v>
      </c>
    </row>
    <row r="19" spans="1:30" ht="12" hidden="1" customHeight="1">
      <c r="A19" s="391" t="str">
        <f t="shared" si="4"/>
        <v>*</v>
      </c>
      <c r="B19" s="251" t="str">
        <f>Geometry!D133</f>
        <v/>
      </c>
      <c r="C19" s="1606" t="str">
        <f>IF(B19="","",((caplength/2-Geometry!I133)+$J$9))</f>
        <v/>
      </c>
      <c r="D19" s="1606"/>
      <c r="E19" s="1606" t="str">
        <f t="shared" si="5"/>
        <v/>
      </c>
      <c r="F19" s="1606"/>
      <c r="G19" s="252" t="str">
        <f>IF(E19="--","",'Conc DL'!Q36)</f>
        <v/>
      </c>
      <c r="H19" s="253" t="str">
        <f>IF(E19="--","",'Conc DL'!R36)</f>
        <v/>
      </c>
      <c r="I19" s="254" t="str">
        <f>IF(E19="--","",'Live Load on Cap'!J30)</f>
        <v/>
      </c>
      <c r="J19" s="255" t="str">
        <f>IF(E19="--","",'Live Load on Cap'!K30)</f>
        <v/>
      </c>
      <c r="K19" s="254"/>
      <c r="M19" s="398"/>
      <c r="N19" s="448"/>
      <c r="O19" s="449">
        <f t="shared" si="14"/>
        <v>0</v>
      </c>
      <c r="P19" s="449">
        <f t="shared" si="6"/>
        <v>0</v>
      </c>
      <c r="Q19" s="449">
        <f t="shared" si="7"/>
        <v>0</v>
      </c>
      <c r="R19" s="449">
        <f t="shared" si="8"/>
        <v>0</v>
      </c>
      <c r="S19" s="450" t="str">
        <f t="shared" si="0"/>
        <v/>
      </c>
      <c r="T19" s="450" t="str">
        <f t="shared" si="1"/>
        <v/>
      </c>
      <c r="U19" s="451" t="str">
        <f t="shared" si="2"/>
        <v/>
      </c>
      <c r="V19" s="452" t="str">
        <f t="shared" si="3"/>
        <v/>
      </c>
      <c r="W19" s="453" t="str">
        <f t="shared" si="9"/>
        <v/>
      </c>
      <c r="X19" s="454">
        <f t="shared" si="10"/>
        <v>0</v>
      </c>
      <c r="Y19" s="453" t="str">
        <f t="shared" si="11"/>
        <v/>
      </c>
      <c r="Z19" s="454">
        <f t="shared" si="10"/>
        <v>0</v>
      </c>
      <c r="AA19" s="453" t="str">
        <f t="shared" si="12"/>
        <v/>
      </c>
      <c r="AB19" s="454">
        <f t="shared" si="10"/>
        <v>0</v>
      </c>
      <c r="AC19" s="453" t="str">
        <f t="shared" si="13"/>
        <v/>
      </c>
      <c r="AD19" s="454">
        <f t="shared" si="10"/>
        <v>0</v>
      </c>
    </row>
    <row r="20" spans="1:30" ht="12" hidden="1" customHeight="1">
      <c r="A20" s="391" t="str">
        <f t="shared" si="4"/>
        <v>*</v>
      </c>
      <c r="B20" s="251" t="str">
        <f>Geometry!D134</f>
        <v/>
      </c>
      <c r="C20" s="1606" t="str">
        <f>IF(B20="","",((caplength/2-Geometry!I134)+$J$9))</f>
        <v/>
      </c>
      <c r="D20" s="1606"/>
      <c r="E20" s="1606" t="str">
        <f t="shared" si="5"/>
        <v/>
      </c>
      <c r="F20" s="1606"/>
      <c r="G20" s="252" t="str">
        <f>IF(E20="--","",'Conc DL'!Q37)</f>
        <v/>
      </c>
      <c r="H20" s="253" t="str">
        <f>IF(E20="--","",'Conc DL'!R37)</f>
        <v/>
      </c>
      <c r="I20" s="254" t="str">
        <f>IF(E20="--","",'Live Load on Cap'!J31)</f>
        <v/>
      </c>
      <c r="J20" s="255" t="str">
        <f>IF(E20="--","",'Live Load on Cap'!K31)</f>
        <v/>
      </c>
      <c r="K20" s="254"/>
      <c r="M20" s="398"/>
      <c r="N20" s="448"/>
      <c r="O20" s="449">
        <f t="shared" si="14"/>
        <v>0</v>
      </c>
      <c r="P20" s="449">
        <f t="shared" si="6"/>
        <v>0</v>
      </c>
      <c r="Q20" s="449">
        <f t="shared" si="7"/>
        <v>0</v>
      </c>
      <c r="R20" s="449">
        <f t="shared" si="8"/>
        <v>0</v>
      </c>
      <c r="S20" s="450" t="str">
        <f t="shared" si="0"/>
        <v/>
      </c>
      <c r="T20" s="450" t="str">
        <f t="shared" si="1"/>
        <v/>
      </c>
      <c r="U20" s="451" t="str">
        <f t="shared" si="2"/>
        <v/>
      </c>
      <c r="V20" s="452" t="str">
        <f t="shared" si="3"/>
        <v/>
      </c>
      <c r="W20" s="453" t="str">
        <f t="shared" si="9"/>
        <v/>
      </c>
      <c r="X20" s="454">
        <f t="shared" si="10"/>
        <v>0</v>
      </c>
      <c r="Y20" s="453" t="str">
        <f t="shared" si="11"/>
        <v/>
      </c>
      <c r="Z20" s="454">
        <f t="shared" si="10"/>
        <v>0</v>
      </c>
      <c r="AA20" s="453" t="str">
        <f t="shared" si="12"/>
        <v/>
      </c>
      <c r="AB20" s="454">
        <f t="shared" si="10"/>
        <v>0</v>
      </c>
      <c r="AC20" s="453" t="str">
        <f t="shared" si="13"/>
        <v/>
      </c>
      <c r="AD20" s="454">
        <f t="shared" si="10"/>
        <v>0</v>
      </c>
    </row>
    <row r="21" spans="1:30" ht="12" hidden="1" customHeight="1">
      <c r="A21" s="391" t="str">
        <f t="shared" si="4"/>
        <v>*</v>
      </c>
      <c r="B21" s="251" t="str">
        <f>Geometry!D135</f>
        <v/>
      </c>
      <c r="C21" s="1606" t="str">
        <f>IF(B21="","",((caplength/2-Geometry!I135)+$J$9))</f>
        <v/>
      </c>
      <c r="D21" s="1606"/>
      <c r="E21" s="1606" t="str">
        <f t="shared" si="5"/>
        <v/>
      </c>
      <c r="F21" s="1606"/>
      <c r="G21" s="252" t="str">
        <f>IF(E21="--","",'Conc DL'!Q38)</f>
        <v/>
      </c>
      <c r="H21" s="253" t="str">
        <f>IF(E21="--","",'Conc DL'!R38)</f>
        <v/>
      </c>
      <c r="I21" s="254" t="str">
        <f>IF(E21="--","",'Live Load on Cap'!J32)</f>
        <v/>
      </c>
      <c r="J21" s="255" t="str">
        <f>IF(E21="--","",'Live Load on Cap'!K32)</f>
        <v/>
      </c>
      <c r="K21" s="254"/>
      <c r="M21" s="398"/>
      <c r="N21" s="448"/>
      <c r="O21" s="449">
        <f t="shared" si="14"/>
        <v>0</v>
      </c>
      <c r="P21" s="449">
        <f t="shared" ref="P21:P32" si="15">IF($B21&gt;$I$11,0,IF($C21&gt;$E$10,P20+H21,IF($C21&lt;-$E$10,P22-H21,0)))</f>
        <v>0</v>
      </c>
      <c r="Q21" s="449">
        <f t="shared" si="7"/>
        <v>0</v>
      </c>
      <c r="R21" s="449">
        <f t="shared" si="8"/>
        <v>0</v>
      </c>
      <c r="S21" s="450" t="str">
        <f t="shared" si="0"/>
        <v/>
      </c>
      <c r="T21" s="450" t="str">
        <f t="shared" si="1"/>
        <v/>
      </c>
      <c r="U21" s="451" t="str">
        <f t="shared" si="2"/>
        <v/>
      </c>
      <c r="V21" s="452" t="str">
        <f t="shared" si="3"/>
        <v/>
      </c>
      <c r="W21" s="453" t="str">
        <f t="shared" si="9"/>
        <v/>
      </c>
      <c r="X21" s="454">
        <f t="shared" si="10"/>
        <v>0</v>
      </c>
      <c r="Y21" s="453" t="str">
        <f t="shared" si="11"/>
        <v/>
      </c>
      <c r="Z21" s="454">
        <f t="shared" si="10"/>
        <v>0</v>
      </c>
      <c r="AA21" s="453" t="str">
        <f t="shared" si="12"/>
        <v/>
      </c>
      <c r="AB21" s="454">
        <f t="shared" si="10"/>
        <v>0</v>
      </c>
      <c r="AC21" s="453" t="str">
        <f t="shared" si="13"/>
        <v/>
      </c>
      <c r="AD21" s="454">
        <f t="shared" si="10"/>
        <v>0</v>
      </c>
    </row>
    <row r="22" spans="1:30" ht="12" hidden="1" customHeight="1">
      <c r="A22" s="391" t="str">
        <f t="shared" si="4"/>
        <v>*</v>
      </c>
      <c r="B22" s="251" t="str">
        <f>Geometry!D136</f>
        <v/>
      </c>
      <c r="C22" s="1606" t="str">
        <f>IF(B22="","",((caplength/2-Geometry!I136)+$J$9))</f>
        <v/>
      </c>
      <c r="D22" s="1606"/>
      <c r="E22" s="1606" t="str">
        <f t="shared" si="5"/>
        <v/>
      </c>
      <c r="F22" s="1606"/>
      <c r="G22" s="252" t="str">
        <f>IF(E22="--","",'Conc DL'!Q39)</f>
        <v/>
      </c>
      <c r="H22" s="253" t="str">
        <f>IF(E22="--","",'Conc DL'!R39)</f>
        <v/>
      </c>
      <c r="I22" s="254" t="str">
        <f>IF(E22="--","",'Live Load on Cap'!J33)</f>
        <v/>
      </c>
      <c r="J22" s="255" t="str">
        <f>IF(E22="--","",'Live Load on Cap'!K33)</f>
        <v/>
      </c>
      <c r="K22" s="254"/>
      <c r="M22" s="398"/>
      <c r="N22" s="448"/>
      <c r="O22" s="449">
        <f t="shared" si="14"/>
        <v>0</v>
      </c>
      <c r="P22" s="449">
        <f t="shared" si="15"/>
        <v>0</v>
      </c>
      <c r="Q22" s="449">
        <f t="shared" si="7"/>
        <v>0</v>
      </c>
      <c r="R22" s="449">
        <f t="shared" si="8"/>
        <v>0</v>
      </c>
      <c r="S22" s="450" t="str">
        <f t="shared" si="0"/>
        <v/>
      </c>
      <c r="T22" s="450" t="str">
        <f t="shared" si="1"/>
        <v/>
      </c>
      <c r="U22" s="451" t="str">
        <f t="shared" si="2"/>
        <v/>
      </c>
      <c r="V22" s="452" t="str">
        <f t="shared" si="3"/>
        <v/>
      </c>
      <c r="W22" s="453" t="str">
        <f t="shared" si="9"/>
        <v/>
      </c>
      <c r="X22" s="454">
        <f t="shared" si="10"/>
        <v>0</v>
      </c>
      <c r="Y22" s="453" t="str">
        <f t="shared" si="11"/>
        <v/>
      </c>
      <c r="Z22" s="454">
        <f t="shared" si="10"/>
        <v>0</v>
      </c>
      <c r="AA22" s="453" t="str">
        <f t="shared" si="12"/>
        <v/>
      </c>
      <c r="AB22" s="454">
        <f t="shared" si="10"/>
        <v>0</v>
      </c>
      <c r="AC22" s="453" t="str">
        <f t="shared" si="13"/>
        <v/>
      </c>
      <c r="AD22" s="454">
        <f t="shared" si="10"/>
        <v>0</v>
      </c>
    </row>
    <row r="23" spans="1:30" ht="12" hidden="1" customHeight="1">
      <c r="A23" s="391" t="str">
        <f t="shared" si="4"/>
        <v>*</v>
      </c>
      <c r="B23" s="251" t="str">
        <f>Geometry!D137</f>
        <v/>
      </c>
      <c r="C23" s="1606" t="str">
        <f>IF(B23="","",((caplength/2-Geometry!I137)+$J$9))</f>
        <v/>
      </c>
      <c r="D23" s="1606"/>
      <c r="E23" s="1606" t="str">
        <f t="shared" si="5"/>
        <v/>
      </c>
      <c r="F23" s="1606"/>
      <c r="G23" s="252" t="str">
        <f>IF(E23="--","",'Conc DL'!Q40)</f>
        <v/>
      </c>
      <c r="H23" s="253" t="str">
        <f>IF(E23="--","",'Conc DL'!R40)</f>
        <v/>
      </c>
      <c r="I23" s="254" t="str">
        <f>IF(E23="--","",'Live Load on Cap'!J34)</f>
        <v/>
      </c>
      <c r="J23" s="255" t="str">
        <f>IF(E23="--","",'Live Load on Cap'!K34)</f>
        <v/>
      </c>
      <c r="K23" s="254"/>
      <c r="M23" s="398"/>
      <c r="N23" s="448"/>
      <c r="O23" s="449">
        <f t="shared" si="14"/>
        <v>0</v>
      </c>
      <c r="P23" s="449">
        <f t="shared" si="15"/>
        <v>0</v>
      </c>
      <c r="Q23" s="449">
        <f t="shared" si="7"/>
        <v>0</v>
      </c>
      <c r="R23" s="449">
        <f t="shared" si="8"/>
        <v>0</v>
      </c>
      <c r="S23" s="450" t="str">
        <f t="shared" si="0"/>
        <v/>
      </c>
      <c r="T23" s="450" t="str">
        <f t="shared" si="1"/>
        <v/>
      </c>
      <c r="U23" s="451" t="str">
        <f t="shared" si="2"/>
        <v/>
      </c>
      <c r="V23" s="452" t="str">
        <f t="shared" si="3"/>
        <v/>
      </c>
      <c r="W23" s="453" t="str">
        <f t="shared" si="9"/>
        <v/>
      </c>
      <c r="X23" s="454">
        <f t="shared" si="10"/>
        <v>0</v>
      </c>
      <c r="Y23" s="453" t="str">
        <f t="shared" si="11"/>
        <v/>
      </c>
      <c r="Z23" s="454">
        <f t="shared" si="10"/>
        <v>0</v>
      </c>
      <c r="AA23" s="453" t="str">
        <f t="shared" si="12"/>
        <v/>
      </c>
      <c r="AB23" s="454">
        <f t="shared" si="10"/>
        <v>0</v>
      </c>
      <c r="AC23" s="453" t="str">
        <f t="shared" si="13"/>
        <v/>
      </c>
      <c r="AD23" s="454">
        <f t="shared" si="10"/>
        <v>0</v>
      </c>
    </row>
    <row r="24" spans="1:30" ht="12" hidden="1" customHeight="1">
      <c r="A24" s="391" t="str">
        <f t="shared" si="4"/>
        <v>*</v>
      </c>
      <c r="B24" s="251" t="str">
        <f>Geometry!D138</f>
        <v/>
      </c>
      <c r="C24" s="1606" t="str">
        <f>IF(B24="","",((caplength/2-Geometry!I138)+$J$9))</f>
        <v/>
      </c>
      <c r="D24" s="1606"/>
      <c r="E24" s="1606" t="str">
        <f t="shared" si="5"/>
        <v/>
      </c>
      <c r="F24" s="1606"/>
      <c r="G24" s="252" t="str">
        <f>IF(E24="--","",'Conc DL'!Q41)</f>
        <v/>
      </c>
      <c r="H24" s="253" t="str">
        <f>IF(E24="--","",'Conc DL'!R41)</f>
        <v/>
      </c>
      <c r="I24" s="254" t="str">
        <f>IF(E24="--","",'Live Load on Cap'!J35)</f>
        <v/>
      </c>
      <c r="J24" s="255" t="str">
        <f>IF(E24="--","",'Live Load on Cap'!K35)</f>
        <v/>
      </c>
      <c r="K24" s="254"/>
      <c r="M24" s="398"/>
      <c r="N24" s="442"/>
      <c r="O24" s="449">
        <f t="shared" si="14"/>
        <v>0</v>
      </c>
      <c r="P24" s="449">
        <f t="shared" si="15"/>
        <v>0</v>
      </c>
      <c r="Q24" s="449">
        <f t="shared" si="7"/>
        <v>0</v>
      </c>
      <c r="R24" s="449">
        <f t="shared" si="8"/>
        <v>0</v>
      </c>
      <c r="S24" s="450" t="str">
        <f t="shared" si="0"/>
        <v/>
      </c>
      <c r="T24" s="450" t="str">
        <f t="shared" si="1"/>
        <v/>
      </c>
      <c r="U24" s="451" t="str">
        <f t="shared" si="2"/>
        <v/>
      </c>
      <c r="V24" s="452" t="str">
        <f t="shared" si="3"/>
        <v/>
      </c>
      <c r="W24" s="453" t="str">
        <f t="shared" si="9"/>
        <v/>
      </c>
      <c r="X24" s="454">
        <f t="shared" si="10"/>
        <v>0</v>
      </c>
      <c r="Y24" s="453" t="str">
        <f t="shared" si="11"/>
        <v/>
      </c>
      <c r="Z24" s="454">
        <f t="shared" si="10"/>
        <v>0</v>
      </c>
      <c r="AA24" s="453" t="str">
        <f t="shared" si="12"/>
        <v/>
      </c>
      <c r="AB24" s="454">
        <f t="shared" si="10"/>
        <v>0</v>
      </c>
      <c r="AC24" s="453" t="str">
        <f t="shared" si="13"/>
        <v/>
      </c>
      <c r="AD24" s="454">
        <f t="shared" si="10"/>
        <v>0</v>
      </c>
    </row>
    <row r="25" spans="1:30" ht="12" hidden="1" customHeight="1">
      <c r="A25" s="391" t="str">
        <f t="shared" si="4"/>
        <v>*</v>
      </c>
      <c r="B25" s="251" t="str">
        <f>Geometry!D139</f>
        <v/>
      </c>
      <c r="C25" s="1606" t="str">
        <f>IF(B25="","",((caplength/2-Geometry!I139)+$J$9))</f>
        <v/>
      </c>
      <c r="D25" s="1606"/>
      <c r="E25" s="1606" t="str">
        <f t="shared" si="5"/>
        <v/>
      </c>
      <c r="F25" s="1606"/>
      <c r="G25" s="252" t="str">
        <f>IF(E25="--","",'Conc DL'!Q42)</f>
        <v/>
      </c>
      <c r="H25" s="253" t="str">
        <f>IF(E25="--","",'Conc DL'!R42)</f>
        <v/>
      </c>
      <c r="I25" s="254" t="str">
        <f>IF(E25="--","",'Live Load on Cap'!J36)</f>
        <v/>
      </c>
      <c r="J25" s="255" t="str">
        <f>IF(E25="--","",'Live Load on Cap'!K36)</f>
        <v/>
      </c>
      <c r="K25" s="254"/>
      <c r="M25" s="398"/>
      <c r="N25" s="442"/>
      <c r="O25" s="449">
        <f t="shared" si="14"/>
        <v>0</v>
      </c>
      <c r="P25" s="449">
        <f t="shared" si="15"/>
        <v>0</v>
      </c>
      <c r="Q25" s="449">
        <f t="shared" si="7"/>
        <v>0</v>
      </c>
      <c r="R25" s="449">
        <f t="shared" si="8"/>
        <v>0</v>
      </c>
      <c r="S25" s="450" t="str">
        <f t="shared" si="0"/>
        <v/>
      </c>
      <c r="T25" s="450" t="str">
        <f t="shared" si="1"/>
        <v/>
      </c>
      <c r="U25" s="451" t="str">
        <f t="shared" si="2"/>
        <v/>
      </c>
      <c r="V25" s="452" t="str">
        <f t="shared" si="3"/>
        <v/>
      </c>
      <c r="W25" s="453" t="str">
        <f t="shared" si="9"/>
        <v/>
      </c>
      <c r="X25" s="454">
        <f t="shared" si="10"/>
        <v>0</v>
      </c>
      <c r="Y25" s="453" t="str">
        <f t="shared" si="11"/>
        <v/>
      </c>
      <c r="Z25" s="454">
        <f t="shared" si="10"/>
        <v>0</v>
      </c>
      <c r="AA25" s="453" t="str">
        <f t="shared" si="12"/>
        <v/>
      </c>
      <c r="AB25" s="454">
        <f t="shared" si="10"/>
        <v>0</v>
      </c>
      <c r="AC25" s="453" t="str">
        <f t="shared" si="13"/>
        <v/>
      </c>
      <c r="AD25" s="454">
        <f t="shared" si="10"/>
        <v>0</v>
      </c>
    </row>
    <row r="26" spans="1:30" ht="12" hidden="1" customHeight="1">
      <c r="A26" s="391" t="str">
        <f t="shared" si="4"/>
        <v>*</v>
      </c>
      <c r="B26" s="251" t="str">
        <f>Geometry!D140</f>
        <v/>
      </c>
      <c r="C26" s="1606" t="str">
        <f>IF(B26="","",((caplength/2-Geometry!I140)+$J$9))</f>
        <v/>
      </c>
      <c r="D26" s="1606"/>
      <c r="E26" s="1606" t="str">
        <f t="shared" si="5"/>
        <v/>
      </c>
      <c r="F26" s="1606"/>
      <c r="G26" s="252" t="str">
        <f>IF(E26="--","",'Conc DL'!Q43)</f>
        <v/>
      </c>
      <c r="H26" s="253" t="str">
        <f>IF(E26="--","",'Conc DL'!R43)</f>
        <v/>
      </c>
      <c r="I26" s="254" t="str">
        <f>IF(E26="--","",'Live Load on Cap'!J37)</f>
        <v/>
      </c>
      <c r="J26" s="255" t="str">
        <f>IF(E26="--","",'Live Load on Cap'!K37)</f>
        <v/>
      </c>
      <c r="K26" s="254"/>
      <c r="M26" s="398"/>
      <c r="N26" s="442"/>
      <c r="O26" s="449">
        <f t="shared" si="14"/>
        <v>0</v>
      </c>
      <c r="P26" s="449">
        <f t="shared" si="15"/>
        <v>0</v>
      </c>
      <c r="Q26" s="449">
        <f t="shared" si="7"/>
        <v>0</v>
      </c>
      <c r="R26" s="449">
        <f t="shared" si="8"/>
        <v>0</v>
      </c>
      <c r="S26" s="450" t="str">
        <f t="shared" si="0"/>
        <v/>
      </c>
      <c r="T26" s="450" t="str">
        <f t="shared" si="1"/>
        <v/>
      </c>
      <c r="U26" s="451" t="str">
        <f t="shared" si="2"/>
        <v/>
      </c>
      <c r="V26" s="452" t="str">
        <f t="shared" si="3"/>
        <v/>
      </c>
      <c r="W26" s="453" t="str">
        <f t="shared" si="9"/>
        <v/>
      </c>
      <c r="X26" s="454">
        <f t="shared" si="10"/>
        <v>0</v>
      </c>
      <c r="Y26" s="453" t="str">
        <f t="shared" si="11"/>
        <v/>
      </c>
      <c r="Z26" s="454">
        <f t="shared" si="10"/>
        <v>0</v>
      </c>
      <c r="AA26" s="453" t="str">
        <f t="shared" si="12"/>
        <v/>
      </c>
      <c r="AB26" s="454">
        <f t="shared" si="10"/>
        <v>0</v>
      </c>
      <c r="AC26" s="453" t="str">
        <f t="shared" si="13"/>
        <v/>
      </c>
      <c r="AD26" s="454">
        <f t="shared" si="10"/>
        <v>0</v>
      </c>
    </row>
    <row r="27" spans="1:30" ht="12" hidden="1" customHeight="1">
      <c r="A27" s="391" t="str">
        <f t="shared" si="4"/>
        <v>*</v>
      </c>
      <c r="B27" s="251" t="str">
        <f>Geometry!D141</f>
        <v/>
      </c>
      <c r="C27" s="1606" t="str">
        <f>IF(B27="","",((caplength/2-Geometry!I141)+$J$9))</f>
        <v/>
      </c>
      <c r="D27" s="1606"/>
      <c r="E27" s="1606" t="str">
        <f t="shared" si="5"/>
        <v/>
      </c>
      <c r="F27" s="1606"/>
      <c r="G27" s="252" t="str">
        <f>IF(E27="--","",'Conc DL'!Q44)</f>
        <v/>
      </c>
      <c r="H27" s="253" t="str">
        <f>IF(E27="--","",'Conc DL'!R44)</f>
        <v/>
      </c>
      <c r="I27" s="254" t="str">
        <f>IF(E27="--","",'Live Load on Cap'!J38)</f>
        <v/>
      </c>
      <c r="J27" s="255" t="str">
        <f>IF(E27="--","",'Live Load on Cap'!K38)</f>
        <v/>
      </c>
      <c r="K27" s="254"/>
      <c r="M27" s="398"/>
      <c r="N27" s="442"/>
      <c r="O27" s="449">
        <f t="shared" si="14"/>
        <v>0</v>
      </c>
      <c r="P27" s="449">
        <f t="shared" si="15"/>
        <v>0</v>
      </c>
      <c r="Q27" s="449">
        <f t="shared" si="7"/>
        <v>0</v>
      </c>
      <c r="R27" s="449">
        <f t="shared" si="8"/>
        <v>0</v>
      </c>
      <c r="S27" s="450" t="str">
        <f t="shared" si="0"/>
        <v/>
      </c>
      <c r="T27" s="450" t="str">
        <f t="shared" si="1"/>
        <v/>
      </c>
      <c r="U27" s="451" t="str">
        <f t="shared" si="2"/>
        <v/>
      </c>
      <c r="V27" s="452" t="str">
        <f t="shared" si="3"/>
        <v/>
      </c>
      <c r="W27" s="453" t="str">
        <f t="shared" si="9"/>
        <v/>
      </c>
      <c r="X27" s="454">
        <f t="shared" si="10"/>
        <v>0</v>
      </c>
      <c r="Y27" s="453" t="str">
        <f t="shared" si="11"/>
        <v/>
      </c>
      <c r="Z27" s="454">
        <f t="shared" si="10"/>
        <v>0</v>
      </c>
      <c r="AA27" s="453" t="str">
        <f t="shared" si="12"/>
        <v/>
      </c>
      <c r="AB27" s="454">
        <f t="shared" si="10"/>
        <v>0</v>
      </c>
      <c r="AC27" s="453" t="str">
        <f t="shared" si="13"/>
        <v/>
      </c>
      <c r="AD27" s="454">
        <f t="shared" si="10"/>
        <v>0</v>
      </c>
    </row>
    <row r="28" spans="1:30" ht="12" hidden="1" customHeight="1">
      <c r="A28" s="391" t="str">
        <f t="shared" si="4"/>
        <v>*</v>
      </c>
      <c r="B28" s="251" t="str">
        <f>Geometry!D142</f>
        <v/>
      </c>
      <c r="C28" s="1606" t="str">
        <f>IF(B28="","",((caplength/2-Geometry!I142)+$J$9))</f>
        <v/>
      </c>
      <c r="D28" s="1606"/>
      <c r="E28" s="1606" t="str">
        <f t="shared" si="5"/>
        <v/>
      </c>
      <c r="F28" s="1606"/>
      <c r="G28" s="252" t="str">
        <f>IF(E28="--","",'Conc DL'!Q45)</f>
        <v/>
      </c>
      <c r="H28" s="253" t="str">
        <f>IF(E28="--","",'Conc DL'!R45)</f>
        <v/>
      </c>
      <c r="I28" s="254" t="str">
        <f>IF(E28="--","",'Live Load on Cap'!J39)</f>
        <v/>
      </c>
      <c r="J28" s="255" t="str">
        <f>IF(E28="--","",'Live Load on Cap'!K39)</f>
        <v/>
      </c>
      <c r="K28" s="254"/>
      <c r="M28" s="398"/>
      <c r="N28" s="442"/>
      <c r="O28" s="449">
        <f t="shared" si="14"/>
        <v>0</v>
      </c>
      <c r="P28" s="449">
        <f t="shared" si="15"/>
        <v>0</v>
      </c>
      <c r="Q28" s="449">
        <f t="shared" si="7"/>
        <v>0</v>
      </c>
      <c r="R28" s="449">
        <f t="shared" si="8"/>
        <v>0</v>
      </c>
      <c r="S28" s="450" t="str">
        <f t="shared" si="0"/>
        <v/>
      </c>
      <c r="T28" s="450" t="str">
        <f t="shared" si="1"/>
        <v/>
      </c>
      <c r="U28" s="451" t="str">
        <f t="shared" si="2"/>
        <v/>
      </c>
      <c r="V28" s="452" t="str">
        <f t="shared" si="3"/>
        <v/>
      </c>
      <c r="W28" s="453" t="str">
        <f t="shared" si="9"/>
        <v/>
      </c>
      <c r="X28" s="454">
        <f t="shared" si="10"/>
        <v>0</v>
      </c>
      <c r="Y28" s="453" t="str">
        <f t="shared" si="11"/>
        <v/>
      </c>
      <c r="Z28" s="454">
        <f t="shared" si="10"/>
        <v>0</v>
      </c>
      <c r="AA28" s="453" t="str">
        <f t="shared" si="12"/>
        <v/>
      </c>
      <c r="AB28" s="454">
        <f t="shared" si="10"/>
        <v>0</v>
      </c>
      <c r="AC28" s="453" t="str">
        <f t="shared" si="13"/>
        <v/>
      </c>
      <c r="AD28" s="454">
        <f t="shared" si="10"/>
        <v>0</v>
      </c>
    </row>
    <row r="29" spans="1:30" ht="11.25" hidden="1" customHeight="1">
      <c r="A29" s="391" t="str">
        <f t="shared" si="4"/>
        <v>*</v>
      </c>
      <c r="B29" s="251" t="str">
        <f>Geometry!D143</f>
        <v/>
      </c>
      <c r="C29" s="1606" t="str">
        <f>IF(B29="","",((caplength/2-Geometry!I143)+$J$9))</f>
        <v/>
      </c>
      <c r="D29" s="1606"/>
      <c r="E29" s="1606" t="str">
        <f t="shared" si="5"/>
        <v/>
      </c>
      <c r="F29" s="1606"/>
      <c r="G29" s="252" t="str">
        <f>IF(E29="--","",'Conc DL'!Q46)</f>
        <v/>
      </c>
      <c r="H29" s="253" t="str">
        <f>IF(E29="--","",'Conc DL'!R46)</f>
        <v/>
      </c>
      <c r="I29" s="254" t="str">
        <f>IF(E29="--","",'Live Load on Cap'!J40)</f>
        <v/>
      </c>
      <c r="J29" s="255" t="str">
        <f>IF(E29="--","",'Live Load on Cap'!K40)</f>
        <v/>
      </c>
      <c r="K29" s="254"/>
      <c r="M29" s="398"/>
      <c r="N29" s="442"/>
      <c r="O29" s="449">
        <f t="shared" si="14"/>
        <v>0</v>
      </c>
      <c r="P29" s="449">
        <f t="shared" si="15"/>
        <v>0</v>
      </c>
      <c r="Q29" s="449">
        <f t="shared" si="7"/>
        <v>0</v>
      </c>
      <c r="R29" s="449">
        <f t="shared" si="8"/>
        <v>0</v>
      </c>
      <c r="S29" s="450" t="str">
        <f t="shared" si="0"/>
        <v/>
      </c>
      <c r="T29" s="450" t="str">
        <f t="shared" si="1"/>
        <v/>
      </c>
      <c r="U29" s="451" t="str">
        <f t="shared" si="2"/>
        <v/>
      </c>
      <c r="V29" s="452" t="str">
        <f t="shared" si="3"/>
        <v/>
      </c>
      <c r="W29" s="453" t="str">
        <f t="shared" si="9"/>
        <v/>
      </c>
      <c r="X29" s="454">
        <f t="shared" si="10"/>
        <v>0</v>
      </c>
      <c r="Y29" s="453" t="str">
        <f t="shared" si="11"/>
        <v/>
      </c>
      <c r="Z29" s="454">
        <f t="shared" si="10"/>
        <v>0</v>
      </c>
      <c r="AA29" s="453" t="str">
        <f t="shared" si="12"/>
        <v/>
      </c>
      <c r="AB29" s="454">
        <f t="shared" si="10"/>
        <v>0</v>
      </c>
      <c r="AC29" s="453" t="str">
        <f t="shared" si="13"/>
        <v/>
      </c>
      <c r="AD29" s="454">
        <f t="shared" si="10"/>
        <v>0</v>
      </c>
    </row>
    <row r="30" spans="1:30" ht="11.25" hidden="1" customHeight="1">
      <c r="A30" s="391" t="str">
        <f t="shared" si="4"/>
        <v>*</v>
      </c>
      <c r="B30" s="251" t="str">
        <f>Geometry!D144</f>
        <v/>
      </c>
      <c r="C30" s="1606" t="str">
        <f>IF(B30="","",((caplength/2-Geometry!I144)+$J$9))</f>
        <v/>
      </c>
      <c r="D30" s="1606"/>
      <c r="E30" s="1606" t="str">
        <f t="shared" si="5"/>
        <v/>
      </c>
      <c r="F30" s="1606"/>
      <c r="G30" s="252" t="str">
        <f>IF(E30="--","",'Conc DL'!Q47)</f>
        <v/>
      </c>
      <c r="H30" s="253" t="str">
        <f>IF(E30="--","",'Conc DL'!R47)</f>
        <v/>
      </c>
      <c r="I30" s="254" t="str">
        <f>IF(E30="--","",'Live Load on Cap'!J41)</f>
        <v/>
      </c>
      <c r="J30" s="255" t="str">
        <f>IF(E30="--","",'Live Load on Cap'!K41)</f>
        <v/>
      </c>
      <c r="K30" s="254"/>
      <c r="M30" s="398"/>
      <c r="N30" s="442"/>
      <c r="O30" s="449">
        <f t="shared" si="14"/>
        <v>0</v>
      </c>
      <c r="P30" s="449">
        <f t="shared" si="15"/>
        <v>0</v>
      </c>
      <c r="Q30" s="449">
        <f t="shared" si="7"/>
        <v>0</v>
      </c>
      <c r="R30" s="449">
        <f t="shared" si="8"/>
        <v>0</v>
      </c>
      <c r="S30" s="450" t="str">
        <f t="shared" si="0"/>
        <v/>
      </c>
      <c r="T30" s="450" t="str">
        <f t="shared" si="1"/>
        <v/>
      </c>
      <c r="U30" s="451" t="str">
        <f t="shared" si="2"/>
        <v/>
      </c>
      <c r="V30" s="452" t="str">
        <f t="shared" si="3"/>
        <v/>
      </c>
      <c r="W30" s="453" t="str">
        <f t="shared" si="9"/>
        <v/>
      </c>
      <c r="X30" s="454">
        <f t="shared" si="10"/>
        <v>0</v>
      </c>
      <c r="Y30" s="453" t="str">
        <f t="shared" si="11"/>
        <v/>
      </c>
      <c r="Z30" s="454">
        <f t="shared" si="10"/>
        <v>0</v>
      </c>
      <c r="AA30" s="453" t="str">
        <f t="shared" si="12"/>
        <v/>
      </c>
      <c r="AB30" s="454">
        <f t="shared" si="10"/>
        <v>0</v>
      </c>
      <c r="AC30" s="453" t="str">
        <f t="shared" si="13"/>
        <v/>
      </c>
      <c r="AD30" s="454">
        <f>IF($B30&gt;$I$11,0,IF($C30&gt;$E$10,AD29+AC30,IF($C30&lt;-$E$10,AD31-AC30,0)))</f>
        <v>0</v>
      </c>
    </row>
    <row r="31" spans="1:30" ht="11.25" hidden="1" customHeight="1">
      <c r="A31" s="391" t="str">
        <f t="shared" si="4"/>
        <v>*</v>
      </c>
      <c r="B31" s="251" t="str">
        <f>Geometry!D145</f>
        <v/>
      </c>
      <c r="C31" s="1606" t="str">
        <f>IF(B31="","",((caplength/2-Geometry!I145)+$J$9))</f>
        <v/>
      </c>
      <c r="D31" s="1606"/>
      <c r="E31" s="1606" t="str">
        <f t="shared" si="5"/>
        <v/>
      </c>
      <c r="F31" s="1606"/>
      <c r="G31" s="252" t="str">
        <f>IF(E31="--","",'Conc DL'!Q48)</f>
        <v/>
      </c>
      <c r="H31" s="253" t="str">
        <f>IF(E31="--","",'Conc DL'!R48)</f>
        <v/>
      </c>
      <c r="I31" s="254" t="str">
        <f>IF(E31="--","",'Live Load on Cap'!J42)</f>
        <v/>
      </c>
      <c r="J31" s="255" t="str">
        <f>IF(E31="--","",'Live Load on Cap'!K42)</f>
        <v/>
      </c>
      <c r="K31" s="254"/>
      <c r="M31" s="398"/>
      <c r="N31" s="442"/>
      <c r="O31" s="449">
        <f t="shared" si="14"/>
        <v>0</v>
      </c>
      <c r="P31" s="449">
        <f t="shared" si="15"/>
        <v>0</v>
      </c>
      <c r="Q31" s="449">
        <f t="shared" si="7"/>
        <v>0</v>
      </c>
      <c r="R31" s="449">
        <f t="shared" si="8"/>
        <v>0</v>
      </c>
      <c r="S31" s="450" t="str">
        <f t="shared" si="0"/>
        <v/>
      </c>
      <c r="T31" s="450" t="str">
        <f t="shared" si="1"/>
        <v/>
      </c>
      <c r="U31" s="451" t="str">
        <f t="shared" si="2"/>
        <v/>
      </c>
      <c r="V31" s="452" t="str">
        <f t="shared" si="3"/>
        <v/>
      </c>
      <c r="W31" s="453" t="str">
        <f t="shared" si="9"/>
        <v/>
      </c>
      <c r="X31" s="454">
        <f t="shared" si="10"/>
        <v>0</v>
      </c>
      <c r="Y31" s="453" t="str">
        <f t="shared" si="11"/>
        <v/>
      </c>
      <c r="Z31" s="454">
        <f t="shared" si="10"/>
        <v>0</v>
      </c>
      <c r="AA31" s="453" t="str">
        <f t="shared" si="12"/>
        <v/>
      </c>
      <c r="AB31" s="454">
        <f t="shared" si="10"/>
        <v>0</v>
      </c>
      <c r="AC31" s="453" t="str">
        <f t="shared" si="13"/>
        <v/>
      </c>
      <c r="AD31" s="454">
        <f t="shared" si="10"/>
        <v>0</v>
      </c>
    </row>
    <row r="32" spans="1:30" ht="11.25" hidden="1" customHeight="1">
      <c r="A32" s="391" t="str">
        <f t="shared" si="4"/>
        <v>*</v>
      </c>
      <c r="B32" s="251" t="str">
        <f>Geometry!D146</f>
        <v/>
      </c>
      <c r="C32" s="1606" t="str">
        <f>IF(B32="","",((caplength/2-Geometry!I146)+$J$9))</f>
        <v/>
      </c>
      <c r="D32" s="1606"/>
      <c r="E32" s="1606" t="str">
        <f t="shared" si="5"/>
        <v/>
      </c>
      <c r="F32" s="1606"/>
      <c r="G32" s="252" t="str">
        <f>IF(E32="--","",'Conc DL'!Q49)</f>
        <v/>
      </c>
      <c r="H32" s="253" t="str">
        <f>IF(E32="--","",'Conc DL'!R49)</f>
        <v/>
      </c>
      <c r="I32" s="254" t="str">
        <f>IF(E32="--","",'Live Load on Cap'!J43)</f>
        <v/>
      </c>
      <c r="J32" s="255" t="str">
        <f>IF(E32="--","",'Live Load on Cap'!K43)</f>
        <v/>
      </c>
      <c r="K32" s="254"/>
      <c r="M32" s="398"/>
      <c r="N32" s="442"/>
      <c r="O32" s="449">
        <f t="shared" si="14"/>
        <v>0</v>
      </c>
      <c r="P32" s="449">
        <f t="shared" si="15"/>
        <v>0</v>
      </c>
      <c r="Q32" s="449">
        <f t="shared" si="7"/>
        <v>0</v>
      </c>
      <c r="R32" s="449">
        <f t="shared" si="8"/>
        <v>0</v>
      </c>
      <c r="S32" s="450" t="str">
        <f t="shared" si="0"/>
        <v/>
      </c>
      <c r="T32" s="450" t="str">
        <f t="shared" si="1"/>
        <v/>
      </c>
      <c r="U32" s="451" t="str">
        <f t="shared" si="2"/>
        <v/>
      </c>
      <c r="V32" s="452" t="str">
        <f t="shared" si="3"/>
        <v/>
      </c>
      <c r="W32" s="453" t="str">
        <f t="shared" si="9"/>
        <v/>
      </c>
      <c r="X32" s="454">
        <f t="shared" si="10"/>
        <v>0</v>
      </c>
      <c r="Y32" s="453" t="str">
        <f t="shared" si="11"/>
        <v/>
      </c>
      <c r="Z32" s="454">
        <f t="shared" si="10"/>
        <v>0</v>
      </c>
      <c r="AA32" s="453" t="str">
        <f t="shared" si="12"/>
        <v/>
      </c>
      <c r="AB32" s="454">
        <f t="shared" si="10"/>
        <v>0</v>
      </c>
      <c r="AC32" s="453" t="str">
        <f t="shared" si="13"/>
        <v/>
      </c>
      <c r="AD32" s="454">
        <f t="shared" si="10"/>
        <v>0</v>
      </c>
    </row>
    <row r="33" spans="1:30" ht="11.25" hidden="1" customHeight="1">
      <c r="A33" s="391" t="str">
        <f t="shared" si="4"/>
        <v>*</v>
      </c>
      <c r="B33" s="251" t="str">
        <f>Geometry!D147</f>
        <v/>
      </c>
      <c r="C33" s="1606" t="str">
        <f>IF(B33="","",((caplength/2-Geometry!I147)+$J$9))</f>
        <v/>
      </c>
      <c r="D33" s="1606"/>
      <c r="E33" s="1606" t="str">
        <f t="shared" si="5"/>
        <v/>
      </c>
      <c r="F33" s="1606"/>
      <c r="G33" s="252" t="str">
        <f>IF(E33="--","",'Conc DL'!Q50)</f>
        <v/>
      </c>
      <c r="H33" s="253" t="str">
        <f>IF(E33="--","",'Conc DL'!R50)</f>
        <v/>
      </c>
      <c r="I33" s="254" t="str">
        <f>IF(E33="--","",'Live Load on Cap'!J44)</f>
        <v/>
      </c>
      <c r="J33" s="255" t="str">
        <f>IF(E33="--","",'Live Load on Cap'!K44)</f>
        <v/>
      </c>
      <c r="K33" s="254"/>
      <c r="M33" s="398"/>
      <c r="N33" s="455"/>
      <c r="O33" s="449">
        <f t="shared" si="14"/>
        <v>0</v>
      </c>
      <c r="P33" s="449">
        <f t="shared" ref="P33" si="16">IF($B33&gt;$I$11,0,IF($C33&gt;$E$10,P32+H33,IF($C33&lt;-$E$10,P34-H33,0)))</f>
        <v>0</v>
      </c>
      <c r="Q33" s="449">
        <f t="shared" ref="Q33" si="17">IF($B33&gt;$I$11,0,IF($C33&gt;$E$10,Q32+I33,IF($C33&lt;-$E$10,Q34-I33,0)))</f>
        <v>0</v>
      </c>
      <c r="R33" s="449">
        <f t="shared" ref="R33" si="18">IF($B33&gt;$I$11,0,IF($C33&gt;$E$10,R32+J33,IF($C33&lt;-$E$10,R34-J33,0)))</f>
        <v>0</v>
      </c>
      <c r="S33" s="450" t="str">
        <f t="shared" si="0"/>
        <v/>
      </c>
      <c r="T33" s="450" t="str">
        <f t="shared" si="1"/>
        <v/>
      </c>
      <c r="U33" s="451" t="str">
        <f t="shared" si="2"/>
        <v/>
      </c>
      <c r="V33" s="452" t="str">
        <f t="shared" si="3"/>
        <v/>
      </c>
      <c r="W33" s="453" t="str">
        <f t="shared" ref="W33" si="19">IF(G33="","",IF(ABS(E33)&gt;0,G33*ABS(E33),0))</f>
        <v/>
      </c>
      <c r="X33" s="454">
        <f t="shared" ref="X33" si="20">IF($B33&gt;$I$11,0,IF($C33&gt;$E$10,X32+W33,IF($C33&lt;-$E$10,X34-W33,0)))</f>
        <v>0</v>
      </c>
      <c r="Y33" s="453" t="str">
        <f t="shared" ref="Y33" si="21">IF(H33="","",IF(ABS(E33)&gt;0,H33*ABS(E33),0))</f>
        <v/>
      </c>
      <c r="Z33" s="454">
        <f t="shared" ref="Z33" si="22">IF($B33&gt;$I$11,0,IF($C33&gt;$E$10,Z32+Y33,IF($C33&lt;-$E$10,Z34-Y33,0)))</f>
        <v>0</v>
      </c>
      <c r="AA33" s="453" t="str">
        <f t="shared" ref="AA33" si="23">IF(I33="","",IF(ABS(E33)&gt;0,I33*ABS(E33),0))</f>
        <v/>
      </c>
      <c r="AB33" s="454">
        <f t="shared" ref="AB33" si="24">IF($B33&gt;$I$11,0,IF($C33&gt;$E$10,AB32+AA33,IF($C33&lt;-$E$10,AB34-AA33,0)))</f>
        <v>0</v>
      </c>
      <c r="AC33" s="453" t="str">
        <f t="shared" ref="AC33" si="25">IF(J33="","",IF(ABS(E33)&gt;0,J33*ABS(E33),0))</f>
        <v/>
      </c>
      <c r="AD33" s="454">
        <f t="shared" ref="AD33" si="26">IF($B33&gt;$I$11,0,IF($C33&gt;$E$10,AD32+AC33,IF($C33&lt;-$E$10,AD34-AC33,0)))</f>
        <v>0</v>
      </c>
    </row>
    <row r="34" spans="1:30" ht="13.5" customHeight="1" thickBot="1">
      <c r="A34" s="358" t="s">
        <v>1118</v>
      </c>
      <c r="B34" s="1118"/>
      <c r="C34" s="1119"/>
      <c r="D34" s="1120"/>
      <c r="E34" s="1120"/>
      <c r="F34" s="1121"/>
      <c r="G34" s="270"/>
      <c r="H34" s="270"/>
      <c r="I34" s="271"/>
      <c r="J34" s="271"/>
      <c r="K34" s="271"/>
      <c r="M34" s="398"/>
      <c r="N34" s="1352">
        <f>IF(ABS(MAX(O14:O33))&gt;ABS(MIN(O14:O33)),MAX(O14:O33),MIN(O14:O33))</f>
        <v>-269.71312499999999</v>
      </c>
      <c r="P34" s="1353"/>
      <c r="Q34" s="1353"/>
      <c r="R34" s="1353"/>
      <c r="S34" s="458"/>
      <c r="T34" s="458"/>
      <c r="U34" s="458"/>
      <c r="V34" s="459"/>
      <c r="Y34" s="1366"/>
      <c r="Z34" s="1367"/>
      <c r="AC34" s="1366"/>
      <c r="AD34" s="1367"/>
    </row>
    <row r="35" spans="1:30" ht="11.25" customHeight="1">
      <c r="B35" s="250"/>
      <c r="C35" s="251"/>
      <c r="D35" s="243"/>
      <c r="E35" s="243"/>
      <c r="F35" s="258"/>
      <c r="G35" s="252"/>
      <c r="H35" s="252"/>
      <c r="I35" s="262"/>
      <c r="J35" s="262"/>
      <c r="L35" s="255"/>
      <c r="M35" s="398"/>
      <c r="N35" s="1354" t="s">
        <v>712</v>
      </c>
      <c r="O35" s="1355">
        <f>MAX(O14:O33)</f>
        <v>257.763125</v>
      </c>
      <c r="P35" s="462">
        <f>MAX(P14:P33)</f>
        <v>3.75</v>
      </c>
      <c r="Q35" s="462">
        <f>MAX(Q14:Q33)</f>
        <v>96.937273469387748</v>
      </c>
      <c r="R35" s="462">
        <f>MAX(R14:R33)</f>
        <v>5.6606580680272112</v>
      </c>
      <c r="S35" s="463"/>
      <c r="T35" s="463"/>
      <c r="U35" s="451"/>
      <c r="V35" s="464"/>
      <c r="W35" s="1356" t="s">
        <v>712</v>
      </c>
      <c r="X35" s="1358">
        <f>MAX(X14:X33)</f>
        <v>2742.3427083333336</v>
      </c>
      <c r="Y35" s="1361"/>
      <c r="Z35" s="1362">
        <f>MAX(Z14:Z33)</f>
        <v>43.75</v>
      </c>
      <c r="AA35" s="1360"/>
      <c r="AB35" s="1358">
        <f>MAX(AB14:AB33)</f>
        <v>1130.9348571428573</v>
      </c>
      <c r="AC35" s="1364"/>
      <c r="AD35" s="1362">
        <f>MAX(AD14:AD33)</f>
        <v>66.041010793650798</v>
      </c>
    </row>
    <row r="36" spans="1:30" ht="11.25" customHeight="1" thickBot="1">
      <c r="B36" s="227"/>
      <c r="C36" s="251"/>
      <c r="D36" s="243"/>
      <c r="E36" s="243"/>
      <c r="F36" s="258"/>
      <c r="G36" s="252"/>
      <c r="H36" s="252"/>
      <c r="I36" s="262"/>
      <c r="J36" s="262"/>
      <c r="L36" s="255"/>
      <c r="M36" s="398"/>
      <c r="N36" s="456" t="s">
        <v>713</v>
      </c>
      <c r="O36" s="457">
        <f>MIN(O14:O33)</f>
        <v>-269.71312499999999</v>
      </c>
      <c r="P36" s="462">
        <f>MIN(P14:P33)</f>
        <v>-3.75</v>
      </c>
      <c r="Q36" s="462">
        <f>MIN(Q14:Q33)</f>
        <v>-96.937273469387748</v>
      </c>
      <c r="R36" s="462">
        <f>MIN(R14:R33)</f>
        <v>-5.6606580680272112</v>
      </c>
      <c r="S36" s="463"/>
      <c r="T36" s="463"/>
      <c r="U36" s="451"/>
      <c r="V36" s="464"/>
      <c r="W36" s="1357" t="s">
        <v>713</v>
      </c>
      <c r="X36" s="1359">
        <f>MIN(X14:X33)</f>
        <v>-2969.3927083333319</v>
      </c>
      <c r="Y36" s="1363"/>
      <c r="Z36" s="461">
        <f>MIN(Z14:Z33)</f>
        <v>-43.749999999999979</v>
      </c>
      <c r="AA36" s="460"/>
      <c r="AB36" s="1359">
        <f>MIN(AB14:AB33)</f>
        <v>-1130.9348571428563</v>
      </c>
      <c r="AC36" s="1365"/>
      <c r="AD36" s="461">
        <f>MIN(AD14:AD33)</f>
        <v>-66.04101079365077</v>
      </c>
    </row>
    <row r="37" spans="1:30">
      <c r="B37" s="1617" t="s">
        <v>267</v>
      </c>
      <c r="C37" s="1617"/>
      <c r="D37" s="1617"/>
      <c r="E37" s="1617"/>
      <c r="H37" s="40" t="s">
        <v>990</v>
      </c>
      <c r="I37" s="247">
        <f>Geometry!G151</f>
        <v>4</v>
      </c>
      <c r="J37" s="256"/>
      <c r="K37" s="256"/>
      <c r="L37" s="18"/>
      <c r="M37" s="338"/>
      <c r="N37" s="439"/>
      <c r="O37" s="465"/>
      <c r="P37" s="440"/>
      <c r="Q37" s="440"/>
      <c r="R37" s="440"/>
      <c r="S37" s="466" t="s">
        <v>994</v>
      </c>
      <c r="T37" s="467"/>
      <c r="U37" s="467"/>
      <c r="V37" s="468"/>
      <c r="W37" s="440"/>
      <c r="X37" s="469"/>
      <c r="Y37" s="440"/>
      <c r="Z37" s="469"/>
      <c r="AA37" s="440"/>
      <c r="AB37" s="469"/>
      <c r="AC37" s="440"/>
      <c r="AD37" s="469"/>
    </row>
    <row r="38" spans="1:30" ht="15.75" customHeight="1">
      <c r="B38" s="1617"/>
      <c r="C38" s="1617"/>
      <c r="D38" s="1617"/>
      <c r="E38" s="1617"/>
      <c r="F38" s="248"/>
      <c r="G38" s="248"/>
      <c r="H38" s="248"/>
      <c r="I38" s="1613" t="s">
        <v>1147</v>
      </c>
      <c r="J38" s="1613"/>
      <c r="K38" s="1613"/>
      <c r="L38" s="1613"/>
      <c r="M38" s="349"/>
      <c r="N38" s="442"/>
      <c r="O38" s="470" t="s">
        <v>996</v>
      </c>
      <c r="P38" s="443" t="s">
        <v>1041</v>
      </c>
      <c r="Q38" s="443" t="s">
        <v>1042</v>
      </c>
      <c r="R38" s="443" t="s">
        <v>1043</v>
      </c>
      <c r="S38" s="1609" t="s">
        <v>721</v>
      </c>
      <c r="T38" s="1611" t="s">
        <v>890</v>
      </c>
      <c r="U38" s="1611" t="s">
        <v>995</v>
      </c>
      <c r="V38" s="1611" t="s">
        <v>1013</v>
      </c>
      <c r="W38" s="1607" t="s">
        <v>1034</v>
      </c>
      <c r="X38" s="1608"/>
      <c r="Y38" s="1607" t="s">
        <v>1014</v>
      </c>
      <c r="Z38" s="1608"/>
      <c r="AA38" s="1607" t="s">
        <v>1015</v>
      </c>
      <c r="AB38" s="1608"/>
      <c r="AC38" s="1607" t="s">
        <v>1016</v>
      </c>
      <c r="AD38" s="1608"/>
    </row>
    <row r="39" spans="1:30">
      <c r="B39" s="249" t="s">
        <v>263</v>
      </c>
      <c r="C39" s="1614" t="s">
        <v>443</v>
      </c>
      <c r="D39" s="1614"/>
      <c r="E39" s="1614" t="s">
        <v>1067</v>
      </c>
      <c r="F39" s="1614"/>
      <c r="G39" s="249" t="s">
        <v>721</v>
      </c>
      <c r="H39" s="249" t="s">
        <v>890</v>
      </c>
      <c r="I39" s="263" t="s">
        <v>997</v>
      </c>
      <c r="J39" s="263" t="s">
        <v>1008</v>
      </c>
      <c r="K39" s="263"/>
      <c r="L39" s="1123"/>
      <c r="M39" s="349"/>
      <c r="N39" s="444"/>
      <c r="O39" s="471"/>
      <c r="P39" s="445"/>
      <c r="Q39" s="445"/>
      <c r="R39" s="445"/>
      <c r="S39" s="1610"/>
      <c r="T39" s="1612"/>
      <c r="U39" s="1612"/>
      <c r="V39" s="1612"/>
      <c r="W39" s="446"/>
      <c r="X39" s="447">
        <v>0</v>
      </c>
      <c r="Y39" s="446"/>
      <c r="Z39" s="447">
        <v>0</v>
      </c>
      <c r="AA39" s="446"/>
      <c r="AB39" s="447">
        <v>0</v>
      </c>
      <c r="AC39" s="446"/>
      <c r="AD39" s="447">
        <v>0</v>
      </c>
    </row>
    <row r="40" spans="1:30" ht="12" customHeight="1">
      <c r="A40" s="391" t="str">
        <f>IF(B40="","*","")</f>
        <v/>
      </c>
      <c r="B40" s="257">
        <f>Geometry!D156</f>
        <v>1</v>
      </c>
      <c r="C40" s="1606">
        <f>IF(B40="","",((caplength/2-Geometry!I156)+$J$9))</f>
        <v>22</v>
      </c>
      <c r="D40" s="1606"/>
      <c r="E40" s="1606">
        <f>IF(C40="","",IF(C40&gt;$E$10,C40-$E$10,IF(C40&lt;-$E$10,C40+$E$10,"--")))</f>
        <v>19</v>
      </c>
      <c r="F40" s="1606"/>
      <c r="G40" s="252">
        <f>IF(E40="--","",'Conc DL'!Q82)</f>
        <v>133.02875</v>
      </c>
      <c r="H40" s="252">
        <f>IF(E40="--","",'Conc DL'!R82)</f>
        <v>2.25</v>
      </c>
      <c r="I40" s="254">
        <f>IF(E40="--","",'Live Load on Cap'!J55)</f>
        <v>122.99996976568404</v>
      </c>
      <c r="J40" s="255">
        <f>IF(E40="--","",'Live Load on Cap'!K55)</f>
        <v>24.792804716553288</v>
      </c>
      <c r="K40" s="254"/>
      <c r="M40" s="398"/>
      <c r="N40" s="448"/>
      <c r="O40" s="449">
        <f t="shared" ref="O40:O58" si="27">IF(B40&gt;$I$37,0,IF(C40&gt;$E$10,O39+G40,IF(C40&lt;-$E$10,O41-G40,0)))</f>
        <v>133.02875</v>
      </c>
      <c r="P40" s="449">
        <f t="shared" ref="P40:P58" si="28">IF($B40&gt;$I$37,0,IF($C40&gt;$E$10,P39+H40,IF($C40&lt;-$E$10,P41-H40,0)))</f>
        <v>2.25</v>
      </c>
      <c r="Q40" s="449">
        <f t="shared" ref="Q40:Q58" si="29">IF($B40&gt;$I$37,0,IF($C40&gt;$E$10,Q39+I40,IF($C40&lt;-$E$10,Q41-I40,0)))</f>
        <v>122.99996976568404</v>
      </c>
      <c r="R40" s="449">
        <f t="shared" ref="R40:R58" si="30">IF($B40&gt;$I$37,0,IF($C40&gt;$E$10,R39+J40,IF($C40&lt;-$E$10,R41-J40,0)))</f>
        <v>24.792804716553288</v>
      </c>
      <c r="S40" s="451" t="str">
        <f t="shared" ref="S40:S59" si="31">IF($E40="--","",IF($N$60&gt;0,IF($E40&gt;0,FIXED(G40,1)&amp;"k "&amp;IF(S41="","","+ "),""),IF($E40&lt;0,FIXED(G40,1)&amp;"k "&amp;IF(S41="","","+ "),"")))</f>
        <v/>
      </c>
      <c r="T40" s="450" t="str">
        <f t="shared" ref="T40:T59" si="32">IF($E40="--","",IF($N$60&gt;0,IF($E40&gt;0,FIXED(H40,1)&amp;"k "&amp;IF(T41="","","+ "),""),IF($E40&lt;0,FIXED(H40,1)&amp;"k "&amp;IF(T41="","","+ "),"")))</f>
        <v/>
      </c>
      <c r="U40" s="450" t="str">
        <f t="shared" ref="U40:U59" si="33">IF($E40="--","",IF($N$60&gt;0,IF($E40&gt;0,FIXED(I40,1)&amp;"k "&amp;IF(U41="","","+ "),""),IF($E40&lt;0,FIXED(I40,1)&amp;"k "&amp;IF(U41="","","+ "),"")))</f>
        <v/>
      </c>
      <c r="V40" s="472" t="str">
        <f t="shared" ref="V40:V59" si="34">IF($E40="--","",IF($N$60&gt;0,IF($E40&gt;0,FIXED(J40,1)&amp;"k "&amp;IF(V41="","","+ "),""),IF($E40&lt;0,FIXED(J40,1)&amp;"k "&amp;IF(V41="","","+ "),"")))</f>
        <v/>
      </c>
      <c r="W40" s="453">
        <f>IF(G40="","",IF(ABS(E40)&gt;0,G40*ABS(E40),0))</f>
        <v>2527.5462499999999</v>
      </c>
      <c r="X40" s="454">
        <f t="shared" ref="X40:X58" si="35">IF($B40&gt;$I$37,0,IF($C40&gt;$E$10,X39+W40,IF($C40&lt;-$E$10,X41-W40,0)))</f>
        <v>2527.5462499999999</v>
      </c>
      <c r="Y40" s="453">
        <f>IF(H40="","",IF(ABS(E40)&gt;0,H40*ABS(E40),0))</f>
        <v>42.75</v>
      </c>
      <c r="Z40" s="454">
        <f t="shared" ref="Z40:Z58" si="36">IF($B40&gt;$I$37,0,IF($C40&gt;$E$10,Z39+Y40,IF($C40&lt;-$E$10,Z41-Y40,0)))</f>
        <v>42.75</v>
      </c>
      <c r="AA40" s="453">
        <f>IF(I40="","",IF(ABS(E40)&gt;0,I40*ABS(E40),0))</f>
        <v>2336.9994255479969</v>
      </c>
      <c r="AB40" s="454">
        <f t="shared" ref="AB40:AB58" si="37">IF($B40&gt;$I$37,0,IF($C40&gt;$E$10,AB39+AA40,IF($C40&lt;-$E$10,AB41-AA40,0)))</f>
        <v>2336.9994255479969</v>
      </c>
      <c r="AC40" s="453">
        <f>IF(J40="","",IF(ABS(E40)&gt;0,J40*ABS(E40),0))</f>
        <v>471.06328961451248</v>
      </c>
      <c r="AD40" s="454">
        <f t="shared" ref="AD40:AD58" si="38">IF($B40&gt;$I$37,0,IF($C40&gt;$E$10,AD39+AC40,IF($C40&lt;-$E$10,AD41-AC40,0)))</f>
        <v>471.06328961451248</v>
      </c>
    </row>
    <row r="41" spans="1:30" ht="12" customHeight="1">
      <c r="A41" s="391" t="str">
        <f t="shared" ref="A41:A59" si="39">IF(B41="","*","")</f>
        <v/>
      </c>
      <c r="B41" s="257">
        <f>Geometry!D157</f>
        <v>2</v>
      </c>
      <c r="C41" s="1606">
        <f>IF(B41="","",((caplength/2-Geometry!I157)+$J$9))</f>
        <v>7.3333333333333357</v>
      </c>
      <c r="D41" s="1606"/>
      <c r="E41" s="1606">
        <f t="shared" ref="E41:E47" si="40">IF(C41="","",IF(C41&gt;$E$10,C41-$E$10,IF(C41&lt;-$E$10,C41+$E$10,"--")))</f>
        <v>4.3333333333333357</v>
      </c>
      <c r="F41" s="1606"/>
      <c r="G41" s="252">
        <f>IF(E41="--","",'Conc DL'!Q83)</f>
        <v>172.79</v>
      </c>
      <c r="H41" s="252">
        <f>IF(E41="--","",'Conc DL'!R83)</f>
        <v>2.25</v>
      </c>
      <c r="I41" s="254">
        <f>IF(E41="--","",'Live Load on Cap'!J56)</f>
        <v>122.99996976568404</v>
      </c>
      <c r="J41" s="255">
        <f>IF(E41="--","",'Live Load on Cap'!K56)</f>
        <v>24.792804716553288</v>
      </c>
      <c r="K41" s="254"/>
      <c r="M41" s="398"/>
      <c r="N41" s="448"/>
      <c r="O41" s="449">
        <f t="shared" si="27"/>
        <v>305.81875000000002</v>
      </c>
      <c r="P41" s="449">
        <f t="shared" si="28"/>
        <v>4.5</v>
      </c>
      <c r="Q41" s="449">
        <f t="shared" si="29"/>
        <v>245.99993953136808</v>
      </c>
      <c r="R41" s="449">
        <f t="shared" si="30"/>
        <v>49.585609433106576</v>
      </c>
      <c r="S41" s="451" t="str">
        <f t="shared" si="31"/>
        <v/>
      </c>
      <c r="T41" s="450" t="str">
        <f t="shared" si="32"/>
        <v/>
      </c>
      <c r="U41" s="450" t="str">
        <f t="shared" si="33"/>
        <v/>
      </c>
      <c r="V41" s="472" t="str">
        <f t="shared" si="34"/>
        <v/>
      </c>
      <c r="W41" s="453">
        <f t="shared" ref="W41:W58" si="41">IF(G41="","",IF(ABS(E41)&gt;0,G41*ABS(E41),0))</f>
        <v>748.756666666667</v>
      </c>
      <c r="X41" s="454">
        <f t="shared" si="35"/>
        <v>3276.302916666667</v>
      </c>
      <c r="Y41" s="453">
        <f t="shared" ref="Y41:Y58" si="42">IF(H41="","",IF(ABS(E41)&gt;0,H41*ABS(E41),0))</f>
        <v>9.7500000000000053</v>
      </c>
      <c r="Z41" s="454">
        <f t="shared" si="36"/>
        <v>52.500000000000007</v>
      </c>
      <c r="AA41" s="453">
        <f t="shared" ref="AA41:AA58" si="43">IF(I41="","",IF(ABS(E41)&gt;0,I41*ABS(E41),0))</f>
        <v>532.99986898463112</v>
      </c>
      <c r="AB41" s="454">
        <f t="shared" si="37"/>
        <v>2869.999294532628</v>
      </c>
      <c r="AC41" s="453">
        <f t="shared" ref="AC41:AC58" si="44">IF(J41="","",IF(ABS(E41)&gt;0,J41*ABS(E41),0))</f>
        <v>107.43548710506431</v>
      </c>
      <c r="AD41" s="454">
        <f t="shared" si="38"/>
        <v>578.49877671957677</v>
      </c>
    </row>
    <row r="42" spans="1:30" ht="12" customHeight="1">
      <c r="A42" s="391" t="str">
        <f t="shared" si="39"/>
        <v/>
      </c>
      <c r="B42" s="257">
        <f>Geometry!D158</f>
        <v>3</v>
      </c>
      <c r="C42" s="1606">
        <f>IF(B42="","",((caplength/2-Geometry!I158)+$J$9))</f>
        <v>-7.3333333333333286</v>
      </c>
      <c r="D42" s="1606"/>
      <c r="E42" s="1606">
        <f t="shared" si="40"/>
        <v>-4.3333333333333286</v>
      </c>
      <c r="F42" s="1606"/>
      <c r="G42" s="252">
        <f>IF(E42="--","",'Conc DL'!Q84)</f>
        <v>172.79</v>
      </c>
      <c r="H42" s="252">
        <f>IF(E42="--","",'Conc DL'!R84)</f>
        <v>2.25</v>
      </c>
      <c r="I42" s="254">
        <f>IF(E42="--","",'Live Load on Cap'!J57)</f>
        <v>122.99996976568404</v>
      </c>
      <c r="J42" s="255">
        <f>IF(E42="--","",'Live Load on Cap'!K57)</f>
        <v>24.792804716553288</v>
      </c>
      <c r="K42" s="254"/>
      <c r="M42" s="398"/>
      <c r="N42" s="448"/>
      <c r="O42" s="449">
        <f t="shared" si="27"/>
        <v>-316.57375000000002</v>
      </c>
      <c r="P42" s="449">
        <f t="shared" si="28"/>
        <v>-4.5</v>
      </c>
      <c r="Q42" s="449">
        <f t="shared" si="29"/>
        <v>-245.99993953136808</v>
      </c>
      <c r="R42" s="449">
        <f t="shared" si="30"/>
        <v>-49.585609433106576</v>
      </c>
      <c r="S42" s="451" t="str">
        <f t="shared" si="31"/>
        <v xml:space="preserve">172.8k + </v>
      </c>
      <c r="T42" s="450" t="str">
        <f t="shared" si="32"/>
        <v xml:space="preserve">2.3k + </v>
      </c>
      <c r="U42" s="450" t="str">
        <f t="shared" si="33"/>
        <v xml:space="preserve">123.0k + </v>
      </c>
      <c r="V42" s="472" t="str">
        <f t="shared" si="34"/>
        <v xml:space="preserve">24.8k + </v>
      </c>
      <c r="W42" s="453">
        <f t="shared" si="41"/>
        <v>748.75666666666586</v>
      </c>
      <c r="X42" s="454">
        <f t="shared" si="35"/>
        <v>-3480.6479166666645</v>
      </c>
      <c r="Y42" s="453">
        <f t="shared" si="42"/>
        <v>9.7499999999999893</v>
      </c>
      <c r="Z42" s="454">
        <f t="shared" si="36"/>
        <v>-52.499999999999972</v>
      </c>
      <c r="AA42" s="453">
        <f t="shared" si="43"/>
        <v>532.99986898463021</v>
      </c>
      <c r="AB42" s="454">
        <f t="shared" si="37"/>
        <v>-2869.9992945326262</v>
      </c>
      <c r="AC42" s="453">
        <f t="shared" si="44"/>
        <v>107.43548710506413</v>
      </c>
      <c r="AD42" s="454">
        <f t="shared" si="38"/>
        <v>-578.49877671957643</v>
      </c>
    </row>
    <row r="43" spans="1:30" ht="12" customHeight="1">
      <c r="A43" s="391" t="str">
        <f t="shared" si="39"/>
        <v/>
      </c>
      <c r="B43" s="257">
        <f>Geometry!D159</f>
        <v>4</v>
      </c>
      <c r="C43" s="1606">
        <f>IF(B43="","",((caplength/2-Geometry!I159)+$J$9))</f>
        <v>-21.999999999999993</v>
      </c>
      <c r="D43" s="1606"/>
      <c r="E43" s="1606">
        <f t="shared" si="40"/>
        <v>-18.999999999999993</v>
      </c>
      <c r="F43" s="1606"/>
      <c r="G43" s="252">
        <f>IF(E43="--","",'Conc DL'!Q85)</f>
        <v>143.78375</v>
      </c>
      <c r="H43" s="252">
        <f>IF(E43="--","",'Conc DL'!R85)</f>
        <v>2.25</v>
      </c>
      <c r="I43" s="254">
        <f>IF(E43="--","",'Live Load on Cap'!J58)</f>
        <v>122.99996976568404</v>
      </c>
      <c r="J43" s="255">
        <f>IF(E43="--","",'Live Load on Cap'!K58)</f>
        <v>24.792804716553288</v>
      </c>
      <c r="K43" s="254"/>
      <c r="M43" s="398"/>
      <c r="N43" s="448"/>
      <c r="O43" s="449">
        <f t="shared" si="27"/>
        <v>-143.78375</v>
      </c>
      <c r="P43" s="449">
        <f t="shared" si="28"/>
        <v>-2.25</v>
      </c>
      <c r="Q43" s="449">
        <f t="shared" si="29"/>
        <v>-122.99996976568404</v>
      </c>
      <c r="R43" s="449">
        <f t="shared" si="30"/>
        <v>-24.792804716553288</v>
      </c>
      <c r="S43" s="451" t="str">
        <f t="shared" si="31"/>
        <v xml:space="preserve">143.8k </v>
      </c>
      <c r="T43" s="450" t="str">
        <f t="shared" si="32"/>
        <v xml:space="preserve">2.3k </v>
      </c>
      <c r="U43" s="450" t="str">
        <f t="shared" si="33"/>
        <v xml:space="preserve">123.0k </v>
      </c>
      <c r="V43" s="472" t="str">
        <f t="shared" si="34"/>
        <v xml:space="preserve">24.8k </v>
      </c>
      <c r="W43" s="453">
        <f t="shared" si="41"/>
        <v>2731.8912499999988</v>
      </c>
      <c r="X43" s="454">
        <f t="shared" si="35"/>
        <v>-2731.8912499999988</v>
      </c>
      <c r="Y43" s="453">
        <f t="shared" si="42"/>
        <v>42.749999999999986</v>
      </c>
      <c r="Z43" s="454">
        <f t="shared" si="36"/>
        <v>-42.749999999999986</v>
      </c>
      <c r="AA43" s="453">
        <f t="shared" si="43"/>
        <v>2336.999425547996</v>
      </c>
      <c r="AB43" s="454">
        <f t="shared" si="37"/>
        <v>-2336.999425547996</v>
      </c>
      <c r="AC43" s="453">
        <f t="shared" si="44"/>
        <v>471.06328961451231</v>
      </c>
      <c r="AD43" s="454">
        <f t="shared" si="38"/>
        <v>-471.06328961451231</v>
      </c>
    </row>
    <row r="44" spans="1:30" ht="12" hidden="1" customHeight="1">
      <c r="A44" s="391" t="str">
        <f t="shared" si="39"/>
        <v>*</v>
      </c>
      <c r="B44" s="257" t="str">
        <f>Geometry!D160</f>
        <v/>
      </c>
      <c r="C44" s="1606" t="str">
        <f>IF(B44="","",((caplength/2-Geometry!I160)+$J$9))</f>
        <v/>
      </c>
      <c r="D44" s="1606"/>
      <c r="E44" s="1606" t="str">
        <f t="shared" si="40"/>
        <v/>
      </c>
      <c r="F44" s="1606"/>
      <c r="G44" s="252" t="str">
        <f>IF(E44="--","",'Conc DL'!Q86)</f>
        <v/>
      </c>
      <c r="H44" s="252" t="str">
        <f>IF(E44="--","",'Conc DL'!R86)</f>
        <v/>
      </c>
      <c r="I44" s="254" t="str">
        <f>IF(E44="--","",'Live Load on Cap'!J59)</f>
        <v/>
      </c>
      <c r="J44" s="255" t="str">
        <f>IF(E44="--","",'Live Load on Cap'!K59)</f>
        <v/>
      </c>
      <c r="K44" s="254"/>
      <c r="M44" s="398"/>
      <c r="N44" s="448"/>
      <c r="O44" s="449">
        <f t="shared" si="27"/>
        <v>0</v>
      </c>
      <c r="P44" s="449">
        <f t="shared" si="28"/>
        <v>0</v>
      </c>
      <c r="Q44" s="449">
        <f t="shared" si="29"/>
        <v>0</v>
      </c>
      <c r="R44" s="449">
        <f t="shared" si="30"/>
        <v>0</v>
      </c>
      <c r="S44" s="451" t="str">
        <f t="shared" si="31"/>
        <v/>
      </c>
      <c r="T44" s="450" t="str">
        <f t="shared" si="32"/>
        <v/>
      </c>
      <c r="U44" s="450" t="str">
        <f t="shared" si="33"/>
        <v/>
      </c>
      <c r="V44" s="472" t="str">
        <f t="shared" si="34"/>
        <v/>
      </c>
      <c r="W44" s="453" t="str">
        <f t="shared" si="41"/>
        <v/>
      </c>
      <c r="X44" s="454">
        <f t="shared" si="35"/>
        <v>0</v>
      </c>
      <c r="Y44" s="453" t="str">
        <f t="shared" si="42"/>
        <v/>
      </c>
      <c r="Z44" s="454">
        <f t="shared" si="36"/>
        <v>0</v>
      </c>
      <c r="AA44" s="453" t="str">
        <f t="shared" si="43"/>
        <v/>
      </c>
      <c r="AB44" s="454">
        <f t="shared" si="37"/>
        <v>0</v>
      </c>
      <c r="AC44" s="453" t="str">
        <f t="shared" si="44"/>
        <v/>
      </c>
      <c r="AD44" s="454">
        <f t="shared" si="38"/>
        <v>0</v>
      </c>
    </row>
    <row r="45" spans="1:30" ht="12" hidden="1" customHeight="1">
      <c r="A45" s="391" t="str">
        <f t="shared" si="39"/>
        <v>*</v>
      </c>
      <c r="B45" s="257" t="str">
        <f>Geometry!D161</f>
        <v/>
      </c>
      <c r="C45" s="1606" t="str">
        <f>IF(B45="","",((caplength/2-Geometry!I161)+$J$9))</f>
        <v/>
      </c>
      <c r="D45" s="1606"/>
      <c r="E45" s="1606" t="str">
        <f t="shared" si="40"/>
        <v/>
      </c>
      <c r="F45" s="1606"/>
      <c r="G45" s="252" t="str">
        <f>IF(E45="--","",'Conc DL'!Q87)</f>
        <v/>
      </c>
      <c r="H45" s="252" t="str">
        <f>IF(E45="--","",'Conc DL'!R87)</f>
        <v/>
      </c>
      <c r="I45" s="254" t="str">
        <f>IF(E45="--","",'Live Load on Cap'!J60)</f>
        <v/>
      </c>
      <c r="J45" s="255" t="str">
        <f>IF(E45="--","",'Live Load on Cap'!K60)</f>
        <v/>
      </c>
      <c r="K45" s="254"/>
      <c r="M45" s="398"/>
      <c r="N45" s="448"/>
      <c r="O45" s="449">
        <f t="shared" si="27"/>
        <v>0</v>
      </c>
      <c r="P45" s="449">
        <f t="shared" si="28"/>
        <v>0</v>
      </c>
      <c r="Q45" s="449">
        <f t="shared" si="29"/>
        <v>0</v>
      </c>
      <c r="R45" s="449">
        <f t="shared" si="30"/>
        <v>0</v>
      </c>
      <c r="S45" s="451" t="str">
        <f t="shared" si="31"/>
        <v/>
      </c>
      <c r="T45" s="450" t="str">
        <f t="shared" si="32"/>
        <v/>
      </c>
      <c r="U45" s="450" t="str">
        <f t="shared" si="33"/>
        <v/>
      </c>
      <c r="V45" s="472" t="str">
        <f t="shared" si="34"/>
        <v/>
      </c>
      <c r="W45" s="453" t="str">
        <f t="shared" si="41"/>
        <v/>
      </c>
      <c r="X45" s="454">
        <f t="shared" si="35"/>
        <v>0</v>
      </c>
      <c r="Y45" s="453" t="str">
        <f t="shared" si="42"/>
        <v/>
      </c>
      <c r="Z45" s="454">
        <f t="shared" si="36"/>
        <v>0</v>
      </c>
      <c r="AA45" s="453" t="str">
        <f t="shared" si="43"/>
        <v/>
      </c>
      <c r="AB45" s="454">
        <f t="shared" si="37"/>
        <v>0</v>
      </c>
      <c r="AC45" s="453" t="str">
        <f t="shared" si="44"/>
        <v/>
      </c>
      <c r="AD45" s="454">
        <f t="shared" si="38"/>
        <v>0</v>
      </c>
    </row>
    <row r="46" spans="1:30" ht="12" hidden="1" customHeight="1">
      <c r="A46" s="391" t="str">
        <f t="shared" si="39"/>
        <v>*</v>
      </c>
      <c r="B46" s="257" t="str">
        <f>Geometry!D162</f>
        <v/>
      </c>
      <c r="C46" s="1606" t="str">
        <f>IF(B46="","",((caplength/2-Geometry!I162)+$J$9))</f>
        <v/>
      </c>
      <c r="D46" s="1606"/>
      <c r="E46" s="1606" t="str">
        <f t="shared" si="40"/>
        <v/>
      </c>
      <c r="F46" s="1606"/>
      <c r="G46" s="252" t="str">
        <f>IF(E46="--","",'Conc DL'!Q88)</f>
        <v/>
      </c>
      <c r="H46" s="252" t="str">
        <f>IF(E46="--","",'Conc DL'!R88)</f>
        <v/>
      </c>
      <c r="I46" s="254" t="str">
        <f>IF(E46="--","",'Live Load on Cap'!J61)</f>
        <v/>
      </c>
      <c r="J46" s="255" t="str">
        <f>IF(E46="--","",'Live Load on Cap'!K61)</f>
        <v/>
      </c>
      <c r="K46" s="254"/>
      <c r="M46" s="398"/>
      <c r="N46" s="448"/>
      <c r="O46" s="449">
        <f t="shared" si="27"/>
        <v>0</v>
      </c>
      <c r="P46" s="449">
        <f t="shared" si="28"/>
        <v>0</v>
      </c>
      <c r="Q46" s="449">
        <f t="shared" si="29"/>
        <v>0</v>
      </c>
      <c r="R46" s="449">
        <f t="shared" si="30"/>
        <v>0</v>
      </c>
      <c r="S46" s="451" t="str">
        <f t="shared" si="31"/>
        <v/>
      </c>
      <c r="T46" s="450" t="str">
        <f t="shared" si="32"/>
        <v/>
      </c>
      <c r="U46" s="450" t="str">
        <f t="shared" si="33"/>
        <v/>
      </c>
      <c r="V46" s="472" t="str">
        <f t="shared" si="34"/>
        <v/>
      </c>
      <c r="W46" s="453" t="str">
        <f t="shared" si="41"/>
        <v/>
      </c>
      <c r="X46" s="454">
        <f t="shared" si="35"/>
        <v>0</v>
      </c>
      <c r="Y46" s="453" t="str">
        <f t="shared" si="42"/>
        <v/>
      </c>
      <c r="Z46" s="454">
        <f t="shared" si="36"/>
        <v>0</v>
      </c>
      <c r="AA46" s="453" t="str">
        <f t="shared" si="43"/>
        <v/>
      </c>
      <c r="AB46" s="454">
        <f t="shared" si="37"/>
        <v>0</v>
      </c>
      <c r="AC46" s="453" t="str">
        <f t="shared" si="44"/>
        <v/>
      </c>
      <c r="AD46" s="454">
        <f t="shared" si="38"/>
        <v>0</v>
      </c>
    </row>
    <row r="47" spans="1:30" ht="12" hidden="1" customHeight="1">
      <c r="A47" s="391" t="str">
        <f t="shared" si="39"/>
        <v>*</v>
      </c>
      <c r="B47" s="257" t="str">
        <f>Geometry!D163</f>
        <v/>
      </c>
      <c r="C47" s="1606" t="str">
        <f>IF(B47="","",((caplength/2-Geometry!I163)+$J$9))</f>
        <v/>
      </c>
      <c r="D47" s="1606"/>
      <c r="E47" s="1606" t="str">
        <f t="shared" si="40"/>
        <v/>
      </c>
      <c r="F47" s="1606"/>
      <c r="G47" s="252" t="str">
        <f>IF(E47="--","",'Conc DL'!Q89)</f>
        <v/>
      </c>
      <c r="H47" s="252" t="str">
        <f>IF(E47="--","",'Conc DL'!R89)</f>
        <v/>
      </c>
      <c r="I47" s="254" t="str">
        <f>IF(E47="--","",'Live Load on Cap'!J62)</f>
        <v/>
      </c>
      <c r="J47" s="255" t="str">
        <f>IF(E47="--","",'Live Load on Cap'!K62)</f>
        <v/>
      </c>
      <c r="K47" s="254"/>
      <c r="M47" s="398"/>
      <c r="N47" s="448"/>
      <c r="O47" s="449">
        <f t="shared" si="27"/>
        <v>0</v>
      </c>
      <c r="P47" s="449">
        <f t="shared" si="28"/>
        <v>0</v>
      </c>
      <c r="Q47" s="449">
        <f t="shared" si="29"/>
        <v>0</v>
      </c>
      <c r="R47" s="449">
        <f t="shared" si="30"/>
        <v>0</v>
      </c>
      <c r="S47" s="451" t="str">
        <f t="shared" si="31"/>
        <v/>
      </c>
      <c r="T47" s="450" t="str">
        <f t="shared" si="32"/>
        <v/>
      </c>
      <c r="U47" s="450" t="str">
        <f t="shared" si="33"/>
        <v/>
      </c>
      <c r="V47" s="472" t="str">
        <f t="shared" si="34"/>
        <v/>
      </c>
      <c r="W47" s="453" t="str">
        <f t="shared" si="41"/>
        <v/>
      </c>
      <c r="X47" s="454">
        <f t="shared" si="35"/>
        <v>0</v>
      </c>
      <c r="Y47" s="453" t="str">
        <f t="shared" si="42"/>
        <v/>
      </c>
      <c r="Z47" s="454">
        <f t="shared" si="36"/>
        <v>0</v>
      </c>
      <c r="AA47" s="453" t="str">
        <f t="shared" si="43"/>
        <v/>
      </c>
      <c r="AB47" s="454">
        <f t="shared" si="37"/>
        <v>0</v>
      </c>
      <c r="AC47" s="453" t="str">
        <f t="shared" si="44"/>
        <v/>
      </c>
      <c r="AD47" s="454">
        <f t="shared" si="38"/>
        <v>0</v>
      </c>
    </row>
    <row r="48" spans="1:30" ht="12" hidden="1" customHeight="1">
      <c r="A48" s="391" t="str">
        <f t="shared" si="39"/>
        <v>*</v>
      </c>
      <c r="B48" s="257" t="str">
        <f>Geometry!D164</f>
        <v/>
      </c>
      <c r="C48" s="1606" t="str">
        <f>IF(B48="","",((caplength/2-Geometry!I164)+$J$9))</f>
        <v/>
      </c>
      <c r="D48" s="1606"/>
      <c r="E48" s="1606" t="str">
        <f t="shared" ref="E48:E59" si="45">IF(C48="","",IF(C48&gt;$E$10,C48-$E$10,IF(C48&lt;-$E$10,C48+$E$10,"--")))</f>
        <v/>
      </c>
      <c r="F48" s="1606"/>
      <c r="G48" s="252" t="str">
        <f>IF(E48="--","",'Conc DL'!Q90)</f>
        <v/>
      </c>
      <c r="H48" s="252" t="str">
        <f>IF(E48="--","",'Conc DL'!R90)</f>
        <v/>
      </c>
      <c r="I48" s="254" t="str">
        <f>IF(E48="--","",'Live Load on Cap'!J63)</f>
        <v/>
      </c>
      <c r="J48" s="255" t="str">
        <f>IF(E48="--","",'Live Load on Cap'!K63)</f>
        <v/>
      </c>
      <c r="K48" s="254"/>
      <c r="M48" s="398"/>
      <c r="N48" s="448"/>
      <c r="O48" s="449">
        <f t="shared" si="27"/>
        <v>0</v>
      </c>
      <c r="P48" s="449">
        <f t="shared" si="28"/>
        <v>0</v>
      </c>
      <c r="Q48" s="449">
        <f t="shared" si="29"/>
        <v>0</v>
      </c>
      <c r="R48" s="449">
        <f t="shared" si="30"/>
        <v>0</v>
      </c>
      <c r="S48" s="451" t="str">
        <f t="shared" si="31"/>
        <v/>
      </c>
      <c r="T48" s="450" t="str">
        <f t="shared" si="32"/>
        <v/>
      </c>
      <c r="U48" s="450" t="str">
        <f t="shared" si="33"/>
        <v/>
      </c>
      <c r="V48" s="472" t="str">
        <f t="shared" si="34"/>
        <v/>
      </c>
      <c r="W48" s="453" t="str">
        <f t="shared" si="41"/>
        <v/>
      </c>
      <c r="X48" s="454">
        <f t="shared" si="35"/>
        <v>0</v>
      </c>
      <c r="Y48" s="453" t="str">
        <f t="shared" si="42"/>
        <v/>
      </c>
      <c r="Z48" s="454">
        <f t="shared" si="36"/>
        <v>0</v>
      </c>
      <c r="AA48" s="453" t="str">
        <f t="shared" si="43"/>
        <v/>
      </c>
      <c r="AB48" s="454">
        <f t="shared" si="37"/>
        <v>0</v>
      </c>
      <c r="AC48" s="453" t="str">
        <f t="shared" si="44"/>
        <v/>
      </c>
      <c r="AD48" s="454">
        <f t="shared" si="38"/>
        <v>0</v>
      </c>
    </row>
    <row r="49" spans="1:30" ht="12" hidden="1" customHeight="1">
      <c r="A49" s="391" t="str">
        <f t="shared" si="39"/>
        <v>*</v>
      </c>
      <c r="B49" s="257" t="str">
        <f>Geometry!D165</f>
        <v/>
      </c>
      <c r="C49" s="1606" t="str">
        <f>IF(B49="","",((caplength/2-Geometry!I165)+$J$9))</f>
        <v/>
      </c>
      <c r="D49" s="1606"/>
      <c r="E49" s="1606" t="str">
        <f t="shared" si="45"/>
        <v/>
      </c>
      <c r="F49" s="1606"/>
      <c r="G49" s="252" t="str">
        <f>IF(E49="--","",'Conc DL'!Q91)</f>
        <v/>
      </c>
      <c r="H49" s="252" t="str">
        <f>IF(E49="--","",'Conc DL'!R91)</f>
        <v/>
      </c>
      <c r="I49" s="254" t="str">
        <f>IF(E49="--","",'Live Load on Cap'!J64)</f>
        <v/>
      </c>
      <c r="J49" s="255" t="str">
        <f>IF(E49="--","",'Live Load on Cap'!K64)</f>
        <v/>
      </c>
      <c r="K49" s="254"/>
      <c r="M49" s="398"/>
      <c r="N49" s="448"/>
      <c r="O49" s="449">
        <f t="shared" si="27"/>
        <v>0</v>
      </c>
      <c r="P49" s="449">
        <f t="shared" si="28"/>
        <v>0</v>
      </c>
      <c r="Q49" s="449">
        <f t="shared" si="29"/>
        <v>0</v>
      </c>
      <c r="R49" s="449">
        <f t="shared" si="30"/>
        <v>0</v>
      </c>
      <c r="S49" s="451" t="str">
        <f t="shared" si="31"/>
        <v/>
      </c>
      <c r="T49" s="450" t="str">
        <f t="shared" si="32"/>
        <v/>
      </c>
      <c r="U49" s="450" t="str">
        <f t="shared" si="33"/>
        <v/>
      </c>
      <c r="V49" s="472" t="str">
        <f t="shared" si="34"/>
        <v/>
      </c>
      <c r="W49" s="453" t="str">
        <f t="shared" si="41"/>
        <v/>
      </c>
      <c r="X49" s="454">
        <f t="shared" si="35"/>
        <v>0</v>
      </c>
      <c r="Y49" s="453" t="str">
        <f t="shared" si="42"/>
        <v/>
      </c>
      <c r="Z49" s="454">
        <f t="shared" si="36"/>
        <v>0</v>
      </c>
      <c r="AA49" s="453" t="str">
        <f t="shared" si="43"/>
        <v/>
      </c>
      <c r="AB49" s="454">
        <f t="shared" si="37"/>
        <v>0</v>
      </c>
      <c r="AC49" s="453" t="str">
        <f t="shared" si="44"/>
        <v/>
      </c>
      <c r="AD49" s="454">
        <f t="shared" si="38"/>
        <v>0</v>
      </c>
    </row>
    <row r="50" spans="1:30" ht="12" hidden="1" customHeight="1">
      <c r="A50" s="391" t="str">
        <f t="shared" si="39"/>
        <v>*</v>
      </c>
      <c r="B50" s="257" t="str">
        <f>Geometry!D166</f>
        <v/>
      </c>
      <c r="C50" s="1606" t="str">
        <f>IF(B50="","",((caplength/2-Geometry!I166)+$J$9))</f>
        <v/>
      </c>
      <c r="D50" s="1606"/>
      <c r="E50" s="1606" t="str">
        <f t="shared" si="45"/>
        <v/>
      </c>
      <c r="F50" s="1606"/>
      <c r="G50" s="252" t="str">
        <f>IF(E50="--","",'Conc DL'!Q92)</f>
        <v/>
      </c>
      <c r="H50" s="252" t="str">
        <f>IF(E50="--","",'Conc DL'!R92)</f>
        <v/>
      </c>
      <c r="I50" s="254" t="str">
        <f>IF(E50="--","",'Live Load on Cap'!J65)</f>
        <v/>
      </c>
      <c r="J50" s="255" t="str">
        <f>IF(E50="--","",'Live Load on Cap'!K65)</f>
        <v/>
      </c>
      <c r="K50" s="254"/>
      <c r="M50" s="398"/>
      <c r="N50" s="442"/>
      <c r="O50" s="449">
        <f t="shared" si="27"/>
        <v>0</v>
      </c>
      <c r="P50" s="449">
        <f t="shared" si="28"/>
        <v>0</v>
      </c>
      <c r="Q50" s="449">
        <f t="shared" si="29"/>
        <v>0</v>
      </c>
      <c r="R50" s="449">
        <f t="shared" si="30"/>
        <v>0</v>
      </c>
      <c r="S50" s="451" t="str">
        <f t="shared" si="31"/>
        <v/>
      </c>
      <c r="T50" s="450" t="str">
        <f t="shared" si="32"/>
        <v/>
      </c>
      <c r="U50" s="450" t="str">
        <f t="shared" si="33"/>
        <v/>
      </c>
      <c r="V50" s="472" t="str">
        <f t="shared" si="34"/>
        <v/>
      </c>
      <c r="W50" s="453" t="str">
        <f t="shared" si="41"/>
        <v/>
      </c>
      <c r="X50" s="454">
        <f t="shared" si="35"/>
        <v>0</v>
      </c>
      <c r="Y50" s="453" t="str">
        <f t="shared" si="42"/>
        <v/>
      </c>
      <c r="Z50" s="454">
        <f t="shared" si="36"/>
        <v>0</v>
      </c>
      <c r="AA50" s="453" t="str">
        <f t="shared" si="43"/>
        <v/>
      </c>
      <c r="AB50" s="454">
        <f t="shared" si="37"/>
        <v>0</v>
      </c>
      <c r="AC50" s="453" t="str">
        <f t="shared" si="44"/>
        <v/>
      </c>
      <c r="AD50" s="454">
        <f t="shared" si="38"/>
        <v>0</v>
      </c>
    </row>
    <row r="51" spans="1:30" ht="12" hidden="1" customHeight="1">
      <c r="A51" s="391" t="str">
        <f t="shared" si="39"/>
        <v>*</v>
      </c>
      <c r="B51" s="257" t="str">
        <f>Geometry!D167</f>
        <v/>
      </c>
      <c r="C51" s="1606" t="str">
        <f>IF(B51="","",((caplength/2-Geometry!I167)+$J$9))</f>
        <v/>
      </c>
      <c r="D51" s="1606"/>
      <c r="E51" s="1606" t="str">
        <f t="shared" si="45"/>
        <v/>
      </c>
      <c r="F51" s="1606"/>
      <c r="G51" s="252" t="str">
        <f>IF(E51="--","",'Conc DL'!Q93)</f>
        <v/>
      </c>
      <c r="H51" s="252" t="str">
        <f>IF(E51="--","",'Conc DL'!R93)</f>
        <v/>
      </c>
      <c r="I51" s="254" t="str">
        <f>IF(E51="--","",'Live Load on Cap'!J66)</f>
        <v/>
      </c>
      <c r="J51" s="255" t="str">
        <f>IF(E51="--","",'Live Load on Cap'!K66)</f>
        <v/>
      </c>
      <c r="K51" s="254"/>
      <c r="M51" s="398"/>
      <c r="N51" s="442"/>
      <c r="O51" s="449">
        <f t="shared" si="27"/>
        <v>0</v>
      </c>
      <c r="P51" s="449">
        <f t="shared" si="28"/>
        <v>0</v>
      </c>
      <c r="Q51" s="449">
        <f t="shared" si="29"/>
        <v>0</v>
      </c>
      <c r="R51" s="449">
        <f t="shared" si="30"/>
        <v>0</v>
      </c>
      <c r="S51" s="451" t="str">
        <f t="shared" si="31"/>
        <v/>
      </c>
      <c r="T51" s="450" t="str">
        <f t="shared" si="32"/>
        <v/>
      </c>
      <c r="U51" s="450" t="str">
        <f t="shared" si="33"/>
        <v/>
      </c>
      <c r="V51" s="472" t="str">
        <f t="shared" si="34"/>
        <v/>
      </c>
      <c r="W51" s="453" t="str">
        <f t="shared" si="41"/>
        <v/>
      </c>
      <c r="X51" s="454">
        <f t="shared" si="35"/>
        <v>0</v>
      </c>
      <c r="Y51" s="453" t="str">
        <f t="shared" si="42"/>
        <v/>
      </c>
      <c r="Z51" s="454">
        <f t="shared" si="36"/>
        <v>0</v>
      </c>
      <c r="AA51" s="453" t="str">
        <f t="shared" si="43"/>
        <v/>
      </c>
      <c r="AB51" s="454">
        <f t="shared" si="37"/>
        <v>0</v>
      </c>
      <c r="AC51" s="453" t="str">
        <f t="shared" si="44"/>
        <v/>
      </c>
      <c r="AD51" s="454">
        <f t="shared" si="38"/>
        <v>0</v>
      </c>
    </row>
    <row r="52" spans="1:30" ht="12" hidden="1" customHeight="1">
      <c r="A52" s="391" t="str">
        <f t="shared" si="39"/>
        <v>*</v>
      </c>
      <c r="B52" s="257" t="str">
        <f>Geometry!D168</f>
        <v/>
      </c>
      <c r="C52" s="1606" t="str">
        <f>IF(B52="","",((caplength/2-Geometry!I168)+$J$9))</f>
        <v/>
      </c>
      <c r="D52" s="1606"/>
      <c r="E52" s="1606" t="str">
        <f t="shared" si="45"/>
        <v/>
      </c>
      <c r="F52" s="1606"/>
      <c r="G52" s="252" t="str">
        <f>IF(E52="--","",'Conc DL'!Q94)</f>
        <v/>
      </c>
      <c r="H52" s="252" t="str">
        <f>IF(E52="--","",'Conc DL'!R94)</f>
        <v/>
      </c>
      <c r="I52" s="254" t="str">
        <f>IF(E52="--","",'Live Load on Cap'!J67)</f>
        <v/>
      </c>
      <c r="J52" s="255" t="str">
        <f>IF(E52="--","",'Live Load on Cap'!K67)</f>
        <v/>
      </c>
      <c r="K52" s="254"/>
      <c r="M52" s="398"/>
      <c r="N52" s="442"/>
      <c r="O52" s="449">
        <f t="shared" si="27"/>
        <v>0</v>
      </c>
      <c r="P52" s="449">
        <f t="shared" si="28"/>
        <v>0</v>
      </c>
      <c r="Q52" s="449">
        <f t="shared" si="29"/>
        <v>0</v>
      </c>
      <c r="R52" s="449">
        <f t="shared" si="30"/>
        <v>0</v>
      </c>
      <c r="S52" s="451" t="str">
        <f t="shared" si="31"/>
        <v/>
      </c>
      <c r="T52" s="450" t="str">
        <f t="shared" si="32"/>
        <v/>
      </c>
      <c r="U52" s="450" t="str">
        <f t="shared" si="33"/>
        <v/>
      </c>
      <c r="V52" s="472" t="str">
        <f t="shared" si="34"/>
        <v/>
      </c>
      <c r="W52" s="453" t="str">
        <f t="shared" si="41"/>
        <v/>
      </c>
      <c r="X52" s="454">
        <f t="shared" si="35"/>
        <v>0</v>
      </c>
      <c r="Y52" s="453" t="str">
        <f t="shared" si="42"/>
        <v/>
      </c>
      <c r="Z52" s="454">
        <f t="shared" si="36"/>
        <v>0</v>
      </c>
      <c r="AA52" s="453" t="str">
        <f t="shared" si="43"/>
        <v/>
      </c>
      <c r="AB52" s="454">
        <f t="shared" si="37"/>
        <v>0</v>
      </c>
      <c r="AC52" s="453" t="str">
        <f t="shared" si="44"/>
        <v/>
      </c>
      <c r="AD52" s="454">
        <f t="shared" si="38"/>
        <v>0</v>
      </c>
    </row>
    <row r="53" spans="1:30" ht="12" hidden="1" customHeight="1">
      <c r="A53" s="391" t="str">
        <f t="shared" si="39"/>
        <v>*</v>
      </c>
      <c r="B53" s="257" t="str">
        <f>Geometry!D169</f>
        <v/>
      </c>
      <c r="C53" s="1606" t="str">
        <f>IF(B53="","",((caplength/2-Geometry!I169)+$J$9))</f>
        <v/>
      </c>
      <c r="D53" s="1606"/>
      <c r="E53" s="1606" t="str">
        <f t="shared" si="45"/>
        <v/>
      </c>
      <c r="F53" s="1606"/>
      <c r="G53" s="252" t="str">
        <f>IF(E53="--","",'Conc DL'!Q95)</f>
        <v/>
      </c>
      <c r="H53" s="252" t="str">
        <f>IF(E53="--","",'Conc DL'!R95)</f>
        <v/>
      </c>
      <c r="I53" s="254" t="str">
        <f>IF(E53="--","",'Live Load on Cap'!J68)</f>
        <v/>
      </c>
      <c r="J53" s="255" t="str">
        <f>IF(E53="--","",'Live Load on Cap'!K68)</f>
        <v/>
      </c>
      <c r="K53" s="254"/>
      <c r="M53" s="398"/>
      <c r="N53" s="442"/>
      <c r="O53" s="449">
        <f t="shared" si="27"/>
        <v>0</v>
      </c>
      <c r="P53" s="449">
        <f t="shared" si="28"/>
        <v>0</v>
      </c>
      <c r="Q53" s="449">
        <f t="shared" si="29"/>
        <v>0</v>
      </c>
      <c r="R53" s="449">
        <f t="shared" si="30"/>
        <v>0</v>
      </c>
      <c r="S53" s="451" t="str">
        <f t="shared" si="31"/>
        <v/>
      </c>
      <c r="T53" s="450" t="str">
        <f t="shared" si="32"/>
        <v/>
      </c>
      <c r="U53" s="450" t="str">
        <f t="shared" si="33"/>
        <v/>
      </c>
      <c r="V53" s="472" t="str">
        <f t="shared" si="34"/>
        <v/>
      </c>
      <c r="W53" s="453" t="str">
        <f t="shared" si="41"/>
        <v/>
      </c>
      <c r="X53" s="454">
        <f t="shared" si="35"/>
        <v>0</v>
      </c>
      <c r="Y53" s="453" t="str">
        <f t="shared" si="42"/>
        <v/>
      </c>
      <c r="Z53" s="454">
        <f t="shared" si="36"/>
        <v>0</v>
      </c>
      <c r="AA53" s="453" t="str">
        <f t="shared" si="43"/>
        <v/>
      </c>
      <c r="AB53" s="454">
        <f t="shared" si="37"/>
        <v>0</v>
      </c>
      <c r="AC53" s="453" t="str">
        <f t="shared" si="44"/>
        <v/>
      </c>
      <c r="AD53" s="454">
        <f t="shared" si="38"/>
        <v>0</v>
      </c>
    </row>
    <row r="54" spans="1:30" ht="12" hidden="1" customHeight="1">
      <c r="A54" s="391" t="str">
        <f t="shared" si="39"/>
        <v>*</v>
      </c>
      <c r="B54" s="257" t="str">
        <f>Geometry!D170</f>
        <v/>
      </c>
      <c r="C54" s="1606" t="str">
        <f>IF(B54="","",((caplength/2-Geometry!I170)+$J$9))</f>
        <v/>
      </c>
      <c r="D54" s="1606"/>
      <c r="E54" s="1606" t="str">
        <f t="shared" si="45"/>
        <v/>
      </c>
      <c r="F54" s="1606"/>
      <c r="G54" s="252" t="str">
        <f>IF(E54="--","",'Conc DL'!Q96)</f>
        <v/>
      </c>
      <c r="H54" s="252" t="str">
        <f>IF(E54="--","",'Conc DL'!R96)</f>
        <v/>
      </c>
      <c r="I54" s="254" t="str">
        <f>IF(E54="--","",'Live Load on Cap'!J69)</f>
        <v/>
      </c>
      <c r="J54" s="255" t="str">
        <f>IF(E54="--","",'Live Load on Cap'!K69)</f>
        <v/>
      </c>
      <c r="K54" s="254"/>
      <c r="M54" s="398"/>
      <c r="N54" s="442"/>
      <c r="O54" s="449">
        <f t="shared" si="27"/>
        <v>0</v>
      </c>
      <c r="P54" s="449">
        <f t="shared" si="28"/>
        <v>0</v>
      </c>
      <c r="Q54" s="449">
        <f t="shared" si="29"/>
        <v>0</v>
      </c>
      <c r="R54" s="449">
        <f t="shared" si="30"/>
        <v>0</v>
      </c>
      <c r="S54" s="451" t="str">
        <f t="shared" si="31"/>
        <v/>
      </c>
      <c r="T54" s="450" t="str">
        <f t="shared" si="32"/>
        <v/>
      </c>
      <c r="U54" s="450" t="str">
        <f t="shared" si="33"/>
        <v/>
      </c>
      <c r="V54" s="472" t="str">
        <f t="shared" si="34"/>
        <v/>
      </c>
      <c r="W54" s="453" t="str">
        <f t="shared" si="41"/>
        <v/>
      </c>
      <c r="X54" s="454">
        <f t="shared" si="35"/>
        <v>0</v>
      </c>
      <c r="Y54" s="453" t="str">
        <f t="shared" si="42"/>
        <v/>
      </c>
      <c r="Z54" s="454">
        <f t="shared" si="36"/>
        <v>0</v>
      </c>
      <c r="AA54" s="453" t="str">
        <f t="shared" si="43"/>
        <v/>
      </c>
      <c r="AB54" s="454">
        <f t="shared" si="37"/>
        <v>0</v>
      </c>
      <c r="AC54" s="453" t="str">
        <f t="shared" si="44"/>
        <v/>
      </c>
      <c r="AD54" s="454">
        <f t="shared" si="38"/>
        <v>0</v>
      </c>
    </row>
    <row r="55" spans="1:30" ht="11.25" hidden="1" customHeight="1">
      <c r="A55" s="391" t="str">
        <f t="shared" si="39"/>
        <v>*</v>
      </c>
      <c r="B55" s="257" t="str">
        <f>Geometry!D171</f>
        <v/>
      </c>
      <c r="C55" s="1606" t="str">
        <f>IF(B55="","",((caplength/2-Geometry!I171)+$J$9))</f>
        <v/>
      </c>
      <c r="D55" s="1606"/>
      <c r="E55" s="1606" t="str">
        <f t="shared" si="45"/>
        <v/>
      </c>
      <c r="F55" s="1606"/>
      <c r="G55" s="252" t="str">
        <f>IF(E55="--","",'Conc DL'!Q97)</f>
        <v/>
      </c>
      <c r="H55" s="252" t="str">
        <f>IF(E55="--","",'Conc DL'!R97)</f>
        <v/>
      </c>
      <c r="I55" s="254" t="str">
        <f>IF(E55="--","",'Live Load on Cap'!J70)</f>
        <v/>
      </c>
      <c r="J55" s="255" t="str">
        <f>IF(E55="--","",'Live Load on Cap'!K70)</f>
        <v/>
      </c>
      <c r="K55" s="254"/>
      <c r="M55" s="398"/>
      <c r="N55" s="442"/>
      <c r="O55" s="449">
        <f t="shared" si="27"/>
        <v>0</v>
      </c>
      <c r="P55" s="449">
        <f t="shared" si="28"/>
        <v>0</v>
      </c>
      <c r="Q55" s="449">
        <f t="shared" si="29"/>
        <v>0</v>
      </c>
      <c r="R55" s="449">
        <f t="shared" si="30"/>
        <v>0</v>
      </c>
      <c r="S55" s="451" t="str">
        <f t="shared" si="31"/>
        <v/>
      </c>
      <c r="T55" s="450" t="str">
        <f t="shared" si="32"/>
        <v/>
      </c>
      <c r="U55" s="450" t="str">
        <f t="shared" si="33"/>
        <v/>
      </c>
      <c r="V55" s="472" t="str">
        <f t="shared" si="34"/>
        <v/>
      </c>
      <c r="W55" s="453" t="str">
        <f t="shared" si="41"/>
        <v/>
      </c>
      <c r="X55" s="454">
        <f t="shared" si="35"/>
        <v>0</v>
      </c>
      <c r="Y55" s="453" t="str">
        <f t="shared" si="42"/>
        <v/>
      </c>
      <c r="Z55" s="454">
        <f t="shared" si="36"/>
        <v>0</v>
      </c>
      <c r="AA55" s="453" t="str">
        <f t="shared" si="43"/>
        <v/>
      </c>
      <c r="AB55" s="454">
        <f t="shared" si="37"/>
        <v>0</v>
      </c>
      <c r="AC55" s="453" t="str">
        <f t="shared" si="44"/>
        <v/>
      </c>
      <c r="AD55" s="454">
        <f t="shared" si="38"/>
        <v>0</v>
      </c>
    </row>
    <row r="56" spans="1:30" ht="11.25" hidden="1" customHeight="1">
      <c r="A56" s="391" t="str">
        <f t="shared" si="39"/>
        <v>*</v>
      </c>
      <c r="B56" s="257" t="str">
        <f>Geometry!D172</f>
        <v/>
      </c>
      <c r="C56" s="1606" t="str">
        <f>IF(B56="","",((caplength/2-Geometry!I172)+$J$9))</f>
        <v/>
      </c>
      <c r="D56" s="1606"/>
      <c r="E56" s="1606" t="str">
        <f t="shared" si="45"/>
        <v/>
      </c>
      <c r="F56" s="1606"/>
      <c r="G56" s="252" t="str">
        <f>IF(E56="--","",'Conc DL'!Q98)</f>
        <v/>
      </c>
      <c r="H56" s="252" t="str">
        <f>IF(E56="--","",'Conc DL'!R98)</f>
        <v/>
      </c>
      <c r="I56" s="254" t="str">
        <f>IF(E56="--","",'Live Load on Cap'!J71)</f>
        <v/>
      </c>
      <c r="J56" s="255" t="str">
        <f>IF(E56="--","",'Live Load on Cap'!K71)</f>
        <v/>
      </c>
      <c r="K56" s="254"/>
      <c r="M56" s="398"/>
      <c r="N56" s="442"/>
      <c r="O56" s="449">
        <f t="shared" si="27"/>
        <v>0</v>
      </c>
      <c r="P56" s="449">
        <f t="shared" si="28"/>
        <v>0</v>
      </c>
      <c r="Q56" s="449">
        <f t="shared" si="29"/>
        <v>0</v>
      </c>
      <c r="R56" s="449">
        <f t="shared" si="30"/>
        <v>0</v>
      </c>
      <c r="S56" s="451" t="str">
        <f t="shared" si="31"/>
        <v/>
      </c>
      <c r="T56" s="450" t="str">
        <f t="shared" si="32"/>
        <v/>
      </c>
      <c r="U56" s="450" t="str">
        <f t="shared" si="33"/>
        <v/>
      </c>
      <c r="V56" s="472" t="str">
        <f t="shared" si="34"/>
        <v/>
      </c>
      <c r="W56" s="453" t="str">
        <f t="shared" si="41"/>
        <v/>
      </c>
      <c r="X56" s="454">
        <f t="shared" si="35"/>
        <v>0</v>
      </c>
      <c r="Y56" s="453" t="str">
        <f t="shared" si="42"/>
        <v/>
      </c>
      <c r="Z56" s="454">
        <f t="shared" si="36"/>
        <v>0</v>
      </c>
      <c r="AA56" s="453" t="str">
        <f t="shared" si="43"/>
        <v/>
      </c>
      <c r="AB56" s="454">
        <f t="shared" si="37"/>
        <v>0</v>
      </c>
      <c r="AC56" s="453" t="str">
        <f t="shared" si="44"/>
        <v/>
      </c>
      <c r="AD56" s="454">
        <f t="shared" si="38"/>
        <v>0</v>
      </c>
    </row>
    <row r="57" spans="1:30" ht="11.25" hidden="1" customHeight="1">
      <c r="A57" s="391" t="str">
        <f t="shared" si="39"/>
        <v>*</v>
      </c>
      <c r="B57" s="257" t="str">
        <f>Geometry!D173</f>
        <v/>
      </c>
      <c r="C57" s="1606" t="str">
        <f>IF(B57="","",((caplength/2-Geometry!I173)+$J$9))</f>
        <v/>
      </c>
      <c r="D57" s="1606"/>
      <c r="E57" s="1606" t="str">
        <f t="shared" si="45"/>
        <v/>
      </c>
      <c r="F57" s="1606"/>
      <c r="G57" s="252" t="str">
        <f>IF(E57="--","",'Conc DL'!Q99)</f>
        <v/>
      </c>
      <c r="H57" s="252" t="str">
        <f>IF(E57="--","",'Conc DL'!R99)</f>
        <v/>
      </c>
      <c r="I57" s="254" t="str">
        <f>IF(E57="--","",'Live Load on Cap'!J72)</f>
        <v/>
      </c>
      <c r="J57" s="255" t="str">
        <f>IF(E57="--","",'Live Load on Cap'!K72)</f>
        <v/>
      </c>
      <c r="K57" s="254"/>
      <c r="M57" s="398"/>
      <c r="N57" s="442"/>
      <c r="O57" s="449">
        <f t="shared" si="27"/>
        <v>0</v>
      </c>
      <c r="P57" s="449">
        <f t="shared" si="28"/>
        <v>0</v>
      </c>
      <c r="Q57" s="449">
        <f t="shared" si="29"/>
        <v>0</v>
      </c>
      <c r="R57" s="449">
        <f t="shared" si="30"/>
        <v>0</v>
      </c>
      <c r="S57" s="451" t="str">
        <f t="shared" si="31"/>
        <v/>
      </c>
      <c r="T57" s="450" t="str">
        <f t="shared" si="32"/>
        <v/>
      </c>
      <c r="U57" s="450" t="str">
        <f t="shared" si="33"/>
        <v/>
      </c>
      <c r="V57" s="472" t="str">
        <f t="shared" si="34"/>
        <v/>
      </c>
      <c r="W57" s="453" t="str">
        <f t="shared" si="41"/>
        <v/>
      </c>
      <c r="X57" s="454">
        <f t="shared" si="35"/>
        <v>0</v>
      </c>
      <c r="Y57" s="453" t="str">
        <f t="shared" si="42"/>
        <v/>
      </c>
      <c r="Z57" s="454">
        <f t="shared" si="36"/>
        <v>0</v>
      </c>
      <c r="AA57" s="453" t="str">
        <f t="shared" si="43"/>
        <v/>
      </c>
      <c r="AB57" s="454">
        <f t="shared" si="37"/>
        <v>0</v>
      </c>
      <c r="AC57" s="453" t="str">
        <f t="shared" si="44"/>
        <v/>
      </c>
      <c r="AD57" s="454">
        <f t="shared" si="38"/>
        <v>0</v>
      </c>
    </row>
    <row r="58" spans="1:30" ht="11.25" hidden="1" customHeight="1">
      <c r="A58" s="391" t="str">
        <f t="shared" si="39"/>
        <v>*</v>
      </c>
      <c r="B58" s="257" t="str">
        <f>Geometry!D174</f>
        <v/>
      </c>
      <c r="C58" s="1606" t="str">
        <f>IF(B58="","",((caplength/2-Geometry!I174)+$J$9))</f>
        <v/>
      </c>
      <c r="D58" s="1606"/>
      <c r="E58" s="1606" t="str">
        <f t="shared" si="45"/>
        <v/>
      </c>
      <c r="F58" s="1606"/>
      <c r="G58" s="252" t="str">
        <f>IF(E58="--","",'Conc DL'!Q100)</f>
        <v/>
      </c>
      <c r="H58" s="252" t="str">
        <f>IF(E58="--","",'Conc DL'!R100)</f>
        <v/>
      </c>
      <c r="I58" s="254" t="str">
        <f>IF(E58="--","",'Live Load on Cap'!J73)</f>
        <v/>
      </c>
      <c r="J58" s="255" t="str">
        <f>IF(E58="--","",'Live Load on Cap'!K73)</f>
        <v/>
      </c>
      <c r="K58" s="254"/>
      <c r="M58" s="398"/>
      <c r="N58" s="442"/>
      <c r="O58" s="449">
        <f t="shared" si="27"/>
        <v>0</v>
      </c>
      <c r="P58" s="449">
        <f t="shared" si="28"/>
        <v>0</v>
      </c>
      <c r="Q58" s="449">
        <f t="shared" si="29"/>
        <v>0</v>
      </c>
      <c r="R58" s="449">
        <f t="shared" si="30"/>
        <v>0</v>
      </c>
      <c r="S58" s="451" t="str">
        <f t="shared" si="31"/>
        <v/>
      </c>
      <c r="T58" s="450" t="str">
        <f t="shared" si="32"/>
        <v/>
      </c>
      <c r="U58" s="450" t="str">
        <f t="shared" si="33"/>
        <v/>
      </c>
      <c r="V58" s="472" t="str">
        <f t="shared" si="34"/>
        <v/>
      </c>
      <c r="W58" s="453" t="str">
        <f t="shared" si="41"/>
        <v/>
      </c>
      <c r="X58" s="454">
        <f t="shared" si="35"/>
        <v>0</v>
      </c>
      <c r="Y58" s="453" t="str">
        <f t="shared" si="42"/>
        <v/>
      </c>
      <c r="Z58" s="454">
        <f t="shared" si="36"/>
        <v>0</v>
      </c>
      <c r="AA58" s="453" t="str">
        <f t="shared" si="43"/>
        <v/>
      </c>
      <c r="AB58" s="454">
        <f t="shared" si="37"/>
        <v>0</v>
      </c>
      <c r="AC58" s="453" t="str">
        <f t="shared" si="44"/>
        <v/>
      </c>
      <c r="AD58" s="454">
        <f t="shared" si="38"/>
        <v>0</v>
      </c>
    </row>
    <row r="59" spans="1:30" ht="11.25" hidden="1" customHeight="1">
      <c r="A59" s="391" t="str">
        <f t="shared" si="39"/>
        <v>*</v>
      </c>
      <c r="B59" s="257" t="str">
        <f>Geometry!D175</f>
        <v/>
      </c>
      <c r="C59" s="1606" t="str">
        <f>IF(B59="","",((caplength/2-Geometry!I175)+$J$9))</f>
        <v/>
      </c>
      <c r="D59" s="1606"/>
      <c r="E59" s="1606" t="str">
        <f t="shared" si="45"/>
        <v/>
      </c>
      <c r="F59" s="1606"/>
      <c r="G59" s="252" t="str">
        <f>IF(E59="--","",'Conc DL'!Q101)</f>
        <v/>
      </c>
      <c r="H59" s="252" t="str">
        <f>IF(E59="--","",'Conc DL'!R101)</f>
        <v/>
      </c>
      <c r="I59" s="254" t="str">
        <f>IF(E59="--","",'Live Load on Cap'!J74)</f>
        <v/>
      </c>
      <c r="J59" s="255" t="str">
        <f>IF(E59="--","",'Live Load on Cap'!K74)</f>
        <v/>
      </c>
      <c r="K59" s="254"/>
      <c r="M59" s="398"/>
      <c r="N59" s="455"/>
      <c r="O59" s="449">
        <f t="shared" ref="O59" si="46">IF(B59&gt;$I$37,0,IF(C59&gt;$E$10,O58+G59,IF(C59&lt;-$E$10,O60-G59,0)))</f>
        <v>0</v>
      </c>
      <c r="P59" s="449">
        <f t="shared" ref="P59" si="47">IF($B59&gt;$I$37,0,IF($C59&gt;$E$10,P58+H59,IF($C59&lt;-$E$10,P60-H59,0)))</f>
        <v>0</v>
      </c>
      <c r="Q59" s="449">
        <f t="shared" ref="Q59" si="48">IF($B59&gt;$I$37,0,IF($C59&gt;$E$10,Q58+I59,IF($C59&lt;-$E$10,Q60-I59,0)))</f>
        <v>0</v>
      </c>
      <c r="R59" s="449">
        <f t="shared" ref="R59" si="49">IF($B59&gt;$I$37,0,IF($C59&gt;$E$10,R58+J59,IF($C59&lt;-$E$10,R60-J59,0)))</f>
        <v>0</v>
      </c>
      <c r="S59" s="451" t="str">
        <f t="shared" si="31"/>
        <v/>
      </c>
      <c r="T59" s="450" t="str">
        <f t="shared" si="32"/>
        <v/>
      </c>
      <c r="U59" s="450" t="str">
        <f t="shared" si="33"/>
        <v/>
      </c>
      <c r="V59" s="472" t="str">
        <f t="shared" si="34"/>
        <v/>
      </c>
      <c r="W59" s="453" t="str">
        <f t="shared" ref="W59" si="50">IF(G59="","",IF(ABS(E59)&gt;0,G59*ABS(E59),0))</f>
        <v/>
      </c>
      <c r="X59" s="454">
        <f t="shared" ref="X59" si="51">IF($B59&gt;$I$37,0,IF($C59&gt;$E$10,X58+W59,IF($C59&lt;-$E$10,X60-W59,0)))</f>
        <v>0</v>
      </c>
      <c r="Y59" s="453" t="str">
        <f t="shared" ref="Y59" si="52">IF(H59="","",IF(ABS(E59)&gt;0,H59*ABS(E59),0))</f>
        <v/>
      </c>
      <c r="Z59" s="454">
        <f t="shared" ref="Z59" si="53">IF($B59&gt;$I$37,0,IF($C59&gt;$E$10,Z58+Y59,IF($C59&lt;-$E$10,Z60-Y59,0)))</f>
        <v>0</v>
      </c>
      <c r="AA59" s="453" t="str">
        <f t="shared" ref="AA59" si="54">IF(I59="","",IF(ABS(E59)&gt;0,I59*ABS(E59),0))</f>
        <v/>
      </c>
      <c r="AB59" s="454">
        <f t="shared" ref="AB59" si="55">IF($B59&gt;$I$37,0,IF($C59&gt;$E$10,AB58+AA59,IF($C59&lt;-$E$10,AB60-AA59,0)))</f>
        <v>0</v>
      </c>
      <c r="AC59" s="453" t="str">
        <f t="shared" ref="AC59" si="56">IF(J59="","",IF(ABS(E59)&gt;0,J59*ABS(E59),0))</f>
        <v/>
      </c>
      <c r="AD59" s="454">
        <f t="shared" ref="AD59" si="57">IF($B59&gt;$I$37,0,IF($C59&gt;$E$10,AD58+AC59,IF($C59&lt;-$E$10,AD60-AC59,0)))</f>
        <v>0</v>
      </c>
    </row>
    <row r="60" spans="1:30" ht="13.5" thickBot="1">
      <c r="A60" s="391" t="s">
        <v>670</v>
      </c>
      <c r="B60" s="1118"/>
      <c r="C60" s="1122"/>
      <c r="D60" s="1120"/>
      <c r="E60" s="1120"/>
      <c r="F60" s="1121"/>
      <c r="G60" s="270"/>
      <c r="H60" s="270"/>
      <c r="I60" s="271"/>
      <c r="J60" s="271"/>
      <c r="K60" s="271"/>
      <c r="M60" s="398"/>
      <c r="N60" s="1352">
        <f>IF(ABS(MAX(O40:O59))&gt;ABS(MIN(O40:O59)),MAX(O40:O59),MIN(O40:O59))</f>
        <v>-316.57375000000002</v>
      </c>
      <c r="P60" s="1353"/>
      <c r="Q60" s="1353"/>
      <c r="R60" s="1353"/>
      <c r="S60" s="458"/>
      <c r="T60" s="458"/>
      <c r="U60" s="458"/>
      <c r="V60" s="459"/>
      <c r="Y60" s="1366"/>
      <c r="Z60" s="1367"/>
      <c r="AC60" s="1366"/>
      <c r="AD60" s="1367"/>
    </row>
    <row r="61" spans="1:30" ht="11.25" customHeight="1">
      <c r="J61" s="252"/>
      <c r="K61" s="252"/>
      <c r="N61" s="1354" t="s">
        <v>712</v>
      </c>
      <c r="O61" s="1355">
        <f>MAX(O40:O59)</f>
        <v>305.81875000000002</v>
      </c>
      <c r="P61" s="1368">
        <f>MAX(P40:P59)</f>
        <v>4.5</v>
      </c>
      <c r="Q61" s="1355">
        <f>MAX(Q40:Q59)</f>
        <v>245.99993953136808</v>
      </c>
      <c r="R61" s="1355">
        <f>MAX(R40:R59)</f>
        <v>49.585609433106576</v>
      </c>
      <c r="S61" s="1369"/>
      <c r="T61" s="1369"/>
      <c r="U61" s="1370"/>
      <c r="V61" s="1371"/>
      <c r="W61" s="1356" t="s">
        <v>712</v>
      </c>
      <c r="X61" s="1358">
        <f>MAX(X40:X59)</f>
        <v>3276.302916666667</v>
      </c>
      <c r="Y61" s="1361"/>
      <c r="Z61" s="1362">
        <f>MAX(Z40:Z59)</f>
        <v>52.500000000000007</v>
      </c>
      <c r="AA61" s="1360"/>
      <c r="AB61" s="1358">
        <f>MAX(AB40:AB59)</f>
        <v>2869.999294532628</v>
      </c>
      <c r="AC61" s="1364"/>
      <c r="AD61" s="1362">
        <f>MAX(AD40:AD59)</f>
        <v>578.49877671957677</v>
      </c>
    </row>
    <row r="62" spans="1:30" ht="11.25" customHeight="1" thickBot="1">
      <c r="N62" s="456" t="s">
        <v>713</v>
      </c>
      <c r="O62" s="457">
        <f>MIN(O40:O59)</f>
        <v>-316.57375000000002</v>
      </c>
      <c r="P62" s="1353">
        <f>MIN(P40:P59)</f>
        <v>-4.5</v>
      </c>
      <c r="Q62" s="457">
        <f>MIN(Q40:Q59)</f>
        <v>-245.99993953136808</v>
      </c>
      <c r="R62" s="457">
        <f>MIN(R40:R59)</f>
        <v>-49.585609433106576</v>
      </c>
      <c r="S62" s="458"/>
      <c r="T62" s="458"/>
      <c r="U62" s="1372"/>
      <c r="V62" s="459"/>
      <c r="W62" s="1357" t="s">
        <v>713</v>
      </c>
      <c r="X62" s="1359">
        <f>MIN(X40:X59)</f>
        <v>-3480.6479166666645</v>
      </c>
      <c r="Y62" s="1363"/>
      <c r="Z62" s="461">
        <f>MIN(Z40:Z59)</f>
        <v>-52.499999999999972</v>
      </c>
      <c r="AA62" s="460"/>
      <c r="AB62" s="1359">
        <f>MIN(AB40:AB59)</f>
        <v>-2869.9992945326262</v>
      </c>
      <c r="AC62" s="1365"/>
      <c r="AD62" s="461">
        <f>MIN(AD40:AD59)</f>
        <v>-578.49877671957643</v>
      </c>
    </row>
    <row r="63" spans="1:30">
      <c r="B63" s="227" t="s">
        <v>1039</v>
      </c>
    </row>
    <row r="64" spans="1:30">
      <c r="B64" s="227"/>
      <c r="H64" s="1599"/>
      <c r="I64" s="1599"/>
      <c r="J64" s="1599"/>
      <c r="K64" s="1599"/>
    </row>
    <row r="65" spans="2:16" ht="15.75">
      <c r="D65" s="1601" t="s">
        <v>1044</v>
      </c>
      <c r="E65" s="1601"/>
      <c r="F65" s="1601" t="s">
        <v>890</v>
      </c>
      <c r="G65" s="1601"/>
      <c r="H65" s="1601" t="s">
        <v>997</v>
      </c>
      <c r="I65" s="1601"/>
      <c r="J65" s="1601" t="s">
        <v>1008</v>
      </c>
      <c r="K65" s="1601"/>
    </row>
    <row r="66" spans="2:16">
      <c r="C66" s="17" t="s">
        <v>1035</v>
      </c>
      <c r="D66" s="1602">
        <f>O35+O61</f>
        <v>563.58187500000008</v>
      </c>
      <c r="E66" s="1602"/>
      <c r="F66" s="1602">
        <f>P35+P61</f>
        <v>8.25</v>
      </c>
      <c r="G66" s="1602"/>
      <c r="H66" s="1603">
        <f>Q35+Q61</f>
        <v>342.93721300075583</v>
      </c>
      <c r="I66" s="1603"/>
      <c r="J66" s="1603">
        <f>R35+R61</f>
        <v>55.246267501133786</v>
      </c>
      <c r="K66" s="1603"/>
      <c r="N66" s="473"/>
      <c r="O66" s="473"/>
      <c r="P66" s="473"/>
    </row>
    <row r="67" spans="2:16">
      <c r="C67" s="17" t="s">
        <v>872</v>
      </c>
      <c r="D67" s="1602">
        <f>-(O36+O62)</f>
        <v>586.28687500000001</v>
      </c>
      <c r="E67" s="1602"/>
      <c r="F67" s="1602">
        <f>-(P36+P62)</f>
        <v>8.25</v>
      </c>
      <c r="G67" s="1602"/>
      <c r="H67" s="1602">
        <f>-Q36-Q62</f>
        <v>342.93721300075583</v>
      </c>
      <c r="I67" s="1602"/>
      <c r="J67" s="1602">
        <f>-R36-R62</f>
        <v>55.246267501133786</v>
      </c>
      <c r="K67" s="1602"/>
      <c r="N67" s="473"/>
      <c r="O67" s="473"/>
      <c r="P67" s="473"/>
    </row>
    <row r="68" spans="2:16">
      <c r="K68" s="18"/>
    </row>
    <row r="69" spans="2:16">
      <c r="B69" s="227" t="s">
        <v>1017</v>
      </c>
      <c r="H69" s="268"/>
      <c r="J69" s="268"/>
      <c r="K69" s="1117"/>
    </row>
    <row r="70" spans="2:16" ht="15.75">
      <c r="D70" s="1601" t="s">
        <v>1044</v>
      </c>
      <c r="E70" s="1601"/>
      <c r="F70" s="1601" t="s">
        <v>890</v>
      </c>
      <c r="G70" s="1601"/>
      <c r="H70" s="1601" t="s">
        <v>997</v>
      </c>
      <c r="I70" s="1601"/>
      <c r="J70" s="1601" t="s">
        <v>1008</v>
      </c>
      <c r="K70" s="1601"/>
    </row>
    <row r="71" spans="2:16">
      <c r="C71" s="17" t="s">
        <v>1035</v>
      </c>
      <c r="D71" s="1605">
        <f>-(X35+X61)</f>
        <v>-6018.645625000001</v>
      </c>
      <c r="E71" s="1605"/>
      <c r="F71" s="1605">
        <f>-(Z35+Z61)</f>
        <v>-96.25</v>
      </c>
      <c r="G71" s="1605"/>
      <c r="H71" s="1604">
        <f>-MAX(AB35+AB61)</f>
        <v>-4000.9341516754853</v>
      </c>
      <c r="I71" s="1604"/>
      <c r="J71" s="1604">
        <f>-MAX(AD35+AD61)</f>
        <v>-644.53978751322757</v>
      </c>
      <c r="K71" s="1604"/>
      <c r="N71" s="473"/>
      <c r="O71" s="473"/>
      <c r="P71" s="473"/>
    </row>
    <row r="72" spans="2:16">
      <c r="C72" s="17" t="s">
        <v>872</v>
      </c>
      <c r="D72" s="1605">
        <f>(X36+X62)</f>
        <v>-6450.040624999996</v>
      </c>
      <c r="E72" s="1605"/>
      <c r="F72" s="1605">
        <f>(Z36+Z62)</f>
        <v>-96.249999999999943</v>
      </c>
      <c r="G72" s="1605"/>
      <c r="H72" s="1605">
        <f>MIN(AB36+AB62)</f>
        <v>-4000.9341516754826</v>
      </c>
      <c r="I72" s="1605"/>
      <c r="J72" s="1605">
        <f>MIN(AD36+AD62)</f>
        <v>-644.53978751322722</v>
      </c>
      <c r="K72" s="1605"/>
      <c r="N72" s="473"/>
      <c r="O72" s="473"/>
      <c r="P72" s="473"/>
    </row>
    <row r="74" spans="2:16">
      <c r="B74" s="227" t="s">
        <v>1045</v>
      </c>
    </row>
    <row r="75" spans="2:16">
      <c r="D75" s="276" t="s">
        <v>1036</v>
      </c>
      <c r="E75" s="235" t="s">
        <v>1037</v>
      </c>
      <c r="F75" s="235" t="s">
        <v>1038</v>
      </c>
      <c r="G75" s="279" t="s">
        <v>537</v>
      </c>
      <c r="J75" s="235" t="s">
        <v>1046</v>
      </c>
      <c r="K75" s="276" t="s">
        <v>1047</v>
      </c>
    </row>
    <row r="76" spans="2:16">
      <c r="C76" s="17" t="s">
        <v>1035</v>
      </c>
      <c r="D76" s="259">
        <f>ColSpa1-halfeffectiveface/12</f>
        <v>21</v>
      </c>
      <c r="E76" s="273">
        <f>Geometry!K75/144*capdensity/1000</f>
        <v>3.375</v>
      </c>
      <c r="F76" s="277">
        <f>D76*E76</f>
        <v>70.875</v>
      </c>
      <c r="G76" s="278">
        <f>-E76*D76*D76/2</f>
        <v>-744.1875</v>
      </c>
      <c r="J76" s="275">
        <f>Geometry!K78*Geometry!G77*capdensity/1000</f>
        <v>0</v>
      </c>
      <c r="K76" s="278">
        <f>-J76*(D76-Geometry!G77/2)</f>
        <v>0</v>
      </c>
    </row>
    <row r="77" spans="2:16">
      <c r="C77" s="17" t="s">
        <v>872</v>
      </c>
      <c r="D77" s="260">
        <f>Geometry!G117-halfeffectiveface/12</f>
        <v>21</v>
      </c>
      <c r="E77" s="273">
        <f>Geometry!K75/144*capdensity/1000</f>
        <v>3.375</v>
      </c>
      <c r="F77" s="277">
        <f>D77*E77</f>
        <v>70.875</v>
      </c>
      <c r="G77" s="278">
        <f>-E77*D77*D77/2</f>
        <v>-744.1875</v>
      </c>
      <c r="J77" s="275">
        <f>Geometry!K78*Geometry!G78*capdensity/1000</f>
        <v>0</v>
      </c>
      <c r="K77" s="278">
        <f>-J77*(D77-Geometry!G78/2)</f>
        <v>0</v>
      </c>
    </row>
    <row r="79" spans="2:16">
      <c r="B79" s="227" t="s">
        <v>1053</v>
      </c>
      <c r="F79" s="278"/>
      <c r="G79" s="278"/>
    </row>
    <row r="80" spans="2:16">
      <c r="C80" t="s">
        <v>1038</v>
      </c>
      <c r="E80" s="235" t="s">
        <v>721</v>
      </c>
      <c r="F80" s="235" t="s">
        <v>890</v>
      </c>
      <c r="G80" s="235" t="s">
        <v>997</v>
      </c>
      <c r="H80" s="235" t="s">
        <v>1008</v>
      </c>
    </row>
    <row r="81" spans="2:10">
      <c r="D81" s="17" t="s">
        <v>1035</v>
      </c>
      <c r="E81" s="277">
        <f>D66+F76+J76</f>
        <v>634.45687500000008</v>
      </c>
      <c r="F81" s="277">
        <f>F66</f>
        <v>8.25</v>
      </c>
      <c r="G81" s="277">
        <f>H66</f>
        <v>342.93721300075583</v>
      </c>
      <c r="H81" s="277">
        <f>J66</f>
        <v>55.246267501133786</v>
      </c>
    </row>
    <row r="82" spans="2:10">
      <c r="D82" s="17" t="s">
        <v>872</v>
      </c>
      <c r="E82" s="277">
        <f>D67+F77+J77</f>
        <v>657.16187500000001</v>
      </c>
      <c r="F82" s="277">
        <f>F67</f>
        <v>8.25</v>
      </c>
      <c r="G82" s="277">
        <f>H67</f>
        <v>342.93721300075583</v>
      </c>
      <c r="H82" s="277">
        <f>J67</f>
        <v>55.246267501133786</v>
      </c>
    </row>
    <row r="83" spans="2:10" ht="6" customHeight="1">
      <c r="D83" s="17"/>
      <c r="E83" s="277"/>
      <c r="F83" s="277"/>
      <c r="G83" s="277"/>
      <c r="H83" s="277"/>
    </row>
    <row r="84" spans="2:10">
      <c r="C84" t="s">
        <v>537</v>
      </c>
      <c r="E84" s="235" t="s">
        <v>721</v>
      </c>
      <c r="F84" s="235" t="s">
        <v>890</v>
      </c>
      <c r="G84" s="235" t="s">
        <v>997</v>
      </c>
      <c r="H84" s="235" t="s">
        <v>1008</v>
      </c>
    </row>
    <row r="85" spans="2:10">
      <c r="D85" s="17" t="s">
        <v>1035</v>
      </c>
      <c r="E85" s="272">
        <f>D71+G76+K76</f>
        <v>-6762.833125000001</v>
      </c>
      <c r="F85" s="272">
        <f>F71</f>
        <v>-96.25</v>
      </c>
      <c r="G85" s="272">
        <f>H71</f>
        <v>-4000.9341516754853</v>
      </c>
      <c r="H85" s="272">
        <f>J71</f>
        <v>-644.53978751322757</v>
      </c>
    </row>
    <row r="86" spans="2:10">
      <c r="D86" s="17" t="s">
        <v>872</v>
      </c>
      <c r="E86" s="272">
        <f>D72+G77+K77</f>
        <v>-7194.228124999996</v>
      </c>
      <c r="F86" s="272">
        <f>F72</f>
        <v>-96.249999999999943</v>
      </c>
      <c r="G86" s="272">
        <f>H72</f>
        <v>-4000.9341516754826</v>
      </c>
      <c r="H86" s="272">
        <f>J72</f>
        <v>-644.53978751322722</v>
      </c>
    </row>
    <row r="88" spans="2:10">
      <c r="B88" s="227" t="s">
        <v>1048</v>
      </c>
    </row>
    <row r="89" spans="2:10">
      <c r="C89" s="22" t="s">
        <v>1061</v>
      </c>
    </row>
    <row r="90" spans="2:10">
      <c r="C90" s="285" t="s">
        <v>1054</v>
      </c>
      <c r="D90" s="282">
        <v>1</v>
      </c>
      <c r="F90" t="s">
        <v>1058</v>
      </c>
    </row>
    <row r="91" spans="2:10">
      <c r="C91" s="286" t="s">
        <v>1055</v>
      </c>
      <c r="D91" s="283">
        <v>1</v>
      </c>
      <c r="G91" s="280" t="s">
        <v>1038</v>
      </c>
      <c r="H91" s="32"/>
      <c r="I91" s="280" t="s">
        <v>537</v>
      </c>
      <c r="J91" s="32"/>
    </row>
    <row r="92" spans="2:10">
      <c r="C92" s="286" t="s">
        <v>1056</v>
      </c>
      <c r="D92" s="283">
        <v>1</v>
      </c>
      <c r="F92" s="17" t="s">
        <v>1035</v>
      </c>
      <c r="G92" s="200">
        <f t="array" ref="G92:G93">MMULT(E81:H82,D90:D93)</f>
        <v>1040.8903555018896</v>
      </c>
      <c r="H92" t="s">
        <v>341</v>
      </c>
      <c r="I92" s="200">
        <f t="array" ref="I92:I93">MMULT(E85:H86,D90:D93)</f>
        <v>-11504.557064188713</v>
      </c>
      <c r="J92" t="s">
        <v>400</v>
      </c>
    </row>
    <row r="93" spans="2:10">
      <c r="C93" s="287" t="s">
        <v>1057</v>
      </c>
      <c r="D93" s="284">
        <v>1</v>
      </c>
      <c r="F93" s="17" t="s">
        <v>872</v>
      </c>
      <c r="G93" s="200">
        <v>1063.5953555018896</v>
      </c>
      <c r="H93" t="s">
        <v>341</v>
      </c>
      <c r="I93" s="200">
        <v>-11935.952064188707</v>
      </c>
      <c r="J93" t="s">
        <v>400</v>
      </c>
    </row>
    <row r="95" spans="2:10">
      <c r="B95" s="227" t="s">
        <v>91</v>
      </c>
    </row>
    <row r="96" spans="2:10">
      <c r="B96" s="46"/>
      <c r="C96" s="22" t="s">
        <v>1051</v>
      </c>
    </row>
    <row r="97" spans="1:10">
      <c r="C97" s="285" t="s">
        <v>1054</v>
      </c>
      <c r="D97" s="282">
        <v>1.25</v>
      </c>
      <c r="F97" t="s">
        <v>1052</v>
      </c>
    </row>
    <row r="98" spans="1:10">
      <c r="C98" s="286" t="s">
        <v>1055</v>
      </c>
      <c r="D98" s="283">
        <v>1.5</v>
      </c>
      <c r="G98" s="280" t="s">
        <v>1038</v>
      </c>
      <c r="H98" s="32"/>
      <c r="I98" s="280" t="s">
        <v>537</v>
      </c>
      <c r="J98" s="32"/>
    </row>
    <row r="99" spans="1:10">
      <c r="C99" s="286" t="s">
        <v>1056</v>
      </c>
      <c r="D99" s="283">
        <v>1.75</v>
      </c>
      <c r="F99" s="17" t="s">
        <v>1035</v>
      </c>
      <c r="G99" s="200">
        <f t="array" ref="G99:G100">MMULT(E81:H82,D97:D100)</f>
        <v>1502.2671846283069</v>
      </c>
      <c r="H99" t="s">
        <v>341</v>
      </c>
      <c r="I99" s="200">
        <f t="array" ref="I99:I100">MMULT(E85:H86,D97:D100)</f>
        <v>-16727.495799830249</v>
      </c>
      <c r="J99" t="s">
        <v>400</v>
      </c>
    </row>
    <row r="100" spans="1:10">
      <c r="C100" s="287" t="s">
        <v>1057</v>
      </c>
      <c r="D100" s="284">
        <v>1.75</v>
      </c>
      <c r="F100" s="17" t="s">
        <v>872</v>
      </c>
      <c r="G100" s="200">
        <v>1530.6484346283069</v>
      </c>
      <c r="H100" t="s">
        <v>341</v>
      </c>
      <c r="I100" s="200">
        <v>-17266.739549830236</v>
      </c>
      <c r="J100" t="s">
        <v>400</v>
      </c>
    </row>
    <row r="102" spans="1:10">
      <c r="B102" s="227" t="s">
        <v>546</v>
      </c>
    </row>
    <row r="103" spans="1:10" ht="14.25">
      <c r="C103" s="36" t="s">
        <v>1060</v>
      </c>
      <c r="D103" s="281">
        <f>MIN(E85+F85,E86+F86)</f>
        <v>-7290.478124999996</v>
      </c>
      <c r="E103" s="44" t="s">
        <v>400</v>
      </c>
    </row>
    <row r="104" spans="1:10">
      <c r="C104" s="36" t="s">
        <v>1059</v>
      </c>
      <c r="D104" s="281">
        <f>MIN(I92:I93)</f>
        <v>-11935.952064188707</v>
      </c>
      <c r="E104" s="44" t="s">
        <v>400</v>
      </c>
    </row>
    <row r="105" spans="1:10">
      <c r="C105" s="36" t="s">
        <v>1049</v>
      </c>
      <c r="D105" s="281">
        <f>MAX(G99:G100)</f>
        <v>1530.6484346283069</v>
      </c>
      <c r="E105" s="44" t="str">
        <f>IF(CapType = "Inverted-Tee","k    ← See Inverted Tee Calc's for Equivalent Design Shear Force","k")</f>
        <v>k</v>
      </c>
      <c r="F105" s="1124"/>
    </row>
    <row r="106" spans="1:10">
      <c r="C106" s="36" t="s">
        <v>1050</v>
      </c>
      <c r="D106" s="281">
        <f>MIN(I99:I100)</f>
        <v>-17266.739549830236</v>
      </c>
      <c r="E106" s="44" t="s">
        <v>400</v>
      </c>
    </row>
    <row r="108" spans="1:10" s="337" customFormat="1">
      <c r="A108" s="358"/>
    </row>
    <row r="109" spans="1:10" s="337" customFormat="1">
      <c r="A109" s="358"/>
    </row>
    <row r="110" spans="1:10" s="337" customFormat="1">
      <c r="A110" s="358"/>
    </row>
    <row r="111" spans="1:10" s="337" customFormat="1">
      <c r="A111" s="358"/>
    </row>
    <row r="112" spans="1:10" s="337" customFormat="1">
      <c r="A112" s="358"/>
    </row>
    <row r="113" spans="1:1" s="337" customFormat="1">
      <c r="A113" s="358"/>
    </row>
    <row r="114" spans="1:1" s="337" customFormat="1">
      <c r="A114" s="358"/>
    </row>
    <row r="115" spans="1:1" s="337" customFormat="1">
      <c r="A115" s="358"/>
    </row>
    <row r="116" spans="1:1" s="337" customFormat="1">
      <c r="A116" s="358"/>
    </row>
    <row r="117" spans="1:1" s="337" customFormat="1">
      <c r="A117" s="358"/>
    </row>
    <row r="118" spans="1:1" s="337" customFormat="1">
      <c r="A118" s="358"/>
    </row>
    <row r="119" spans="1:1" s="337" customFormat="1">
      <c r="A119" s="358"/>
    </row>
    <row r="120" spans="1:1" s="337" customFormat="1">
      <c r="A120" s="358"/>
    </row>
    <row r="121" spans="1:1" s="337" customFormat="1">
      <c r="A121" s="358"/>
    </row>
    <row r="122" spans="1:1" s="337" customFormat="1">
      <c r="A122" s="358"/>
    </row>
    <row r="123" spans="1:1" s="337" customFormat="1">
      <c r="A123" s="358"/>
    </row>
    <row r="124" spans="1:1" s="337" customFormat="1">
      <c r="A124" s="358"/>
    </row>
    <row r="125" spans="1:1" s="337" customFormat="1">
      <c r="A125" s="358"/>
    </row>
    <row r="126" spans="1:1" s="337" customFormat="1">
      <c r="A126" s="358"/>
    </row>
    <row r="127" spans="1:1" s="337" customFormat="1">
      <c r="A127" s="358"/>
    </row>
    <row r="128" spans="1:1" s="337" customFormat="1">
      <c r="A128" s="358"/>
    </row>
    <row r="129" spans="1:1" s="337" customFormat="1">
      <c r="A129" s="358"/>
    </row>
    <row r="130" spans="1:1" s="337" customFormat="1">
      <c r="A130" s="358"/>
    </row>
    <row r="131" spans="1:1" s="337" customFormat="1">
      <c r="A131" s="358"/>
    </row>
    <row r="132" spans="1:1" s="337" customFormat="1">
      <c r="A132" s="358"/>
    </row>
    <row r="133" spans="1:1" s="337" customFormat="1">
      <c r="A133" s="358"/>
    </row>
    <row r="134" spans="1:1" s="337" customFormat="1">
      <c r="A134" s="358"/>
    </row>
    <row r="135" spans="1:1" s="337" customFormat="1">
      <c r="A135" s="358"/>
    </row>
    <row r="136" spans="1:1" s="337" customFormat="1">
      <c r="A136" s="358"/>
    </row>
    <row r="137" spans="1:1" s="337" customFormat="1">
      <c r="A137" s="358"/>
    </row>
    <row r="138" spans="1:1" s="337" customFormat="1">
      <c r="A138" s="358"/>
    </row>
    <row r="139" spans="1:1" s="337" customFormat="1">
      <c r="A139" s="358"/>
    </row>
    <row r="140" spans="1:1" s="337" customFormat="1">
      <c r="A140" s="358"/>
    </row>
    <row r="141" spans="1:1" s="337" customFormat="1">
      <c r="A141" s="358"/>
    </row>
    <row r="142" spans="1:1" s="337" customFormat="1">
      <c r="A142" s="358"/>
    </row>
    <row r="143" spans="1:1" s="337" customFormat="1">
      <c r="A143" s="358"/>
    </row>
    <row r="144" spans="1:1" s="337" customFormat="1">
      <c r="A144" s="358"/>
    </row>
    <row r="145" spans="1:1" s="337" customFormat="1">
      <c r="A145" s="358"/>
    </row>
    <row r="146" spans="1:1" s="337" customFormat="1">
      <c r="A146" s="358"/>
    </row>
    <row r="147" spans="1:1" s="337" customFormat="1">
      <c r="A147" s="358"/>
    </row>
    <row r="148" spans="1:1" s="337" customFormat="1">
      <c r="A148" s="358"/>
    </row>
    <row r="149" spans="1:1" s="337" customFormat="1">
      <c r="A149" s="358"/>
    </row>
    <row r="150" spans="1:1" s="337" customFormat="1">
      <c r="A150" s="358"/>
    </row>
    <row r="151" spans="1:1" s="337" customFormat="1">
      <c r="A151" s="358"/>
    </row>
    <row r="152" spans="1:1" s="337" customFormat="1">
      <c r="A152" s="358"/>
    </row>
    <row r="153" spans="1:1" s="337" customFormat="1">
      <c r="A153" s="358"/>
    </row>
    <row r="154" spans="1:1" s="337" customFormat="1">
      <c r="A154" s="358"/>
    </row>
    <row r="155" spans="1:1" s="337" customFormat="1">
      <c r="A155" s="358"/>
    </row>
    <row r="156" spans="1:1" s="337" customFormat="1">
      <c r="A156" s="358"/>
    </row>
    <row r="157" spans="1:1" s="337" customFormat="1">
      <c r="A157" s="358"/>
    </row>
    <row r="158" spans="1:1" s="337" customFormat="1">
      <c r="A158" s="358"/>
    </row>
    <row r="159" spans="1:1" s="337" customFormat="1">
      <c r="A159" s="358"/>
    </row>
    <row r="160" spans="1:1" s="337" customFormat="1">
      <c r="A160" s="358"/>
    </row>
    <row r="161" spans="1:1" s="337" customFormat="1">
      <c r="A161" s="358"/>
    </row>
    <row r="162" spans="1:1" s="337" customFormat="1">
      <c r="A162" s="358"/>
    </row>
    <row r="163" spans="1:1" s="337" customFormat="1">
      <c r="A163" s="358"/>
    </row>
    <row r="164" spans="1:1" s="337" customFormat="1">
      <c r="A164" s="358"/>
    </row>
    <row r="165" spans="1:1" s="337" customFormat="1">
      <c r="A165" s="358"/>
    </row>
    <row r="166" spans="1:1" s="337" customFormat="1">
      <c r="A166" s="358"/>
    </row>
    <row r="167" spans="1:1" s="337" customFormat="1">
      <c r="A167" s="358"/>
    </row>
    <row r="168" spans="1:1" s="337" customFormat="1">
      <c r="A168" s="358"/>
    </row>
    <row r="169" spans="1:1" s="337" customFormat="1">
      <c r="A169" s="358"/>
    </row>
    <row r="170" spans="1:1" s="337" customFormat="1">
      <c r="A170" s="358"/>
    </row>
    <row r="171" spans="1:1" s="337" customFormat="1">
      <c r="A171" s="358"/>
    </row>
    <row r="172" spans="1:1" s="337" customFormat="1">
      <c r="A172" s="358"/>
    </row>
    <row r="173" spans="1:1" s="337" customFormat="1">
      <c r="A173" s="358"/>
    </row>
    <row r="174" spans="1:1" s="337" customFormat="1">
      <c r="A174" s="358"/>
    </row>
    <row r="175" spans="1:1" s="337" customFormat="1">
      <c r="A175" s="358"/>
    </row>
    <row r="176" spans="1:1" s="337" customFormat="1">
      <c r="A176" s="358"/>
    </row>
    <row r="177" spans="1:1" s="337" customFormat="1">
      <c r="A177" s="358"/>
    </row>
    <row r="178" spans="1:1" s="337" customFormat="1">
      <c r="A178" s="358"/>
    </row>
    <row r="179" spans="1:1" s="337" customFormat="1">
      <c r="A179" s="358"/>
    </row>
    <row r="180" spans="1:1" s="337" customFormat="1">
      <c r="A180" s="358"/>
    </row>
    <row r="181" spans="1:1" s="337" customFormat="1">
      <c r="A181" s="358"/>
    </row>
    <row r="182" spans="1:1" s="337" customFormat="1">
      <c r="A182" s="358"/>
    </row>
    <row r="183" spans="1:1" s="337" customFormat="1">
      <c r="A183" s="358"/>
    </row>
    <row r="184" spans="1:1" s="337" customFormat="1">
      <c r="A184" s="358"/>
    </row>
    <row r="185" spans="1:1" s="337" customFormat="1">
      <c r="A185" s="358"/>
    </row>
    <row r="186" spans="1:1" s="337" customFormat="1">
      <c r="A186" s="358"/>
    </row>
    <row r="187" spans="1:1" s="337" customFormat="1">
      <c r="A187" s="358"/>
    </row>
    <row r="188" spans="1:1" s="337" customFormat="1">
      <c r="A188" s="358"/>
    </row>
    <row r="189" spans="1:1" s="337" customFormat="1">
      <c r="A189" s="358"/>
    </row>
    <row r="190" spans="1:1" s="337" customFormat="1">
      <c r="A190" s="358"/>
    </row>
    <row r="191" spans="1:1" s="337" customFormat="1">
      <c r="A191" s="358"/>
    </row>
    <row r="192" spans="1:1" s="337" customFormat="1">
      <c r="A192" s="358"/>
    </row>
    <row r="193" spans="1:1" s="337" customFormat="1">
      <c r="A193" s="358"/>
    </row>
    <row r="194" spans="1:1" s="337" customFormat="1">
      <c r="A194" s="358"/>
    </row>
    <row r="195" spans="1:1" s="337" customFormat="1">
      <c r="A195" s="358"/>
    </row>
    <row r="196" spans="1:1" s="337" customFormat="1">
      <c r="A196" s="358"/>
    </row>
    <row r="197" spans="1:1" s="337" customFormat="1">
      <c r="A197" s="358"/>
    </row>
    <row r="198" spans="1:1" s="337" customFormat="1">
      <c r="A198" s="358"/>
    </row>
    <row r="199" spans="1:1" s="337" customFormat="1">
      <c r="A199" s="358"/>
    </row>
    <row r="200" spans="1:1" s="337" customFormat="1">
      <c r="A200" s="358"/>
    </row>
    <row r="201" spans="1:1" s="337" customFormat="1">
      <c r="A201" s="358"/>
    </row>
    <row r="202" spans="1:1" s="337" customFormat="1">
      <c r="A202" s="358"/>
    </row>
    <row r="203" spans="1:1" s="337" customFormat="1">
      <c r="A203" s="358"/>
    </row>
    <row r="204" spans="1:1" s="337" customFormat="1">
      <c r="A204" s="358"/>
    </row>
    <row r="205" spans="1:1" s="337" customFormat="1">
      <c r="A205" s="358"/>
    </row>
    <row r="206" spans="1:1" s="337" customFormat="1">
      <c r="A206" s="358"/>
    </row>
    <row r="207" spans="1:1" s="337" customFormat="1">
      <c r="A207" s="358"/>
    </row>
    <row r="208" spans="1:1" s="337" customFormat="1">
      <c r="A208" s="358"/>
    </row>
    <row r="209" spans="1:1" s="337" customFormat="1">
      <c r="A209" s="358"/>
    </row>
    <row r="210" spans="1:1" s="337" customFormat="1">
      <c r="A210" s="358"/>
    </row>
    <row r="211" spans="1:1" s="337" customFormat="1">
      <c r="A211" s="358"/>
    </row>
    <row r="212" spans="1:1" s="337" customFormat="1">
      <c r="A212" s="358"/>
    </row>
    <row r="213" spans="1:1" s="337" customFormat="1">
      <c r="A213" s="358"/>
    </row>
    <row r="214" spans="1:1" s="337" customFormat="1">
      <c r="A214" s="358"/>
    </row>
    <row r="215" spans="1:1" s="337" customFormat="1">
      <c r="A215" s="358"/>
    </row>
    <row r="216" spans="1:1" s="337" customFormat="1">
      <c r="A216" s="358"/>
    </row>
    <row r="217" spans="1:1" s="337" customFormat="1">
      <c r="A217" s="358"/>
    </row>
    <row r="218" spans="1:1" s="337" customFormat="1">
      <c r="A218" s="358"/>
    </row>
    <row r="219" spans="1:1" s="337" customFormat="1">
      <c r="A219" s="358"/>
    </row>
    <row r="220" spans="1:1" s="337" customFormat="1">
      <c r="A220" s="358"/>
    </row>
    <row r="221" spans="1:1" s="337" customFormat="1">
      <c r="A221" s="358"/>
    </row>
    <row r="222" spans="1:1" s="337" customFormat="1">
      <c r="A222" s="358"/>
    </row>
    <row r="223" spans="1:1" s="337" customFormat="1">
      <c r="A223" s="358"/>
    </row>
    <row r="224" spans="1:1" s="337" customFormat="1">
      <c r="A224" s="358"/>
    </row>
    <row r="225" spans="1:1" s="337" customFormat="1">
      <c r="A225" s="358"/>
    </row>
    <row r="226" spans="1:1" s="337" customFormat="1">
      <c r="A226" s="358"/>
    </row>
    <row r="227" spans="1:1" s="337" customFormat="1">
      <c r="A227" s="358"/>
    </row>
    <row r="228" spans="1:1" s="337" customFormat="1">
      <c r="A228" s="358"/>
    </row>
    <row r="229" spans="1:1" s="337" customFormat="1">
      <c r="A229" s="358"/>
    </row>
    <row r="230" spans="1:1" s="337" customFormat="1">
      <c r="A230" s="358"/>
    </row>
    <row r="231" spans="1:1" s="337" customFormat="1">
      <c r="A231" s="358"/>
    </row>
    <row r="232" spans="1:1" s="337" customFormat="1">
      <c r="A232" s="358"/>
    </row>
    <row r="233" spans="1:1" s="337" customFormat="1">
      <c r="A233" s="358"/>
    </row>
    <row r="234" spans="1:1" s="337" customFormat="1">
      <c r="A234" s="358"/>
    </row>
    <row r="235" spans="1:1" s="337" customFormat="1">
      <c r="A235" s="358"/>
    </row>
    <row r="236" spans="1:1" s="337" customFormat="1">
      <c r="A236" s="358"/>
    </row>
    <row r="237" spans="1:1" s="337" customFormat="1">
      <c r="A237" s="358"/>
    </row>
    <row r="238" spans="1:1" s="337" customFormat="1">
      <c r="A238" s="358"/>
    </row>
    <row r="239" spans="1:1" s="337" customFormat="1">
      <c r="A239" s="358"/>
    </row>
    <row r="240" spans="1:1" s="337" customFormat="1">
      <c r="A240" s="358"/>
    </row>
    <row r="241" spans="1:1" s="337" customFormat="1">
      <c r="A241" s="358"/>
    </row>
    <row r="242" spans="1:1" s="337" customFormat="1">
      <c r="A242" s="358"/>
    </row>
    <row r="243" spans="1:1" s="337" customFormat="1">
      <c r="A243" s="358"/>
    </row>
    <row r="244" spans="1:1" s="337" customFormat="1">
      <c r="A244" s="358"/>
    </row>
    <row r="245" spans="1:1" s="337" customFormat="1">
      <c r="A245" s="358"/>
    </row>
    <row r="246" spans="1:1" s="337" customFormat="1">
      <c r="A246" s="358"/>
    </row>
    <row r="247" spans="1:1" s="337" customFormat="1">
      <c r="A247" s="358"/>
    </row>
    <row r="248" spans="1:1" s="337" customFormat="1">
      <c r="A248" s="358"/>
    </row>
    <row r="249" spans="1:1" s="337" customFormat="1">
      <c r="A249" s="358"/>
    </row>
    <row r="250" spans="1:1" s="337" customFormat="1">
      <c r="A250" s="358"/>
    </row>
    <row r="251" spans="1:1" s="337" customFormat="1">
      <c r="A251" s="358"/>
    </row>
    <row r="252" spans="1:1" s="337" customFormat="1">
      <c r="A252" s="358"/>
    </row>
    <row r="253" spans="1:1" s="337" customFormat="1">
      <c r="A253" s="358"/>
    </row>
    <row r="254" spans="1:1" s="337" customFormat="1">
      <c r="A254" s="358"/>
    </row>
    <row r="255" spans="1:1" s="337" customFormat="1">
      <c r="A255" s="358"/>
    </row>
    <row r="256" spans="1:1" s="337" customFormat="1">
      <c r="A256" s="358"/>
    </row>
    <row r="257" spans="1:1" s="337" customFormat="1">
      <c r="A257" s="358"/>
    </row>
    <row r="258" spans="1:1" s="337" customFormat="1">
      <c r="A258" s="358"/>
    </row>
    <row r="259" spans="1:1" s="337" customFormat="1">
      <c r="A259" s="358"/>
    </row>
    <row r="260" spans="1:1" s="337" customFormat="1">
      <c r="A260" s="358"/>
    </row>
    <row r="261" spans="1:1" s="337" customFormat="1">
      <c r="A261" s="358"/>
    </row>
    <row r="262" spans="1:1" s="337" customFormat="1">
      <c r="A262" s="358"/>
    </row>
    <row r="263" spans="1:1" s="337" customFormat="1">
      <c r="A263" s="358"/>
    </row>
    <row r="264" spans="1:1" s="337" customFormat="1">
      <c r="A264" s="358"/>
    </row>
    <row r="265" spans="1:1" s="337" customFormat="1">
      <c r="A265" s="358"/>
    </row>
    <row r="266" spans="1:1" s="337" customFormat="1">
      <c r="A266" s="358"/>
    </row>
    <row r="267" spans="1:1" s="337" customFormat="1">
      <c r="A267" s="358"/>
    </row>
    <row r="268" spans="1:1" s="337" customFormat="1">
      <c r="A268" s="358"/>
    </row>
    <row r="269" spans="1:1" s="337" customFormat="1">
      <c r="A269" s="358"/>
    </row>
    <row r="270" spans="1:1" s="337" customFormat="1">
      <c r="A270" s="358"/>
    </row>
    <row r="271" spans="1:1" s="337" customFormat="1">
      <c r="A271" s="358"/>
    </row>
    <row r="272" spans="1:1" s="337" customFormat="1">
      <c r="A272" s="358"/>
    </row>
    <row r="273" spans="1:1" s="337" customFormat="1">
      <c r="A273" s="358"/>
    </row>
    <row r="274" spans="1:1" s="337" customFormat="1">
      <c r="A274" s="358"/>
    </row>
    <row r="275" spans="1:1" s="337" customFormat="1">
      <c r="A275" s="358"/>
    </row>
    <row r="276" spans="1:1" s="337" customFormat="1">
      <c r="A276" s="358"/>
    </row>
    <row r="277" spans="1:1" s="337" customFormat="1">
      <c r="A277" s="358"/>
    </row>
    <row r="278" spans="1:1" s="337" customFormat="1">
      <c r="A278" s="358"/>
    </row>
    <row r="279" spans="1:1" s="337" customFormat="1">
      <c r="A279" s="358"/>
    </row>
    <row r="280" spans="1:1" s="337" customFormat="1">
      <c r="A280" s="358"/>
    </row>
    <row r="281" spans="1:1" s="337" customFormat="1">
      <c r="A281" s="358"/>
    </row>
    <row r="282" spans="1:1" s="337" customFormat="1">
      <c r="A282" s="358"/>
    </row>
    <row r="283" spans="1:1" s="337" customFormat="1">
      <c r="A283" s="358"/>
    </row>
    <row r="284" spans="1:1" s="337" customFormat="1">
      <c r="A284" s="358"/>
    </row>
    <row r="285" spans="1:1" s="337" customFormat="1">
      <c r="A285" s="358"/>
    </row>
    <row r="286" spans="1:1" s="337" customFormat="1">
      <c r="A286" s="358"/>
    </row>
    <row r="287" spans="1:1" s="337" customFormat="1">
      <c r="A287" s="358"/>
    </row>
    <row r="288" spans="1:1" s="337" customFormat="1">
      <c r="A288" s="358"/>
    </row>
    <row r="289" spans="1:1" s="337" customFormat="1">
      <c r="A289" s="358"/>
    </row>
    <row r="290" spans="1:1" s="337" customFormat="1">
      <c r="A290" s="358"/>
    </row>
    <row r="291" spans="1:1" s="337" customFormat="1">
      <c r="A291" s="358"/>
    </row>
    <row r="292" spans="1:1" s="337" customFormat="1">
      <c r="A292" s="358"/>
    </row>
    <row r="293" spans="1:1" s="337" customFormat="1">
      <c r="A293" s="358"/>
    </row>
    <row r="294" spans="1:1" s="337" customFormat="1">
      <c r="A294" s="358"/>
    </row>
    <row r="295" spans="1:1" s="337" customFormat="1">
      <c r="A295" s="358"/>
    </row>
    <row r="296" spans="1:1" s="337" customFormat="1">
      <c r="A296" s="358"/>
    </row>
    <row r="297" spans="1:1" s="337" customFormat="1">
      <c r="A297" s="358"/>
    </row>
    <row r="298" spans="1:1" s="337" customFormat="1">
      <c r="A298" s="358"/>
    </row>
    <row r="299" spans="1:1" s="337" customFormat="1">
      <c r="A299" s="358"/>
    </row>
    <row r="300" spans="1:1" s="337" customFormat="1">
      <c r="A300" s="358"/>
    </row>
    <row r="301" spans="1:1" s="337" customFormat="1">
      <c r="A301" s="358"/>
    </row>
    <row r="302" spans="1:1" s="337" customFormat="1">
      <c r="A302" s="358"/>
    </row>
    <row r="303" spans="1:1" s="337" customFormat="1">
      <c r="A303" s="358"/>
    </row>
    <row r="304" spans="1:1" s="337" customFormat="1">
      <c r="A304" s="358"/>
    </row>
    <row r="305" spans="1:1" s="337" customFormat="1">
      <c r="A305" s="358"/>
    </row>
    <row r="306" spans="1:1" s="337" customFormat="1">
      <c r="A306" s="358"/>
    </row>
    <row r="307" spans="1:1" s="337" customFormat="1">
      <c r="A307" s="358"/>
    </row>
    <row r="308" spans="1:1" s="337" customFormat="1">
      <c r="A308" s="358"/>
    </row>
    <row r="309" spans="1:1" s="337" customFormat="1">
      <c r="A309" s="358"/>
    </row>
    <row r="310" spans="1:1" s="337" customFormat="1">
      <c r="A310" s="358"/>
    </row>
    <row r="311" spans="1:1" s="337" customFormat="1">
      <c r="A311" s="358"/>
    </row>
    <row r="312" spans="1:1" s="337" customFormat="1">
      <c r="A312" s="358"/>
    </row>
    <row r="313" spans="1:1" s="337" customFormat="1">
      <c r="A313" s="358"/>
    </row>
    <row r="314" spans="1:1" s="337" customFormat="1">
      <c r="A314" s="358"/>
    </row>
    <row r="315" spans="1:1" s="337" customFormat="1">
      <c r="A315" s="358"/>
    </row>
    <row r="316" spans="1:1" s="337" customFormat="1">
      <c r="A316" s="358"/>
    </row>
    <row r="317" spans="1:1" s="337" customFormat="1">
      <c r="A317" s="358"/>
    </row>
    <row r="318" spans="1:1" s="337" customFormat="1">
      <c r="A318" s="358"/>
    </row>
    <row r="319" spans="1:1" s="337" customFormat="1">
      <c r="A319" s="358"/>
    </row>
    <row r="320" spans="1:1" s="337" customFormat="1">
      <c r="A320" s="358"/>
    </row>
    <row r="321" spans="1:1" s="337" customFormat="1">
      <c r="A321" s="358"/>
    </row>
    <row r="322" spans="1:1" s="337" customFormat="1">
      <c r="A322" s="358"/>
    </row>
    <row r="323" spans="1:1" s="337" customFormat="1">
      <c r="A323" s="358"/>
    </row>
    <row r="324" spans="1:1" s="337" customFormat="1">
      <c r="A324" s="358"/>
    </row>
    <row r="325" spans="1:1" s="337" customFormat="1">
      <c r="A325" s="358"/>
    </row>
    <row r="326" spans="1:1" s="337" customFormat="1">
      <c r="A326" s="358"/>
    </row>
    <row r="327" spans="1:1" s="337" customFormat="1">
      <c r="A327" s="358"/>
    </row>
    <row r="328" spans="1:1" s="337" customFormat="1">
      <c r="A328" s="358"/>
    </row>
    <row r="329" spans="1:1" s="337" customFormat="1">
      <c r="A329" s="358"/>
    </row>
    <row r="330" spans="1:1" s="337" customFormat="1">
      <c r="A330" s="358"/>
    </row>
    <row r="331" spans="1:1" s="337" customFormat="1">
      <c r="A331" s="358"/>
    </row>
    <row r="332" spans="1:1" s="337" customFormat="1">
      <c r="A332" s="358"/>
    </row>
    <row r="333" spans="1:1" s="337" customFormat="1">
      <c r="A333" s="358"/>
    </row>
    <row r="334" spans="1:1" s="337" customFormat="1">
      <c r="A334" s="358"/>
    </row>
    <row r="335" spans="1:1" s="337" customFormat="1">
      <c r="A335" s="358"/>
    </row>
    <row r="336" spans="1:1" s="337" customFormat="1">
      <c r="A336" s="358"/>
    </row>
    <row r="337" spans="1:1" s="337" customFormat="1">
      <c r="A337" s="358"/>
    </row>
    <row r="338" spans="1:1" s="337" customFormat="1">
      <c r="A338" s="358"/>
    </row>
    <row r="339" spans="1:1" s="337" customFormat="1">
      <c r="A339" s="358"/>
    </row>
    <row r="340" spans="1:1" s="337" customFormat="1">
      <c r="A340" s="358"/>
    </row>
    <row r="341" spans="1:1" s="337" customFormat="1">
      <c r="A341" s="358"/>
    </row>
    <row r="342" spans="1:1" s="337" customFormat="1">
      <c r="A342" s="358"/>
    </row>
    <row r="343" spans="1:1" s="337" customFormat="1">
      <c r="A343" s="358"/>
    </row>
    <row r="344" spans="1:1" s="337" customFormat="1">
      <c r="A344" s="358"/>
    </row>
    <row r="345" spans="1:1" s="337" customFormat="1">
      <c r="A345" s="358"/>
    </row>
    <row r="346" spans="1:1" s="337" customFormat="1">
      <c r="A346" s="358"/>
    </row>
    <row r="347" spans="1:1" s="337" customFormat="1">
      <c r="A347" s="358"/>
    </row>
    <row r="348" spans="1:1" s="337" customFormat="1">
      <c r="A348" s="358"/>
    </row>
    <row r="349" spans="1:1" s="337" customFormat="1">
      <c r="A349" s="358"/>
    </row>
    <row r="350" spans="1:1" s="337" customFormat="1">
      <c r="A350" s="358"/>
    </row>
    <row r="351" spans="1:1" s="337" customFormat="1">
      <c r="A351" s="358"/>
    </row>
    <row r="352" spans="1:1" s="337" customFormat="1">
      <c r="A352" s="358"/>
    </row>
    <row r="353" spans="1:1" s="337" customFormat="1">
      <c r="A353" s="358"/>
    </row>
    <row r="354" spans="1:1" s="337" customFormat="1">
      <c r="A354" s="358"/>
    </row>
    <row r="355" spans="1:1" s="337" customFormat="1">
      <c r="A355" s="358"/>
    </row>
    <row r="356" spans="1:1" s="337" customFormat="1">
      <c r="A356" s="358"/>
    </row>
    <row r="357" spans="1:1" s="337" customFormat="1">
      <c r="A357" s="358"/>
    </row>
    <row r="358" spans="1:1" s="337" customFormat="1">
      <c r="A358" s="358"/>
    </row>
    <row r="359" spans="1:1" s="337" customFormat="1">
      <c r="A359" s="358"/>
    </row>
    <row r="360" spans="1:1" s="337" customFormat="1">
      <c r="A360" s="358"/>
    </row>
    <row r="361" spans="1:1" s="337" customFormat="1">
      <c r="A361" s="358"/>
    </row>
    <row r="362" spans="1:1" s="337" customFormat="1">
      <c r="A362" s="358"/>
    </row>
    <row r="363" spans="1:1" s="337" customFormat="1">
      <c r="A363" s="358"/>
    </row>
    <row r="364" spans="1:1" s="337" customFormat="1">
      <c r="A364" s="358"/>
    </row>
    <row r="365" spans="1:1" s="337" customFormat="1">
      <c r="A365" s="358"/>
    </row>
    <row r="366" spans="1:1" s="337" customFormat="1">
      <c r="A366" s="358"/>
    </row>
    <row r="367" spans="1:1" s="337" customFormat="1">
      <c r="A367" s="358"/>
    </row>
    <row r="368" spans="1:1" s="337" customFormat="1">
      <c r="A368" s="358"/>
    </row>
    <row r="369" spans="1:1" s="337" customFormat="1">
      <c r="A369" s="358"/>
    </row>
    <row r="370" spans="1:1" s="337" customFormat="1">
      <c r="A370" s="358"/>
    </row>
    <row r="371" spans="1:1" s="337" customFormat="1">
      <c r="A371" s="358"/>
    </row>
    <row r="372" spans="1:1" s="337" customFormat="1">
      <c r="A372" s="358"/>
    </row>
    <row r="373" spans="1:1" s="337" customFormat="1">
      <c r="A373" s="358"/>
    </row>
    <row r="374" spans="1:1" s="337" customFormat="1">
      <c r="A374" s="358"/>
    </row>
    <row r="375" spans="1:1" s="337" customFormat="1">
      <c r="A375" s="358"/>
    </row>
    <row r="376" spans="1:1" s="337" customFormat="1">
      <c r="A376" s="358"/>
    </row>
    <row r="377" spans="1:1" s="337" customFormat="1">
      <c r="A377" s="358"/>
    </row>
    <row r="378" spans="1:1" s="337" customFormat="1">
      <c r="A378" s="358"/>
    </row>
    <row r="379" spans="1:1" s="337" customFormat="1">
      <c r="A379" s="358"/>
    </row>
    <row r="380" spans="1:1" s="337" customFormat="1">
      <c r="A380" s="358"/>
    </row>
    <row r="381" spans="1:1" s="337" customFormat="1">
      <c r="A381" s="358"/>
    </row>
    <row r="382" spans="1:1" s="337" customFormat="1">
      <c r="A382" s="358"/>
    </row>
    <row r="383" spans="1:1" s="337" customFormat="1">
      <c r="A383" s="358"/>
    </row>
    <row r="384" spans="1:1" s="337" customFormat="1">
      <c r="A384" s="358"/>
    </row>
    <row r="385" spans="1:1" s="337" customFormat="1">
      <c r="A385" s="358"/>
    </row>
    <row r="386" spans="1:1" s="337" customFormat="1">
      <c r="A386" s="358"/>
    </row>
    <row r="387" spans="1:1" s="337" customFormat="1">
      <c r="A387" s="358"/>
    </row>
    <row r="388" spans="1:1" s="337" customFormat="1">
      <c r="A388" s="358"/>
    </row>
    <row r="389" spans="1:1" s="337" customFormat="1">
      <c r="A389" s="358"/>
    </row>
    <row r="390" spans="1:1" s="337" customFormat="1">
      <c r="A390" s="358"/>
    </row>
    <row r="391" spans="1:1" s="337" customFormat="1">
      <c r="A391" s="358"/>
    </row>
    <row r="392" spans="1:1" s="337" customFormat="1">
      <c r="A392" s="358"/>
    </row>
    <row r="393" spans="1:1" s="337" customFormat="1">
      <c r="A393" s="358"/>
    </row>
    <row r="394" spans="1:1" s="337" customFormat="1">
      <c r="A394" s="358"/>
    </row>
    <row r="395" spans="1:1" s="337" customFormat="1">
      <c r="A395" s="358"/>
    </row>
    <row r="396" spans="1:1" s="337" customFormat="1">
      <c r="A396" s="358"/>
    </row>
    <row r="397" spans="1:1" s="337" customFormat="1">
      <c r="A397" s="358"/>
    </row>
    <row r="398" spans="1:1" s="337" customFormat="1">
      <c r="A398" s="358"/>
    </row>
    <row r="399" spans="1:1" s="337" customFormat="1">
      <c r="A399" s="358"/>
    </row>
    <row r="400" spans="1:1" s="337" customFormat="1">
      <c r="A400" s="358"/>
    </row>
    <row r="401" spans="1:1" s="337" customFormat="1">
      <c r="A401" s="358"/>
    </row>
    <row r="402" spans="1:1" s="337" customFormat="1">
      <c r="A402" s="358"/>
    </row>
    <row r="403" spans="1:1" s="337" customFormat="1">
      <c r="A403" s="358"/>
    </row>
    <row r="404" spans="1:1" s="337" customFormat="1">
      <c r="A404" s="358"/>
    </row>
    <row r="405" spans="1:1" s="337" customFormat="1">
      <c r="A405" s="358"/>
    </row>
    <row r="406" spans="1:1" s="337" customFormat="1">
      <c r="A406" s="358"/>
    </row>
    <row r="407" spans="1:1" s="337" customFormat="1">
      <c r="A407" s="358"/>
    </row>
    <row r="408" spans="1:1" s="337" customFormat="1">
      <c r="A408" s="358"/>
    </row>
    <row r="409" spans="1:1" s="337" customFormat="1">
      <c r="A409" s="358"/>
    </row>
    <row r="410" spans="1:1" s="337" customFormat="1">
      <c r="A410" s="358"/>
    </row>
    <row r="411" spans="1:1" s="337" customFormat="1">
      <c r="A411" s="358"/>
    </row>
    <row r="412" spans="1:1" s="337" customFormat="1">
      <c r="A412" s="358"/>
    </row>
    <row r="413" spans="1:1" s="337" customFormat="1">
      <c r="A413" s="358"/>
    </row>
    <row r="414" spans="1:1" s="337" customFormat="1">
      <c r="A414" s="358"/>
    </row>
    <row r="415" spans="1:1" s="337" customFormat="1">
      <c r="A415" s="358"/>
    </row>
    <row r="416" spans="1:1" s="337" customFormat="1">
      <c r="A416" s="358"/>
    </row>
    <row r="417" spans="1:1" s="337" customFormat="1">
      <c r="A417" s="358"/>
    </row>
    <row r="418" spans="1:1" s="337" customFormat="1">
      <c r="A418" s="358"/>
    </row>
    <row r="419" spans="1:1" s="337" customFormat="1">
      <c r="A419" s="358"/>
    </row>
    <row r="420" spans="1:1" s="337" customFormat="1">
      <c r="A420" s="358"/>
    </row>
    <row r="421" spans="1:1" s="337" customFormat="1">
      <c r="A421" s="358"/>
    </row>
    <row r="422" spans="1:1" s="337" customFormat="1">
      <c r="A422" s="358"/>
    </row>
    <row r="423" spans="1:1" s="337" customFormat="1">
      <c r="A423" s="358"/>
    </row>
  </sheetData>
  <sheetProtection algorithmName="SHA-512" hashValue="elEJdqeIkKsOGFlMxr8qYGjQU17G+C9Mlby6BS9BXCLekidLs3O75pTZanUa0L9yDxHTU+ExkgBr+6IVBu/6cw==" saltValue="P0jeIfOdkKxClt2FFF5VkQ==" spinCount="100000" sheet="1" objects="1" scenarios="1"/>
  <mergeCells count="134">
    <mergeCell ref="E32:F32"/>
    <mergeCell ref="E22:F22"/>
    <mergeCell ref="E23:F23"/>
    <mergeCell ref="E24:F24"/>
    <mergeCell ref="E31:F31"/>
    <mergeCell ref="E27:F27"/>
    <mergeCell ref="E29:F29"/>
    <mergeCell ref="E17:F17"/>
    <mergeCell ref="E18:F18"/>
    <mergeCell ref="E19:F19"/>
    <mergeCell ref="E20:F20"/>
    <mergeCell ref="E21:F21"/>
    <mergeCell ref="C53:D53"/>
    <mergeCell ref="C54:D54"/>
    <mergeCell ref="C55:D55"/>
    <mergeCell ref="C56:D56"/>
    <mergeCell ref="C57:D57"/>
    <mergeCell ref="C59:D59"/>
    <mergeCell ref="C19:D19"/>
    <mergeCell ref="C20:D20"/>
    <mergeCell ref="C21:D21"/>
    <mergeCell ref="C49:D49"/>
    <mergeCell ref="C32:D32"/>
    <mergeCell ref="C33:D33"/>
    <mergeCell ref="C58:D58"/>
    <mergeCell ref="C44:D44"/>
    <mergeCell ref="C45:D45"/>
    <mergeCell ref="C40:D40"/>
    <mergeCell ref="C41:D41"/>
    <mergeCell ref="C39:D39"/>
    <mergeCell ref="B37:E38"/>
    <mergeCell ref="E41:F41"/>
    <mergeCell ref="E42:F42"/>
    <mergeCell ref="E43:F43"/>
    <mergeCell ref="E44:F44"/>
    <mergeCell ref="E45:F45"/>
    <mergeCell ref="S11:V11"/>
    <mergeCell ref="V12:V13"/>
    <mergeCell ref="V38:V39"/>
    <mergeCell ref="E48:F48"/>
    <mergeCell ref="U12:U13"/>
    <mergeCell ref="T38:T39"/>
    <mergeCell ref="E26:F26"/>
    <mergeCell ref="B11:E12"/>
    <mergeCell ref="C48:D48"/>
    <mergeCell ref="C14:D14"/>
    <mergeCell ref="C15:D15"/>
    <mergeCell ref="C16:D16"/>
    <mergeCell ref="C17:D17"/>
    <mergeCell ref="T12:T13"/>
    <mergeCell ref="S12:S13"/>
    <mergeCell ref="C18:D18"/>
    <mergeCell ref="I12:J12"/>
    <mergeCell ref="K12:L12"/>
    <mergeCell ref="C13:D13"/>
    <mergeCell ref="E13:F13"/>
    <mergeCell ref="E14:F14"/>
    <mergeCell ref="E15:F15"/>
    <mergeCell ref="E16:F16"/>
    <mergeCell ref="E33:F33"/>
    <mergeCell ref="AC12:AD12"/>
    <mergeCell ref="Y38:Z38"/>
    <mergeCell ref="AA38:AB38"/>
    <mergeCell ref="AC38:AD38"/>
    <mergeCell ref="AA12:AB12"/>
    <mergeCell ref="Y12:Z12"/>
    <mergeCell ref="W12:X12"/>
    <mergeCell ref="E57:F57"/>
    <mergeCell ref="E59:F59"/>
    <mergeCell ref="E58:F58"/>
    <mergeCell ref="E56:F56"/>
    <mergeCell ref="E55:F55"/>
    <mergeCell ref="E53:F53"/>
    <mergeCell ref="E54:F54"/>
    <mergeCell ref="W38:X38"/>
    <mergeCell ref="S38:S39"/>
    <mergeCell ref="U38:U39"/>
    <mergeCell ref="E40:F40"/>
    <mergeCell ref="I38:J38"/>
    <mergeCell ref="K38:L38"/>
    <mergeCell ref="E39:F39"/>
    <mergeCell ref="E49:F49"/>
    <mergeCell ref="E46:F46"/>
    <mergeCell ref="E47:F47"/>
    <mergeCell ref="B8:L8"/>
    <mergeCell ref="E30:F30"/>
    <mergeCell ref="C28:D28"/>
    <mergeCell ref="E28:F28"/>
    <mergeCell ref="C27:D27"/>
    <mergeCell ref="E25:F25"/>
    <mergeCell ref="C50:D50"/>
    <mergeCell ref="C51:D51"/>
    <mergeCell ref="C52:D52"/>
    <mergeCell ref="E50:F50"/>
    <mergeCell ref="E51:F51"/>
    <mergeCell ref="E52:F52"/>
    <mergeCell ref="C29:D29"/>
    <mergeCell ref="C22:D22"/>
    <mergeCell ref="C30:D30"/>
    <mergeCell ref="C31:D31"/>
    <mergeCell ref="C23:D23"/>
    <mergeCell ref="C24:D24"/>
    <mergeCell ref="C25:D25"/>
    <mergeCell ref="C26:D26"/>
    <mergeCell ref="C46:D46"/>
    <mergeCell ref="C47:D47"/>
    <mergeCell ref="C42:D42"/>
    <mergeCell ref="C43:D43"/>
    <mergeCell ref="H70:I70"/>
    <mergeCell ref="J71:K71"/>
    <mergeCell ref="J72:K72"/>
    <mergeCell ref="H72:I72"/>
    <mergeCell ref="H71:I71"/>
    <mergeCell ref="H67:I67"/>
    <mergeCell ref="D67:E67"/>
    <mergeCell ref="D72:E72"/>
    <mergeCell ref="D70:E70"/>
    <mergeCell ref="F70:G70"/>
    <mergeCell ref="F72:G72"/>
    <mergeCell ref="D71:E71"/>
    <mergeCell ref="F71:G71"/>
    <mergeCell ref="F67:G67"/>
    <mergeCell ref="J67:K67"/>
    <mergeCell ref="J70:K70"/>
    <mergeCell ref="D65:E65"/>
    <mergeCell ref="F65:G65"/>
    <mergeCell ref="H65:I65"/>
    <mergeCell ref="J65:K65"/>
    <mergeCell ref="D66:E66"/>
    <mergeCell ref="F66:G66"/>
    <mergeCell ref="H66:I66"/>
    <mergeCell ref="J66:K66"/>
    <mergeCell ref="H64:I64"/>
    <mergeCell ref="J64:K6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62" min="1" max="11" man="1"/>
  </row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7"/>
  </sheetPr>
  <dimension ref="A1:BE287"/>
  <sheetViews>
    <sheetView showGridLines="0" view="pageBreakPreview" zoomScaleNormal="100" zoomScaleSheetLayoutView="100" workbookViewId="0">
      <selection activeCell="L65" sqref="L65"/>
    </sheetView>
  </sheetViews>
  <sheetFormatPr defaultColWidth="9.140625" defaultRowHeight="12.75"/>
  <cols>
    <col min="1" max="1" width="24.7109375" style="400" customWidth="1"/>
    <col min="2" max="2" width="8.7109375" style="37" customWidth="1"/>
    <col min="3" max="3" width="8.7109375" style="75" customWidth="1"/>
    <col min="4" max="7" width="8.7109375" style="37" customWidth="1"/>
    <col min="8" max="8" width="8.7109375" style="75" customWidth="1"/>
    <col min="9" max="12" width="8.7109375" style="37" customWidth="1"/>
    <col min="13" max="13" width="8.7109375" style="400" customWidth="1"/>
    <col min="14" max="14" width="9.140625" style="400"/>
    <col min="15" max="15" width="13.28515625" style="400" bestFit="1" customWidth="1"/>
    <col min="16" max="57" width="9.140625" style="400"/>
    <col min="58" max="16384" width="9.140625" style="37"/>
  </cols>
  <sheetData>
    <row r="1" spans="1:57" customFormat="1">
      <c r="A1" s="337"/>
      <c r="M1" s="337"/>
      <c r="N1" s="337"/>
      <c r="O1" s="337"/>
      <c r="P1" s="337"/>
      <c r="Q1" s="337"/>
      <c r="R1" s="337"/>
      <c r="S1" s="337"/>
      <c r="T1" s="337"/>
      <c r="U1" s="337"/>
      <c r="V1" s="337"/>
      <c r="W1" s="337"/>
      <c r="X1" s="337"/>
      <c r="Y1" s="337"/>
      <c r="Z1" s="337"/>
      <c r="AA1" s="337"/>
      <c r="AB1" s="337"/>
      <c r="AC1" s="337"/>
      <c r="AD1" s="337"/>
      <c r="AE1" s="337"/>
      <c r="AF1" s="337"/>
      <c r="AG1" s="337"/>
      <c r="AH1" s="337"/>
      <c r="AI1" s="337"/>
      <c r="AJ1" s="337"/>
      <c r="AK1" s="337"/>
      <c r="AL1" s="337"/>
      <c r="AM1" s="337"/>
      <c r="AN1" s="337"/>
      <c r="AO1" s="337"/>
      <c r="AP1" s="337"/>
      <c r="AQ1" s="337"/>
      <c r="AR1" s="337"/>
      <c r="AS1" s="337"/>
      <c r="AT1" s="337"/>
      <c r="AU1" s="337"/>
      <c r="AV1" s="337"/>
      <c r="AW1" s="337"/>
      <c r="AX1" s="337"/>
      <c r="AY1" s="337"/>
      <c r="AZ1" s="337"/>
      <c r="BA1" s="337"/>
      <c r="BB1" s="337"/>
      <c r="BC1" s="337"/>
      <c r="BD1" s="337"/>
      <c r="BE1" s="337"/>
    </row>
    <row r="2" spans="1:57" customFormat="1">
      <c r="A2" s="337"/>
      <c r="M2" s="337"/>
      <c r="N2" s="337"/>
      <c r="O2" s="337"/>
      <c r="P2" s="337"/>
      <c r="Q2" s="337"/>
      <c r="R2" s="337"/>
      <c r="S2" s="337"/>
      <c r="T2" s="337"/>
      <c r="U2" s="337"/>
      <c r="V2" s="337"/>
      <c r="W2" s="337"/>
      <c r="X2" s="337"/>
      <c r="Y2" s="337"/>
      <c r="Z2" s="337"/>
      <c r="AA2" s="337"/>
      <c r="AB2" s="337"/>
      <c r="AC2" s="337"/>
      <c r="AD2" s="337"/>
      <c r="AE2" s="337"/>
      <c r="AF2" s="337"/>
      <c r="AG2" s="337"/>
      <c r="AH2" s="337"/>
      <c r="AI2" s="337"/>
      <c r="AJ2" s="337"/>
      <c r="AK2" s="337"/>
      <c r="AL2" s="337"/>
      <c r="AM2" s="337"/>
      <c r="AN2" s="337"/>
      <c r="AO2" s="337"/>
      <c r="AP2" s="337"/>
      <c r="AQ2" s="337"/>
      <c r="AR2" s="337"/>
      <c r="AS2" s="337"/>
      <c r="AT2" s="337"/>
      <c r="AU2" s="337"/>
      <c r="AV2" s="337"/>
      <c r="AW2" s="337"/>
      <c r="AX2" s="337"/>
      <c r="AY2" s="337"/>
      <c r="AZ2" s="337"/>
      <c r="BA2" s="337"/>
      <c r="BB2" s="337"/>
      <c r="BC2" s="337"/>
      <c r="BD2" s="337"/>
      <c r="BE2" s="337"/>
    </row>
    <row r="3" spans="1:57" customFormat="1">
      <c r="A3" s="337"/>
      <c r="M3" s="337"/>
      <c r="N3" s="337"/>
      <c r="O3" s="337"/>
      <c r="P3" s="337"/>
      <c r="Q3" s="337"/>
      <c r="R3" s="337"/>
      <c r="S3" s="337"/>
      <c r="T3" s="337"/>
      <c r="U3" s="337"/>
      <c r="V3" s="337"/>
      <c r="W3" s="337"/>
      <c r="X3" s="337"/>
      <c r="Y3" s="337"/>
      <c r="Z3" s="337"/>
      <c r="AA3" s="337"/>
      <c r="AB3" s="337"/>
      <c r="AC3" s="337"/>
      <c r="AD3" s="337"/>
      <c r="AE3" s="337"/>
      <c r="AF3" s="337"/>
      <c r="AG3" s="337"/>
      <c r="AH3" s="337"/>
      <c r="AI3" s="337"/>
      <c r="AJ3" s="337"/>
      <c r="AK3" s="337"/>
      <c r="AL3" s="337"/>
      <c r="AM3" s="337"/>
      <c r="AN3" s="337"/>
      <c r="AO3" s="337"/>
      <c r="AP3" s="337"/>
      <c r="AQ3" s="337"/>
      <c r="AR3" s="337"/>
      <c r="AS3" s="337"/>
      <c r="AT3" s="337"/>
      <c r="AU3" s="337"/>
      <c r="AV3" s="337"/>
      <c r="AW3" s="337"/>
      <c r="AX3" s="337"/>
      <c r="AY3" s="337"/>
      <c r="AZ3" s="337"/>
      <c r="BA3" s="337"/>
      <c r="BB3" s="337"/>
      <c r="BC3" s="337"/>
      <c r="BD3" s="337"/>
      <c r="BE3" s="337"/>
    </row>
    <row r="4" spans="1:57" customFormat="1">
      <c r="A4" s="337"/>
      <c r="M4" s="337"/>
      <c r="N4" s="337"/>
      <c r="O4" s="337"/>
      <c r="P4" s="337"/>
      <c r="Q4" s="337"/>
      <c r="R4" s="337"/>
      <c r="S4" s="337"/>
      <c r="T4" s="337"/>
      <c r="U4" s="337"/>
      <c r="V4" s="337"/>
      <c r="W4" s="337"/>
      <c r="X4" s="337"/>
      <c r="Y4" s="337"/>
      <c r="Z4" s="337"/>
      <c r="AA4" s="337"/>
      <c r="AB4" s="337"/>
      <c r="AC4" s="337"/>
      <c r="AD4" s="337"/>
      <c r="AE4" s="337"/>
      <c r="AF4" s="337"/>
      <c r="AG4" s="337"/>
      <c r="AH4" s="337"/>
      <c r="AI4" s="337"/>
      <c r="AJ4" s="337"/>
      <c r="AK4" s="337"/>
      <c r="AL4" s="337"/>
      <c r="AM4" s="337"/>
      <c r="AN4" s="337"/>
      <c r="AO4" s="337"/>
      <c r="AP4" s="337"/>
      <c r="AQ4" s="337"/>
      <c r="AR4" s="337"/>
      <c r="AS4" s="337"/>
      <c r="AT4" s="337"/>
      <c r="AU4" s="337"/>
      <c r="AV4" s="337"/>
      <c r="AW4" s="337"/>
      <c r="AX4" s="337"/>
      <c r="AY4" s="337"/>
      <c r="AZ4" s="337"/>
      <c r="BA4" s="337"/>
      <c r="BB4" s="337"/>
      <c r="BC4" s="337"/>
      <c r="BD4" s="337"/>
      <c r="BE4" s="337"/>
    </row>
    <row r="5" spans="1:57" customFormat="1">
      <c r="A5" s="337"/>
      <c r="M5" s="337"/>
      <c r="N5" s="337"/>
      <c r="O5" s="337"/>
      <c r="P5" s="337"/>
      <c r="Q5" s="337"/>
      <c r="R5" s="337"/>
      <c r="S5" s="337"/>
      <c r="T5" s="337"/>
      <c r="U5" s="337"/>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row>
    <row r="6" spans="1:57" customFormat="1">
      <c r="A6" s="337"/>
      <c r="M6" s="337"/>
      <c r="N6" s="337"/>
      <c r="O6" s="337"/>
      <c r="P6" s="337"/>
      <c r="Q6" s="337"/>
      <c r="R6" s="337"/>
      <c r="S6" s="337"/>
      <c r="T6" s="337"/>
      <c r="U6" s="337"/>
      <c r="V6" s="337"/>
      <c r="W6" s="337"/>
      <c r="X6" s="337"/>
      <c r="Y6" s="337"/>
      <c r="Z6" s="337"/>
      <c r="AA6" s="337"/>
      <c r="AB6" s="337"/>
      <c r="AC6" s="337"/>
      <c r="AD6" s="337"/>
      <c r="AE6" s="337"/>
      <c r="AF6" s="337"/>
      <c r="AG6" s="337"/>
      <c r="AH6" s="337"/>
      <c r="AI6" s="337"/>
      <c r="AJ6" s="337"/>
      <c r="AK6" s="337"/>
      <c r="AL6" s="337"/>
      <c r="AM6" s="337"/>
      <c r="AN6" s="337"/>
      <c r="AO6" s="337"/>
      <c r="AP6" s="337"/>
      <c r="AQ6" s="337"/>
      <c r="AR6" s="337"/>
      <c r="AS6" s="337"/>
      <c r="AT6" s="337"/>
      <c r="AU6" s="337"/>
      <c r="AV6" s="337"/>
      <c r="AW6" s="337"/>
      <c r="AX6" s="337"/>
      <c r="AY6" s="337"/>
      <c r="AZ6" s="337"/>
      <c r="BA6" s="337"/>
      <c r="BB6" s="337"/>
      <c r="BC6" s="337"/>
      <c r="BD6" s="337"/>
      <c r="BE6" s="337"/>
    </row>
    <row r="7" spans="1:57" customFormat="1" ht="11.25" customHeight="1">
      <c r="A7" s="337"/>
      <c r="M7" s="337"/>
      <c r="N7" s="337"/>
      <c r="O7" s="337"/>
      <c r="P7" s="337"/>
      <c r="Q7" s="337"/>
      <c r="R7" s="337"/>
      <c r="S7" s="337"/>
      <c r="T7" s="337"/>
      <c r="U7" s="337"/>
      <c r="V7" s="337"/>
      <c r="W7" s="337"/>
      <c r="X7" s="337"/>
      <c r="Y7" s="337"/>
      <c r="Z7" s="337"/>
      <c r="AA7" s="337"/>
      <c r="AB7" s="337"/>
      <c r="AC7" s="337"/>
      <c r="AD7" s="337"/>
      <c r="AE7" s="337"/>
      <c r="AF7" s="337"/>
      <c r="AG7" s="337"/>
      <c r="AH7" s="337"/>
      <c r="AI7" s="337"/>
      <c r="AJ7" s="337"/>
      <c r="AK7" s="337"/>
      <c r="AL7" s="337"/>
      <c r="AM7" s="337"/>
      <c r="AN7" s="337"/>
      <c r="AO7" s="337"/>
      <c r="AP7" s="337"/>
      <c r="AQ7" s="337"/>
      <c r="AR7" s="337"/>
      <c r="AS7" s="337"/>
      <c r="AT7" s="337"/>
      <c r="AU7" s="337"/>
      <c r="AV7" s="337"/>
      <c r="AW7" s="337"/>
      <c r="AX7" s="337"/>
      <c r="AY7" s="337"/>
      <c r="AZ7" s="337"/>
      <c r="BA7" s="337"/>
      <c r="BB7" s="337"/>
      <c r="BC7" s="337"/>
      <c r="BD7" s="337"/>
      <c r="BE7" s="337"/>
    </row>
    <row r="8" spans="1:57" ht="16.5" thickBot="1">
      <c r="B8" s="1618" t="s">
        <v>562</v>
      </c>
      <c r="C8" s="1618"/>
      <c r="D8" s="1618"/>
      <c r="E8" s="1618"/>
      <c r="F8" s="1618"/>
      <c r="G8" s="1618"/>
      <c r="H8" s="1618"/>
      <c r="I8" s="1618"/>
      <c r="J8" s="1618"/>
      <c r="K8" s="1618"/>
      <c r="L8" s="1618"/>
      <c r="M8" s="615"/>
    </row>
    <row r="9" spans="1:57" ht="15.75" customHeight="1" thickTop="1">
      <c r="B9" s="68"/>
      <c r="C9" s="1391" t="s">
        <v>398</v>
      </c>
      <c r="D9" s="68"/>
      <c r="E9" s="43"/>
      <c r="F9" s="69" t="s">
        <v>535</v>
      </c>
      <c r="H9" s="43"/>
      <c r="I9" s="43"/>
      <c r="J9" s="43"/>
      <c r="K9" s="43"/>
      <c r="L9" s="68"/>
      <c r="M9" s="615"/>
    </row>
    <row r="10" spans="1:57" ht="15.75" customHeight="1">
      <c r="B10" s="43"/>
      <c r="C10" s="70" t="s">
        <v>97</v>
      </c>
      <c r="D10" s="86">
        <f>IF(NoSupports=1,-'Cap Analysis'!D103,-MIN('CAP18 Out(1)'!E:E))</f>
        <v>7290.478124999996</v>
      </c>
      <c r="E10" s="71" t="s">
        <v>400</v>
      </c>
      <c r="F10" s="502" t="str">
        <f>BarsA</f>
        <v>#11</v>
      </c>
      <c r="G10" s="71" t="s">
        <v>402</v>
      </c>
      <c r="H10" s="502">
        <f>Geometry!G84</f>
        <v>8</v>
      </c>
      <c r="I10" s="69" t="s">
        <v>1403</v>
      </c>
      <c r="J10" s="71"/>
      <c r="M10" s="615"/>
    </row>
    <row r="11" spans="1:57" ht="15.75" customHeight="1">
      <c r="B11" s="43"/>
      <c r="C11" s="70" t="s">
        <v>98</v>
      </c>
      <c r="D11" s="86">
        <f>IF(NoSupports=1,-'Cap Analysis'!D104,-MIN('CAP18 Out(1)'!H:H))</f>
        <v>11935.952064188707</v>
      </c>
      <c r="E11" s="71" t="s">
        <v>400</v>
      </c>
      <c r="F11" s="71"/>
      <c r="G11" s="71"/>
      <c r="H11" s="502">
        <f>Geometry!G85</f>
        <v>0</v>
      </c>
      <c r="I11" s="69" t="s">
        <v>1404</v>
      </c>
      <c r="J11" s="71"/>
    </row>
    <row r="12" spans="1:57" ht="15.75" customHeight="1">
      <c r="B12" s="43"/>
      <c r="C12" s="70" t="s">
        <v>99</v>
      </c>
      <c r="D12" s="86">
        <f>IF(NoSupports=1,-'Cap Analysis'!D106,-MIN('CAP18 Out(1)'!J:J))</f>
        <v>17266.739549830236</v>
      </c>
      <c r="E12" s="71" t="s">
        <v>400</v>
      </c>
      <c r="F12" s="71"/>
      <c r="G12" s="71"/>
      <c r="H12" s="502">
        <f>Geometry!G86</f>
        <v>0</v>
      </c>
      <c r="I12" s="69" t="s">
        <v>1405</v>
      </c>
      <c r="J12" s="71"/>
      <c r="M12" s="615"/>
    </row>
    <row r="13" spans="1:57" ht="15.75" customHeight="1">
      <c r="A13" s="619" t="s">
        <v>576</v>
      </c>
      <c r="B13" s="43"/>
      <c r="C13" s="70"/>
      <c r="D13" s="71"/>
      <c r="E13" s="70" t="s">
        <v>1573</v>
      </c>
      <c r="F13" s="74">
        <f>capheight-cover-VLOOKUP(BarS,BarTable,2,FALSE)/2-VLOOKUP(F10,BarTable,2,FALSE)/2-((H12*2*BarsAdist+H11*BarsAdist)/SUM(H10:H12))</f>
        <v>56.67</v>
      </c>
      <c r="G13" s="73" t="s">
        <v>155</v>
      </c>
      <c r="H13" s="74" t="s">
        <v>525</v>
      </c>
      <c r="I13" s="74">
        <f>VLOOKUP($F$10,BarTable,3,FALSE)*SUM(H10:H12)</f>
        <v>12.504</v>
      </c>
      <c r="J13" s="69" t="s">
        <v>480</v>
      </c>
      <c r="L13" s="68"/>
      <c r="M13" s="615"/>
    </row>
    <row r="14" spans="1:57" ht="17.25" customHeight="1" thickBot="1">
      <c r="B14" s="1619" t="s">
        <v>1570</v>
      </c>
      <c r="C14" s="1619"/>
      <c r="D14" s="1619"/>
      <c r="E14" s="1619"/>
      <c r="F14" s="1619"/>
      <c r="G14" s="1619"/>
      <c r="H14" s="1619"/>
      <c r="I14" s="1619"/>
      <c r="J14" s="1619"/>
      <c r="K14" s="1619"/>
      <c r="L14" s="1619"/>
      <c r="M14" s="1223"/>
      <c r="N14" s="1303" t="s">
        <v>1473</v>
      </c>
    </row>
    <row r="15" spans="1:57" s="95" customFormat="1" ht="12.75" customHeight="1">
      <c r="A15" s="400"/>
      <c r="C15" s="973" t="s">
        <v>1273</v>
      </c>
      <c r="M15" s="400"/>
      <c r="N15" s="400"/>
      <c r="O15" s="400"/>
      <c r="P15" s="400"/>
      <c r="Q15" s="400"/>
      <c r="R15" s="400"/>
      <c r="S15" s="400"/>
      <c r="T15" s="400"/>
      <c r="U15" s="400"/>
      <c r="V15" s="400"/>
      <c r="W15" s="400"/>
      <c r="X15" s="400"/>
      <c r="Y15" s="400"/>
      <c r="Z15" s="400"/>
      <c r="AA15" s="400"/>
      <c r="AB15" s="400"/>
      <c r="AC15" s="400"/>
      <c r="AD15" s="400"/>
      <c r="AE15" s="400"/>
      <c r="AF15" s="400"/>
      <c r="AG15" s="400"/>
      <c r="AH15" s="400"/>
      <c r="AI15" s="400"/>
      <c r="AJ15" s="400"/>
      <c r="AK15" s="400"/>
      <c r="AL15" s="400"/>
      <c r="AM15" s="400"/>
      <c r="AN15" s="400"/>
      <c r="AO15" s="400"/>
      <c r="AP15" s="400"/>
      <c r="AQ15" s="400"/>
      <c r="AR15" s="400"/>
      <c r="AS15" s="400"/>
      <c r="AT15" s="400"/>
      <c r="AU15" s="400"/>
      <c r="AV15" s="400"/>
      <c r="AW15" s="400"/>
      <c r="AX15" s="400"/>
      <c r="AY15" s="400"/>
      <c r="AZ15" s="400"/>
      <c r="BA15" s="400"/>
      <c r="BB15" s="400"/>
      <c r="BC15" s="400"/>
      <c r="BD15" s="400"/>
      <c r="BE15" s="400"/>
    </row>
    <row r="16" spans="1:57" s="95" customFormat="1" ht="15.75" customHeight="1">
      <c r="A16" s="400"/>
      <c r="C16" s="96" t="s">
        <v>100</v>
      </c>
      <c r="D16" s="97">
        <f>D12*12</f>
        <v>207200.87459796283</v>
      </c>
      <c r="E16" s="41" t="s">
        <v>403</v>
      </c>
      <c r="F16" s="64"/>
      <c r="H16" s="96"/>
      <c r="M16" s="400"/>
      <c r="N16" s="400"/>
      <c r="O16" s="400"/>
      <c r="P16" s="400"/>
      <c r="Q16" s="400"/>
      <c r="R16" s="400"/>
      <c r="S16" s="400"/>
      <c r="T16" s="400"/>
      <c r="U16" s="400"/>
      <c r="V16" s="400"/>
      <c r="W16" s="400"/>
      <c r="X16" s="400"/>
      <c r="Y16" s="400"/>
      <c r="Z16" s="400"/>
      <c r="AA16" s="400"/>
      <c r="AB16" s="400"/>
      <c r="AC16" s="400"/>
      <c r="AD16" s="400"/>
      <c r="AE16" s="400"/>
      <c r="AF16" s="400"/>
      <c r="AG16" s="400"/>
      <c r="AH16" s="400"/>
      <c r="AI16" s="400"/>
      <c r="AJ16" s="400"/>
      <c r="AK16" s="400"/>
      <c r="AL16" s="400"/>
      <c r="AM16" s="400"/>
      <c r="AN16" s="400"/>
      <c r="AO16" s="400"/>
      <c r="AP16" s="400"/>
      <c r="AQ16" s="400"/>
      <c r="AR16" s="400"/>
      <c r="AS16" s="400"/>
      <c r="AT16" s="400"/>
      <c r="AU16" s="400"/>
      <c r="AV16" s="400"/>
      <c r="AW16" s="400"/>
      <c r="AX16" s="400"/>
      <c r="AY16" s="400"/>
      <c r="AZ16" s="400"/>
      <c r="BA16" s="400"/>
      <c r="BB16" s="400"/>
      <c r="BC16" s="400"/>
      <c r="BD16" s="400"/>
      <c r="BE16" s="400"/>
    </row>
    <row r="17" spans="1:57" s="95" customFormat="1" ht="15.75" customHeight="1">
      <c r="A17" s="400"/>
      <c r="C17" s="116" t="s">
        <v>92</v>
      </c>
      <c r="M17" s="400"/>
      <c r="N17" s="400"/>
      <c r="O17" s="400"/>
      <c r="P17" s="400"/>
      <c r="Q17" s="400"/>
      <c r="R17" s="400"/>
      <c r="S17" s="400"/>
      <c r="T17" s="400"/>
      <c r="U17" s="400"/>
      <c r="V17" s="400"/>
      <c r="W17" s="400"/>
      <c r="X17" s="400"/>
      <c r="Y17" s="400"/>
      <c r="Z17" s="400"/>
      <c r="AA17" s="400"/>
      <c r="AB17" s="400"/>
      <c r="AC17" s="400"/>
      <c r="AD17" s="400"/>
      <c r="AE17" s="400"/>
      <c r="AF17" s="400"/>
      <c r="AG17" s="400"/>
      <c r="AH17" s="400"/>
      <c r="AI17" s="400"/>
      <c r="AJ17" s="400"/>
      <c r="AK17" s="400"/>
      <c r="AL17" s="400"/>
      <c r="AM17" s="400"/>
      <c r="AN17" s="400"/>
      <c r="AO17" s="400"/>
      <c r="AP17" s="400"/>
      <c r="AQ17" s="400"/>
      <c r="AR17" s="400"/>
      <c r="AS17" s="400"/>
      <c r="AT17" s="400"/>
      <c r="AU17" s="400"/>
      <c r="AV17" s="400"/>
      <c r="AW17" s="400"/>
      <c r="AX17" s="400"/>
      <c r="AY17" s="400"/>
      <c r="AZ17" s="400"/>
      <c r="BA17" s="400"/>
      <c r="BB17" s="400"/>
      <c r="BC17" s="400"/>
      <c r="BD17" s="400"/>
      <c r="BE17" s="400"/>
    </row>
    <row r="18" spans="1:57" s="95" customFormat="1" ht="15.75" customHeight="1">
      <c r="A18" s="400"/>
      <c r="C18" s="64" t="s">
        <v>497</v>
      </c>
      <c r="D18" s="95">
        <f>IF(fc&lt;=4,0.85,IF(fc=5,0.8,IF(fc=6,0.75,IF(fc=7,0.7,IF(fc&gt;=8,0.65)))))</f>
        <v>0.85</v>
      </c>
      <c r="F18" s="91" t="str">
        <f>"{"&amp;IF(fc&lt;=4,"f'c ≤ 4 ksi",IF(fc=5,"f'c = 5 ksi",IF(fc=6,"f'c = 6 ksi",IF(fc=7,"f'c = 7 ksi",IF(fc&gt;=8,"f'c ≥ 8 ksi")))))&amp;"}"</f>
        <v>{f'c ≤ 4 ksi}</v>
      </c>
      <c r="H18" s="96"/>
      <c r="L18" s="1037" t="s">
        <v>1571</v>
      </c>
      <c r="M18" s="1223"/>
      <c r="N18" s="400"/>
      <c r="O18" s="400"/>
      <c r="P18" s="400"/>
      <c r="Q18" s="400"/>
      <c r="R18" s="400"/>
      <c r="S18" s="400"/>
      <c r="T18" s="400"/>
      <c r="U18" s="400"/>
      <c r="V18" s="400"/>
      <c r="W18" s="400"/>
      <c r="X18" s="400"/>
      <c r="Y18" s="400"/>
      <c r="Z18" s="400"/>
      <c r="AA18" s="400"/>
      <c r="AB18" s="400"/>
      <c r="AC18" s="400"/>
      <c r="AD18" s="400"/>
      <c r="AE18" s="400"/>
      <c r="AF18" s="400"/>
      <c r="AG18" s="400"/>
      <c r="AH18" s="400"/>
      <c r="AI18" s="400"/>
      <c r="AJ18" s="400"/>
      <c r="AK18" s="400"/>
      <c r="AL18" s="400"/>
      <c r="AM18" s="400"/>
      <c r="AN18" s="400"/>
      <c r="AO18" s="400"/>
      <c r="AP18" s="400"/>
      <c r="AQ18" s="400"/>
      <c r="AR18" s="400"/>
      <c r="AS18" s="400"/>
      <c r="AT18" s="400"/>
      <c r="AU18" s="400"/>
      <c r="AV18" s="400"/>
      <c r="AW18" s="400"/>
      <c r="AX18" s="400"/>
      <c r="AY18" s="400"/>
      <c r="AZ18" s="400"/>
      <c r="BA18" s="400"/>
      <c r="BB18" s="400"/>
      <c r="BC18" s="400"/>
      <c r="BD18" s="400"/>
      <c r="BE18" s="400"/>
    </row>
    <row r="19" spans="1:57" s="95" customFormat="1">
      <c r="A19" s="400"/>
      <c r="C19" s="116" t="str">
        <f>IF(CapType="Inverted-Tee","For calculation of c, assume rectangular behavior.","Calculation of c, distance between neutral axis and the compressive face.")</f>
        <v>Calculation of c, distance between neutral axis and the compressive face.</v>
      </c>
      <c r="F19" s="91"/>
      <c r="H19" s="96"/>
      <c r="L19" s="137" t="str">
        <f>IF(CapType="Inverted-Tee",IF(D20&lt;Geometry!K67,"c &lt; ledge depth - OK","c &gt; ledge depth - NG"),"")</f>
        <v/>
      </c>
      <c r="M19" s="400"/>
      <c r="N19" s="400"/>
      <c r="O19" s="400"/>
      <c r="P19" s="400"/>
      <c r="Q19" s="400"/>
      <c r="R19" s="400"/>
      <c r="S19" s="400"/>
      <c r="T19" s="400"/>
      <c r="U19" s="400"/>
      <c r="V19" s="400"/>
      <c r="W19" s="400"/>
      <c r="X19" s="400"/>
      <c r="Y19" s="400"/>
      <c r="Z19" s="400"/>
      <c r="AA19" s="400"/>
      <c r="AB19" s="400"/>
      <c r="AC19" s="400"/>
      <c r="AD19" s="400"/>
      <c r="AE19" s="400"/>
      <c r="AF19" s="400"/>
      <c r="AG19" s="400"/>
      <c r="AH19" s="400"/>
      <c r="AI19" s="400"/>
      <c r="AJ19" s="400"/>
      <c r="AK19" s="400"/>
      <c r="AL19" s="400"/>
      <c r="AM19" s="400"/>
      <c r="AN19" s="400"/>
      <c r="AO19" s="400"/>
      <c r="AP19" s="400"/>
      <c r="AQ19" s="400"/>
      <c r="AR19" s="400"/>
      <c r="AS19" s="400"/>
      <c r="AT19" s="400"/>
      <c r="AU19" s="400"/>
      <c r="AV19" s="400"/>
      <c r="AW19" s="400"/>
      <c r="AX19" s="400"/>
      <c r="AY19" s="400"/>
      <c r="AZ19" s="400"/>
      <c r="BA19" s="400"/>
      <c r="BB19" s="400"/>
      <c r="BC19" s="400"/>
      <c r="BD19" s="400"/>
      <c r="BE19" s="400"/>
    </row>
    <row r="20" spans="1:57" s="95" customFormat="1" ht="15.75" customHeight="1">
      <c r="A20" s="400"/>
      <c r="C20" s="1232" t="s">
        <v>496</v>
      </c>
      <c r="D20" s="1233">
        <f>(I13*fy)/(0.85*fc*IF(CapType="Inverted-Tee",MAX(capstemWidth,Geometry!K68),capstemWidth)*D18)</f>
        <v>5.3415353069332303</v>
      </c>
      <c r="E20" s="1234" t="s">
        <v>155</v>
      </c>
      <c r="F20" s="1235" t="s">
        <v>1406</v>
      </c>
      <c r="G20" s="1036"/>
      <c r="H20" s="199"/>
      <c r="I20" s="1036"/>
      <c r="J20" s="1036"/>
      <c r="L20" s="1037" t="s">
        <v>1572</v>
      </c>
      <c r="M20" s="1223"/>
      <c r="N20" s="400"/>
      <c r="O20" s="400"/>
      <c r="P20" s="400"/>
      <c r="Q20" s="400"/>
      <c r="R20" s="400"/>
      <c r="S20" s="400"/>
      <c r="T20" s="400"/>
      <c r="U20" s="400"/>
      <c r="V20" s="400"/>
      <c r="W20" s="400"/>
      <c r="X20" s="400"/>
      <c r="Y20" s="400"/>
      <c r="Z20" s="400"/>
      <c r="AA20" s="400"/>
      <c r="AB20" s="400"/>
      <c r="AC20" s="400"/>
      <c r="AD20" s="400"/>
      <c r="AE20" s="400"/>
      <c r="AF20" s="400"/>
      <c r="AG20" s="400"/>
      <c r="AH20" s="400"/>
      <c r="AI20" s="400"/>
      <c r="AJ20" s="400"/>
      <c r="AK20" s="400"/>
      <c r="AL20" s="400"/>
      <c r="AM20" s="400"/>
      <c r="AN20" s="400"/>
      <c r="AO20" s="400"/>
      <c r="AP20" s="400"/>
      <c r="AQ20" s="400"/>
      <c r="AR20" s="400"/>
      <c r="AS20" s="400"/>
      <c r="AT20" s="400"/>
      <c r="AU20" s="400"/>
      <c r="AV20" s="400"/>
      <c r="AW20" s="400"/>
      <c r="AX20" s="400"/>
      <c r="AY20" s="400"/>
      <c r="AZ20" s="400"/>
      <c r="BA20" s="400"/>
      <c r="BB20" s="400"/>
      <c r="BC20" s="400"/>
      <c r="BD20" s="400"/>
      <c r="BE20" s="400"/>
    </row>
    <row r="21" spans="1:57" s="95" customFormat="1" ht="15.75" customHeight="1">
      <c r="A21" s="400"/>
      <c r="C21" s="96" t="s">
        <v>498</v>
      </c>
      <c r="D21" s="133">
        <f>D18*D20</f>
        <v>4.5403050108932455</v>
      </c>
      <c r="E21" s="95" t="s">
        <v>155</v>
      </c>
      <c r="F21" s="98" t="s">
        <v>502</v>
      </c>
      <c r="G21" s="1036"/>
      <c r="I21" s="1036"/>
      <c r="J21" s="1036"/>
      <c r="K21" s="99"/>
      <c r="L21" s="1037" t="str">
        <f>"{c = "&amp;I13&amp;"sqin x "&amp;fy&amp;" ksi /(0.85 x "&amp;fc&amp;" ksi x "&amp;D18&amp;" x "&amp;IF(CapType="Inverted-Tee",MAX(capstemWidth,Geometry!K68),capstemWidth)&amp;" in)}"</f>
        <v>{c = 12.504sqin x 60 ksi /(0.85 x 3.6 ksi x 0.85 x 54 in)}</v>
      </c>
      <c r="M21" s="400"/>
      <c r="N21" s="400"/>
      <c r="O21" s="400"/>
      <c r="P21" s="400"/>
      <c r="Q21" s="400"/>
      <c r="R21" s="400"/>
      <c r="S21" s="400"/>
      <c r="T21" s="400"/>
      <c r="U21" s="400"/>
      <c r="V21" s="400"/>
      <c r="W21" s="400"/>
      <c r="X21" s="400"/>
      <c r="Y21" s="400"/>
      <c r="Z21" s="400"/>
      <c r="AA21" s="400"/>
      <c r="AB21" s="400"/>
      <c r="AC21" s="400"/>
      <c r="AD21" s="400"/>
      <c r="AE21" s="400"/>
      <c r="AF21" s="400"/>
      <c r="AG21" s="400"/>
      <c r="AH21" s="400"/>
      <c r="AI21" s="400"/>
      <c r="AJ21" s="400"/>
      <c r="AK21" s="400"/>
      <c r="AL21" s="400"/>
      <c r="AM21" s="400"/>
      <c r="AN21" s="400"/>
      <c r="AO21" s="400"/>
      <c r="AP21" s="400"/>
      <c r="AQ21" s="400"/>
      <c r="AR21" s="400"/>
      <c r="AS21" s="400"/>
      <c r="AT21" s="400"/>
      <c r="AU21" s="400"/>
      <c r="AV21" s="400"/>
      <c r="AW21" s="400"/>
      <c r="AX21" s="400"/>
      <c r="AY21" s="400"/>
      <c r="AZ21" s="400"/>
      <c r="BA21" s="400"/>
      <c r="BB21" s="400"/>
      <c r="BC21" s="400"/>
      <c r="BD21" s="400"/>
      <c r="BE21" s="400"/>
    </row>
    <row r="22" spans="1:57" s="95" customFormat="1" ht="15.75" customHeight="1">
      <c r="A22" s="400"/>
      <c r="C22" s="100" t="s">
        <v>503</v>
      </c>
      <c r="D22" s="101">
        <f>fy/Es</f>
        <v>2.0689655172413794E-3</v>
      </c>
      <c r="F22" s="91" t="s">
        <v>501</v>
      </c>
      <c r="G22" s="1036"/>
      <c r="H22" s="199"/>
      <c r="I22" s="1036"/>
      <c r="J22" s="1036"/>
      <c r="K22" s="99"/>
      <c r="M22" s="400"/>
      <c r="N22" s="400"/>
      <c r="O22" s="400"/>
      <c r="P22" s="400"/>
      <c r="Q22" s="400"/>
      <c r="R22" s="400"/>
      <c r="S22" s="400"/>
      <c r="T22" s="400"/>
      <c r="U22" s="400"/>
      <c r="V22" s="400"/>
      <c r="W22" s="400"/>
      <c r="X22" s="400"/>
      <c r="Y22" s="400"/>
      <c r="Z22" s="400"/>
      <c r="AA22" s="400"/>
      <c r="AB22" s="400"/>
      <c r="AC22" s="400"/>
      <c r="AD22" s="400"/>
      <c r="AE22" s="400"/>
      <c r="AF22" s="400"/>
      <c r="AG22" s="400"/>
      <c r="AH22" s="400"/>
      <c r="AI22" s="400"/>
      <c r="AJ22" s="400"/>
      <c r="AK22" s="400"/>
      <c r="AL22" s="400"/>
      <c r="AM22" s="400"/>
      <c r="AN22" s="400"/>
      <c r="AO22" s="400"/>
      <c r="AP22" s="400"/>
      <c r="AQ22" s="400"/>
      <c r="AR22" s="400"/>
      <c r="AS22" s="400"/>
      <c r="AT22" s="400"/>
      <c r="AU22" s="400"/>
      <c r="AV22" s="400"/>
      <c r="AW22" s="400"/>
      <c r="AX22" s="400"/>
      <c r="AY22" s="400"/>
      <c r="AZ22" s="400"/>
      <c r="BA22" s="400"/>
      <c r="BB22" s="400"/>
      <c r="BC22" s="400"/>
      <c r="BD22" s="400"/>
      <c r="BE22" s="400"/>
    </row>
    <row r="23" spans="1:57" s="95" customFormat="1" ht="15.75" customHeight="1">
      <c r="A23" s="400"/>
      <c r="C23" s="1373" t="s">
        <v>523</v>
      </c>
      <c r="D23" s="102">
        <f>(capheight-cover-VLOOKUP(BarS,BarTable,2,FALSE)/2-VLOOKUP(F10,BarTable,2,FALSE)/2)</f>
        <v>56.67</v>
      </c>
      <c r="E23" s="95" t="s">
        <v>155</v>
      </c>
      <c r="F23" s="91" t="str">
        <f>"{("&amp;capheight&amp;" in - "&amp;cover&amp;" in - "&amp;VLOOKUP(BarS,BarTable,2,FALSE)&amp;" in / 2 - "&amp;VLOOKUP(F10,BarTable,2,FALSE)&amp;" in / 2)}"</f>
        <v>{(60 in - 2.3125 in - 0.625 in / 2 - 1.41 in / 2)}</v>
      </c>
      <c r="G23" s="1036"/>
      <c r="H23" s="199"/>
      <c r="I23" s="1036"/>
      <c r="J23" s="1036"/>
      <c r="K23" s="99"/>
      <c r="M23" s="400"/>
      <c r="N23" s="400"/>
      <c r="O23" s="400"/>
      <c r="P23" s="400"/>
      <c r="Q23" s="400"/>
      <c r="R23" s="400"/>
      <c r="S23" s="400"/>
      <c r="T23" s="400"/>
      <c r="U23" s="400"/>
      <c r="V23" s="400"/>
      <c r="W23" s="400"/>
      <c r="X23" s="400"/>
      <c r="Y23" s="400"/>
      <c r="Z23" s="400"/>
      <c r="AA23" s="400"/>
      <c r="AB23" s="400"/>
      <c r="AC23" s="400"/>
      <c r="AD23" s="400"/>
      <c r="AE23" s="400"/>
      <c r="AF23" s="400"/>
      <c r="AG23" s="400"/>
      <c r="AH23" s="400"/>
      <c r="AI23" s="400"/>
      <c r="AJ23" s="400"/>
      <c r="AK23" s="400"/>
      <c r="AL23" s="400"/>
      <c r="AM23" s="400"/>
      <c r="AN23" s="400"/>
      <c r="AO23" s="400"/>
      <c r="AP23" s="400"/>
      <c r="AQ23" s="400"/>
      <c r="AR23" s="400"/>
      <c r="AS23" s="400"/>
      <c r="AT23" s="400"/>
      <c r="AU23" s="400"/>
      <c r="AV23" s="400"/>
      <c r="AW23" s="400"/>
      <c r="AX23" s="400"/>
      <c r="AY23" s="400"/>
      <c r="AZ23" s="400"/>
      <c r="BA23" s="400"/>
      <c r="BB23" s="400"/>
      <c r="BC23" s="400"/>
      <c r="BD23" s="400"/>
      <c r="BE23" s="400"/>
    </row>
    <row r="24" spans="1:57" s="95" customFormat="1" ht="15.75" customHeight="1">
      <c r="A24" s="400"/>
      <c r="C24" s="100" t="s">
        <v>499</v>
      </c>
      <c r="D24" s="101">
        <f>(0.003/D20)*(D23-D20)</f>
        <v>2.8827927783109407E-2</v>
      </c>
      <c r="F24" s="91" t="s">
        <v>1270</v>
      </c>
      <c r="G24" s="1036"/>
      <c r="H24" s="1036"/>
      <c r="I24" s="199" t="str">
        <f>IF(D24&gt;D25,"εt&gt;εcl...","εt&lt;εcl...")</f>
        <v>εt&gt;εcl...</v>
      </c>
      <c r="L24" s="1220" t="str">
        <f>IF(D24&gt;D25,"Yes-Steel has yielded at Mn","NO-Steel has not yielded at Mn")</f>
        <v>Yes-Steel has yielded at Mn</v>
      </c>
      <c r="M24" s="400"/>
      <c r="O24" s="400"/>
      <c r="P24" s="400"/>
      <c r="Q24" s="400"/>
      <c r="R24" s="400"/>
      <c r="S24" s="400"/>
      <c r="T24" s="400"/>
      <c r="U24" s="400"/>
      <c r="V24" s="400"/>
      <c r="W24" s="400"/>
      <c r="X24" s="400"/>
      <c r="Y24" s="400"/>
      <c r="Z24" s="400"/>
      <c r="AA24" s="400"/>
      <c r="AB24" s="400"/>
      <c r="AC24" s="400"/>
      <c r="AD24" s="400"/>
      <c r="AE24" s="400"/>
      <c r="AF24" s="400"/>
      <c r="AG24" s="400"/>
      <c r="AH24" s="400"/>
      <c r="AI24" s="400"/>
      <c r="AJ24" s="400"/>
      <c r="AK24" s="400"/>
      <c r="AL24" s="400"/>
      <c r="AM24" s="400"/>
      <c r="AN24" s="400"/>
      <c r="AO24" s="400"/>
      <c r="AP24" s="400"/>
      <c r="AQ24" s="400"/>
      <c r="AR24" s="400"/>
      <c r="AS24" s="400"/>
      <c r="AT24" s="400"/>
      <c r="AU24" s="400"/>
      <c r="AV24" s="400"/>
      <c r="AW24" s="400"/>
      <c r="AX24" s="400"/>
      <c r="AY24" s="400"/>
      <c r="AZ24" s="400"/>
      <c r="BA24" s="400"/>
      <c r="BB24" s="400"/>
      <c r="BC24" s="400"/>
      <c r="BD24" s="400"/>
      <c r="BE24" s="400"/>
    </row>
    <row r="25" spans="1:57" s="95" customFormat="1" ht="15.75" customHeight="1">
      <c r="A25" s="400"/>
      <c r="C25" s="1195" t="s">
        <v>1425</v>
      </c>
      <c r="D25" s="101">
        <f>IF(fy&lt;=60,0.002,IF(fy&gt;100,0.004,0.002+((fy-60)*0.002/40)))</f>
        <v>2E-3</v>
      </c>
      <c r="F25" s="91"/>
      <c r="G25" s="1036"/>
      <c r="H25" s="1036"/>
      <c r="I25" s="199"/>
      <c r="L25" s="1037" t="s">
        <v>1574</v>
      </c>
      <c r="M25" s="1223"/>
      <c r="N25" s="1303" t="s">
        <v>1481</v>
      </c>
      <c r="O25" s="400"/>
      <c r="P25" s="400"/>
      <c r="Q25" s="400"/>
      <c r="R25" s="400"/>
      <c r="S25" s="400"/>
      <c r="T25" s="400"/>
      <c r="U25" s="400"/>
      <c r="V25" s="400"/>
      <c r="W25" s="400"/>
      <c r="X25" s="400"/>
      <c r="Y25" s="400"/>
      <c r="Z25" s="400"/>
      <c r="AA25" s="400"/>
      <c r="AB25" s="400"/>
      <c r="AC25" s="400"/>
      <c r="AD25" s="400"/>
      <c r="AE25" s="400"/>
      <c r="AF25" s="400"/>
      <c r="AG25" s="400"/>
      <c r="AH25" s="400"/>
      <c r="AI25" s="400"/>
      <c r="AJ25" s="400"/>
      <c r="AK25" s="400"/>
      <c r="AL25" s="400"/>
      <c r="AM25" s="400"/>
      <c r="AN25" s="400"/>
      <c r="AO25" s="400"/>
      <c r="AP25" s="400"/>
      <c r="AQ25" s="400"/>
      <c r="AR25" s="400"/>
      <c r="AS25" s="400"/>
      <c r="AT25" s="400"/>
      <c r="AU25" s="400"/>
      <c r="AV25" s="400"/>
      <c r="AW25" s="400"/>
      <c r="AX25" s="400"/>
      <c r="AY25" s="400"/>
      <c r="AZ25" s="400"/>
      <c r="BA25" s="400"/>
      <c r="BB25" s="400"/>
      <c r="BC25" s="400"/>
      <c r="BD25" s="400"/>
      <c r="BE25" s="400"/>
    </row>
    <row r="26" spans="1:57" s="95" customFormat="1" ht="15.75" customHeight="1">
      <c r="A26" s="400"/>
      <c r="C26" s="1195" t="s">
        <v>1426</v>
      </c>
      <c r="D26" s="101">
        <f>IF(fy&lt;=75,0.005,IF(fy&gt;100,0.008,0.005+((fy-75)*0.003/25)))</f>
        <v>5.0000000000000001E-3</v>
      </c>
      <c r="F26" s="91"/>
      <c r="G26" s="1036"/>
      <c r="H26" s="1036"/>
      <c r="I26" s="199"/>
      <c r="L26" s="1037" t="s">
        <v>1574</v>
      </c>
      <c r="M26" s="1223"/>
      <c r="N26" s="1303" t="s">
        <v>1480</v>
      </c>
      <c r="O26" s="400"/>
      <c r="P26" s="400"/>
      <c r="Q26" s="400"/>
      <c r="R26" s="400"/>
      <c r="S26" s="400"/>
      <c r="T26" s="400"/>
      <c r="U26" s="400"/>
      <c r="V26" s="400"/>
      <c r="W26" s="400"/>
      <c r="X26" s="400"/>
      <c r="Y26" s="400"/>
      <c r="Z26" s="400"/>
      <c r="AA26" s="400"/>
      <c r="AB26" s="400"/>
      <c r="AC26" s="400"/>
      <c r="AD26" s="400"/>
      <c r="AE26" s="400"/>
      <c r="AF26" s="400"/>
      <c r="AG26" s="400"/>
      <c r="AH26" s="400"/>
      <c r="AI26" s="400"/>
      <c r="AJ26" s="400"/>
      <c r="AK26" s="400"/>
      <c r="AL26" s="400"/>
      <c r="AM26" s="400"/>
      <c r="AN26" s="400"/>
      <c r="AO26" s="400"/>
      <c r="AP26" s="400"/>
      <c r="AQ26" s="400"/>
      <c r="AR26" s="400"/>
      <c r="AS26" s="400"/>
      <c r="AT26" s="400"/>
      <c r="AU26" s="400"/>
      <c r="AV26" s="400"/>
      <c r="AW26" s="400"/>
      <c r="AX26" s="400"/>
      <c r="AY26" s="400"/>
      <c r="AZ26" s="400"/>
      <c r="BA26" s="400"/>
      <c r="BB26" s="400"/>
      <c r="BC26" s="400"/>
      <c r="BD26" s="400"/>
      <c r="BE26" s="400"/>
    </row>
    <row r="27" spans="1:57" s="95" customFormat="1" ht="15.75" customHeight="1">
      <c r="A27" s="400"/>
      <c r="C27" s="64" t="s">
        <v>500</v>
      </c>
      <c r="D27" s="104">
        <f>IF(D24&lt;D25,0.75,IF(D24&gt;D26,0.9,0.75+0.15*(D24-D25)/(D26-D25)))</f>
        <v>0.9</v>
      </c>
      <c r="E27" s="105"/>
      <c r="F27" s="91" t="str">
        <f>"{"&amp;IF(D24&lt;=D25,"εt ≤ εcl",IF(D24&gt;=D26,"εt ≥ εtl","0.75 + 0.15 x (εt-εcl)/(εtl-εcl)"))&amp;"}"</f>
        <v>{εt ≥ εtl}</v>
      </c>
      <c r="G27" s="766"/>
      <c r="H27" s="766"/>
      <c r="I27" s="766"/>
      <c r="J27" s="766"/>
      <c r="K27" s="766"/>
      <c r="L27" s="1037" t="s">
        <v>1575</v>
      </c>
      <c r="M27" s="1223"/>
      <c r="N27" s="1303" t="s">
        <v>1479</v>
      </c>
      <c r="O27" s="400"/>
      <c r="P27" s="400"/>
      <c r="Q27" s="400"/>
      <c r="R27" s="400"/>
      <c r="S27" s="400"/>
      <c r="T27" s="400"/>
      <c r="U27" s="400"/>
      <c r="V27" s="400"/>
      <c r="W27" s="400"/>
      <c r="X27" s="400"/>
      <c r="Y27" s="400"/>
      <c r="Z27" s="400"/>
      <c r="AA27" s="400"/>
      <c r="AB27" s="400"/>
      <c r="AC27" s="400"/>
      <c r="AD27" s="400"/>
      <c r="AE27" s="400"/>
      <c r="AF27" s="400"/>
      <c r="AG27" s="400"/>
      <c r="AH27" s="400"/>
      <c r="AI27" s="400"/>
      <c r="AJ27" s="400"/>
      <c r="AK27" s="400"/>
      <c r="AL27" s="400"/>
      <c r="AM27" s="400"/>
      <c r="AN27" s="400"/>
      <c r="AO27" s="400"/>
      <c r="AP27" s="400"/>
      <c r="AQ27" s="400"/>
      <c r="AR27" s="400"/>
      <c r="AS27" s="400"/>
      <c r="AT27" s="400"/>
      <c r="AU27" s="400"/>
      <c r="AV27" s="400"/>
      <c r="AW27" s="400"/>
      <c r="AX27" s="400"/>
      <c r="AY27" s="400"/>
      <c r="AZ27" s="400"/>
      <c r="BA27" s="400"/>
      <c r="BB27" s="400"/>
      <c r="BC27" s="400"/>
      <c r="BD27" s="400"/>
      <c r="BE27" s="400"/>
    </row>
    <row r="28" spans="1:57" s="95" customFormat="1" ht="15.75" customHeight="1">
      <c r="A28" s="400"/>
      <c r="C28" s="64" t="s">
        <v>522</v>
      </c>
      <c r="D28" s="106">
        <f>D27*I13*fy*(F13-D21/2)</f>
        <v>36731.647425882351</v>
      </c>
      <c r="E28" s="95" t="s">
        <v>403</v>
      </c>
      <c r="F28" s="1041" t="s">
        <v>1402</v>
      </c>
      <c r="G28" s="1042"/>
      <c r="H28" s="1036"/>
      <c r="I28" s="766"/>
      <c r="J28" s="766"/>
      <c r="K28" s="766"/>
      <c r="L28" s="1037" t="s">
        <v>1576</v>
      </c>
      <c r="M28" s="1223"/>
      <c r="O28" s="337"/>
      <c r="P28" s="400"/>
      <c r="Q28" s="400"/>
      <c r="R28" s="400"/>
      <c r="S28" s="400"/>
      <c r="T28" s="400"/>
      <c r="U28" s="400"/>
      <c r="V28" s="400"/>
      <c r="W28" s="400"/>
      <c r="X28" s="400"/>
      <c r="Y28" s="400"/>
      <c r="Z28" s="400"/>
      <c r="AA28" s="400"/>
      <c r="AB28" s="400"/>
      <c r="AC28" s="400"/>
      <c r="AD28" s="400"/>
      <c r="AE28" s="400"/>
      <c r="AF28" s="400"/>
      <c r="AG28" s="400"/>
      <c r="AH28" s="400"/>
      <c r="AI28" s="400"/>
      <c r="AJ28" s="400"/>
      <c r="AK28" s="400"/>
      <c r="AL28" s="400"/>
      <c r="AM28" s="400"/>
      <c r="AN28" s="400"/>
      <c r="AO28" s="400"/>
      <c r="AP28" s="400"/>
      <c r="AQ28" s="400"/>
      <c r="AR28" s="400"/>
      <c r="AS28" s="400"/>
      <c r="AT28" s="400"/>
      <c r="AU28" s="400"/>
      <c r="AV28" s="400"/>
      <c r="AW28" s="400"/>
      <c r="AX28" s="400"/>
      <c r="AY28" s="400"/>
      <c r="AZ28" s="400"/>
      <c r="BA28" s="400"/>
      <c r="BB28" s="400"/>
      <c r="BC28" s="400"/>
      <c r="BD28" s="400"/>
      <c r="BE28" s="400"/>
    </row>
    <row r="29" spans="1:57" s="95" customFormat="1" ht="15.75" customHeight="1">
      <c r="A29" s="400"/>
      <c r="C29" s="64" t="s">
        <v>1079</v>
      </c>
      <c r="D29" s="106">
        <f>D28/12</f>
        <v>3060.9706188235291</v>
      </c>
      <c r="E29" s="95" t="s">
        <v>400</v>
      </c>
      <c r="F29" s="107"/>
      <c r="G29" s="108"/>
      <c r="H29" s="41"/>
      <c r="M29" s="400"/>
      <c r="N29" s="337"/>
      <c r="O29" s="337"/>
      <c r="P29" s="400"/>
      <c r="Q29" s="400"/>
      <c r="R29" s="400"/>
      <c r="S29" s="400"/>
      <c r="T29" s="400"/>
      <c r="U29" s="400"/>
      <c r="V29" s="400"/>
      <c r="W29" s="400"/>
      <c r="X29" s="400"/>
      <c r="Y29" s="400"/>
      <c r="Z29" s="400"/>
      <c r="AA29" s="400"/>
      <c r="AB29" s="400"/>
      <c r="AC29" s="400"/>
      <c r="AD29" s="400"/>
      <c r="AE29" s="400"/>
      <c r="AF29" s="400"/>
      <c r="AG29" s="400"/>
      <c r="AH29" s="400"/>
      <c r="AI29" s="400"/>
      <c r="AJ29" s="400"/>
      <c r="AK29" s="400"/>
      <c r="AL29" s="400"/>
      <c r="AM29" s="400"/>
      <c r="AN29" s="400"/>
      <c r="AO29" s="400"/>
      <c r="AP29" s="400"/>
      <c r="AQ29" s="400"/>
      <c r="AR29" s="400"/>
      <c r="AS29" s="400"/>
      <c r="AT29" s="400"/>
      <c r="AU29" s="400"/>
      <c r="AV29" s="400"/>
      <c r="AW29" s="400"/>
      <c r="AX29" s="400"/>
      <c r="AY29" s="400"/>
      <c r="AZ29" s="400"/>
      <c r="BA29" s="400"/>
      <c r="BB29" s="400"/>
      <c r="BC29" s="400"/>
      <c r="BD29" s="400"/>
      <c r="BE29" s="400"/>
    </row>
    <row r="30" spans="1:57" s="95" customFormat="1" ht="15.75" customHeight="1">
      <c r="A30" s="400"/>
      <c r="C30" s="64" t="s">
        <v>507</v>
      </c>
      <c r="D30" s="109">
        <f>D16/D28</f>
        <v>5.6409360624528411</v>
      </c>
      <c r="F30" s="110"/>
      <c r="G30" s="108"/>
      <c r="H30" s="1621">
        <f>D30</f>
        <v>5.6409360624528411</v>
      </c>
      <c r="I30" s="1621"/>
      <c r="J30" s="111"/>
      <c r="L30" s="1044" t="str">
        <f>IF(D28&gt;=D16,"ΦMn &gt; Mu - OK", "ΦMn &lt; Mu - NG")</f>
        <v>ΦMn &lt; Mu - NG</v>
      </c>
      <c r="M30" s="400"/>
      <c r="N30" s="337"/>
      <c r="O30" s="337"/>
      <c r="P30" s="400"/>
      <c r="Q30" s="400"/>
      <c r="R30" s="400"/>
      <c r="S30" s="400"/>
      <c r="T30" s="400"/>
      <c r="U30" s="400"/>
      <c r="V30" s="400"/>
      <c r="W30" s="400"/>
      <c r="X30" s="400"/>
      <c r="Y30" s="400"/>
      <c r="Z30" s="400"/>
      <c r="AA30" s="400"/>
      <c r="AB30" s="400"/>
      <c r="AC30" s="400"/>
      <c r="AD30" s="400"/>
      <c r="AE30" s="400"/>
      <c r="AF30" s="400"/>
      <c r="AG30" s="400"/>
      <c r="AH30" s="400"/>
      <c r="AI30" s="400"/>
      <c r="AJ30" s="400"/>
      <c r="AK30" s="400"/>
      <c r="AL30" s="400"/>
      <c r="AM30" s="400"/>
      <c r="AN30" s="400"/>
      <c r="AO30" s="400"/>
      <c r="AP30" s="400"/>
      <c r="AQ30" s="400"/>
      <c r="AR30" s="400"/>
      <c r="AS30" s="400"/>
      <c r="AT30" s="400"/>
      <c r="AU30" s="400"/>
      <c r="AV30" s="400"/>
      <c r="AW30" s="400"/>
      <c r="AX30" s="400"/>
      <c r="AY30" s="400"/>
      <c r="AZ30" s="400"/>
      <c r="BA30" s="400"/>
      <c r="BB30" s="400"/>
      <c r="BC30" s="400"/>
      <c r="BD30" s="400"/>
      <c r="BE30" s="400"/>
    </row>
    <row r="31" spans="1:57" s="95" customFormat="1" ht="0.75" customHeight="1">
      <c r="A31" s="400"/>
      <c r="C31" s="96"/>
      <c r="H31" s="96"/>
      <c r="M31" s="400"/>
      <c r="N31" s="337"/>
      <c r="O31" s="337"/>
      <c r="P31" s="400"/>
      <c r="Q31" s="400"/>
      <c r="R31" s="400"/>
      <c r="S31" s="400"/>
      <c r="T31" s="400"/>
      <c r="U31" s="400"/>
      <c r="V31" s="400"/>
      <c r="W31" s="400"/>
      <c r="X31" s="400"/>
      <c r="Y31" s="400"/>
      <c r="Z31" s="400"/>
      <c r="AA31" s="400"/>
      <c r="AB31" s="400"/>
      <c r="AC31" s="400"/>
      <c r="AD31" s="400"/>
      <c r="AE31" s="400"/>
      <c r="AF31" s="400"/>
      <c r="AG31" s="400"/>
      <c r="AH31" s="400"/>
      <c r="AI31" s="400"/>
      <c r="AJ31" s="400"/>
      <c r="AK31" s="400"/>
      <c r="AL31" s="400"/>
      <c r="AM31" s="400"/>
      <c r="AN31" s="400"/>
      <c r="AO31" s="400"/>
      <c r="AP31" s="400"/>
      <c r="AQ31" s="400"/>
      <c r="AR31" s="400"/>
      <c r="AS31" s="400"/>
      <c r="AT31" s="400"/>
      <c r="AU31" s="400"/>
      <c r="AV31" s="400"/>
      <c r="AW31" s="400"/>
      <c r="AX31" s="400"/>
      <c r="AY31" s="400"/>
      <c r="AZ31" s="400"/>
      <c r="BA31" s="400"/>
      <c r="BB31" s="400"/>
      <c r="BC31" s="400"/>
      <c r="BD31" s="400"/>
      <c r="BE31" s="400"/>
    </row>
    <row r="32" spans="1:57" s="95" customFormat="1" ht="13.5" thickBot="1">
      <c r="A32" s="400"/>
      <c r="B32" s="1619" t="s">
        <v>1577</v>
      </c>
      <c r="C32" s="1619"/>
      <c r="D32" s="1619"/>
      <c r="E32" s="1619"/>
      <c r="F32" s="1619"/>
      <c r="G32" s="1619"/>
      <c r="H32" s="1619"/>
      <c r="I32" s="1619"/>
      <c r="J32" s="1619"/>
      <c r="K32" s="1619"/>
      <c r="L32" s="1619"/>
      <c r="M32" s="1221"/>
      <c r="N32" s="337"/>
      <c r="O32" s="337"/>
      <c r="P32" s="400"/>
      <c r="Q32" s="400"/>
      <c r="R32" s="400"/>
      <c r="S32" s="400"/>
      <c r="T32" s="400"/>
      <c r="U32" s="400"/>
      <c r="V32" s="400"/>
      <c r="W32" s="400"/>
      <c r="X32" s="400"/>
      <c r="Y32" s="400"/>
      <c r="Z32" s="400"/>
      <c r="AA32" s="400"/>
      <c r="AB32" s="400"/>
      <c r="AC32" s="400"/>
      <c r="AD32" s="400"/>
      <c r="AE32" s="400"/>
      <c r="AF32" s="400"/>
      <c r="AG32" s="400"/>
      <c r="AH32" s="400"/>
      <c r="AI32" s="400"/>
      <c r="AJ32" s="400"/>
      <c r="AK32" s="400"/>
      <c r="AL32" s="400"/>
      <c r="AM32" s="400"/>
      <c r="AN32" s="400"/>
      <c r="AO32" s="400"/>
      <c r="AP32" s="400"/>
      <c r="AQ32" s="400"/>
      <c r="AR32" s="400"/>
      <c r="AS32" s="400"/>
      <c r="AT32" s="400"/>
      <c r="AU32" s="400"/>
      <c r="AV32" s="400"/>
      <c r="AW32" s="400"/>
      <c r="AX32" s="400"/>
      <c r="AY32" s="400"/>
      <c r="AZ32" s="400"/>
      <c r="BA32" s="400"/>
      <c r="BB32" s="400"/>
      <c r="BC32" s="400"/>
      <c r="BD32" s="400"/>
      <c r="BE32" s="400"/>
    </row>
    <row r="33" spans="1:57" s="95" customFormat="1" ht="15.75" customHeight="1">
      <c r="A33" s="400"/>
      <c r="B33" s="57"/>
      <c r="C33" s="64" t="s">
        <v>521</v>
      </c>
      <c r="D33" s="114">
        <f>Geometry!K76</f>
        <v>30</v>
      </c>
      <c r="E33" s="41" t="s">
        <v>155</v>
      </c>
      <c r="G33" s="57"/>
      <c r="H33" s="57"/>
      <c r="I33" s="57"/>
      <c r="J33" s="57"/>
      <c r="K33" s="57"/>
      <c r="L33" s="113"/>
      <c r="M33" s="616"/>
      <c r="N33" s="337"/>
      <c r="O33" s="337"/>
      <c r="P33" s="400"/>
      <c r="Q33" s="400"/>
      <c r="R33" s="400"/>
      <c r="S33" s="400"/>
      <c r="T33" s="400"/>
      <c r="U33" s="400"/>
      <c r="V33" s="400"/>
      <c r="W33" s="400"/>
      <c r="X33" s="400"/>
      <c r="Y33" s="400"/>
      <c r="Z33" s="400"/>
      <c r="AA33" s="400"/>
      <c r="AB33" s="400"/>
      <c r="AC33" s="400"/>
      <c r="AD33" s="400"/>
      <c r="AE33" s="400"/>
      <c r="AF33" s="400"/>
      <c r="AG33" s="400"/>
      <c r="AH33" s="400"/>
      <c r="AI33" s="400"/>
      <c r="AJ33" s="400"/>
      <c r="AK33" s="400"/>
      <c r="AL33" s="400"/>
      <c r="AM33" s="400"/>
      <c r="AN33" s="400"/>
      <c r="AO33" s="400"/>
      <c r="AP33" s="400"/>
      <c r="AQ33" s="400"/>
      <c r="AR33" s="400"/>
      <c r="AS33" s="400"/>
      <c r="AT33" s="400"/>
      <c r="AU33" s="400"/>
      <c r="AV33" s="400"/>
      <c r="AW33" s="400"/>
      <c r="AX33" s="400"/>
      <c r="AY33" s="400"/>
      <c r="AZ33" s="400"/>
      <c r="BA33" s="400"/>
      <c r="BB33" s="400"/>
      <c r="BC33" s="400"/>
      <c r="BD33" s="400"/>
      <c r="BE33" s="400"/>
    </row>
    <row r="34" spans="1:57" s="95" customFormat="1" ht="15.75" customHeight="1">
      <c r="A34" s="400"/>
      <c r="B34" s="57"/>
      <c r="C34" s="64" t="s">
        <v>520</v>
      </c>
      <c r="D34" s="115">
        <f>Geometry!K77</f>
        <v>972000</v>
      </c>
      <c r="E34" s="116" t="s">
        <v>235</v>
      </c>
      <c r="F34" s="57"/>
      <c r="G34" s="57"/>
      <c r="H34" s="57"/>
      <c r="I34" s="57"/>
      <c r="J34" s="117"/>
      <c r="K34" s="57"/>
      <c r="L34" s="113"/>
      <c r="M34" s="616"/>
      <c r="N34" s="400"/>
      <c r="O34" s="400"/>
      <c r="P34" s="400"/>
      <c r="Q34" s="400"/>
      <c r="R34" s="400"/>
      <c r="S34" s="400"/>
      <c r="T34" s="400"/>
      <c r="U34" s="400"/>
      <c r="V34" s="400"/>
      <c r="W34" s="400"/>
      <c r="X34" s="400"/>
      <c r="Y34" s="400"/>
      <c r="Z34" s="400"/>
      <c r="AA34" s="400"/>
      <c r="AB34" s="400"/>
      <c r="AC34" s="400"/>
      <c r="AD34" s="400"/>
      <c r="AE34" s="400"/>
      <c r="AF34" s="400"/>
      <c r="AG34" s="400"/>
      <c r="AH34" s="400"/>
      <c r="AI34" s="400"/>
      <c r="AJ34" s="400"/>
      <c r="AK34" s="400"/>
      <c r="AL34" s="400"/>
      <c r="AM34" s="400"/>
      <c r="AN34" s="400"/>
      <c r="AO34" s="400"/>
      <c r="AP34" s="400"/>
      <c r="AQ34" s="400"/>
      <c r="AR34" s="400"/>
      <c r="AS34" s="400"/>
      <c r="AT34" s="400"/>
      <c r="AU34" s="400"/>
      <c r="AV34" s="400"/>
      <c r="AW34" s="400"/>
      <c r="AX34" s="400"/>
      <c r="AY34" s="400"/>
      <c r="AZ34" s="400"/>
      <c r="BA34" s="400"/>
      <c r="BB34" s="400"/>
      <c r="BC34" s="400"/>
      <c r="BD34" s="400"/>
      <c r="BE34" s="400"/>
    </row>
    <row r="35" spans="1:57" s="95" customFormat="1" ht="15.75" customHeight="1">
      <c r="A35" s="400"/>
      <c r="B35" s="57"/>
      <c r="C35" s="64" t="s">
        <v>504</v>
      </c>
      <c r="D35" s="115">
        <f>D34/D33</f>
        <v>32400</v>
      </c>
      <c r="E35" s="116" t="s">
        <v>93</v>
      </c>
      <c r="F35" s="1038" t="s">
        <v>505</v>
      </c>
      <c r="G35" s="57"/>
      <c r="H35" s="57"/>
      <c r="I35" s="57"/>
      <c r="J35" s="117"/>
      <c r="K35" s="57"/>
      <c r="L35" s="113"/>
      <c r="M35" s="616"/>
      <c r="N35" s="400"/>
      <c r="O35" s="400"/>
      <c r="P35" s="400"/>
      <c r="Q35" s="400"/>
      <c r="R35" s="400"/>
      <c r="S35" s="400"/>
      <c r="T35" s="400"/>
      <c r="U35" s="400"/>
      <c r="V35" s="400"/>
      <c r="W35" s="400"/>
      <c r="X35" s="400"/>
      <c r="Y35" s="400"/>
      <c r="Z35" s="400"/>
      <c r="AA35" s="400"/>
      <c r="AB35" s="400"/>
      <c r="AC35" s="400"/>
      <c r="AD35" s="400"/>
      <c r="AE35" s="400"/>
      <c r="AF35" s="400"/>
      <c r="AG35" s="400"/>
      <c r="AH35" s="400"/>
      <c r="AI35" s="400"/>
      <c r="AJ35" s="400"/>
      <c r="AK35" s="400"/>
      <c r="AL35" s="400"/>
      <c r="AM35" s="400"/>
      <c r="AN35" s="400"/>
      <c r="AO35" s="400"/>
      <c r="AP35" s="400"/>
      <c r="AQ35" s="400"/>
      <c r="AR35" s="400"/>
      <c r="AS35" s="400"/>
      <c r="AT35" s="400"/>
      <c r="AU35" s="400"/>
      <c r="AV35" s="400"/>
      <c r="AW35" s="400"/>
      <c r="AX35" s="400"/>
      <c r="AY35" s="400"/>
      <c r="AZ35" s="400"/>
      <c r="BA35" s="400"/>
      <c r="BB35" s="400"/>
      <c r="BC35" s="400"/>
      <c r="BD35" s="400"/>
      <c r="BE35" s="400"/>
    </row>
    <row r="36" spans="1:57" s="95" customFormat="1" ht="15.75" customHeight="1">
      <c r="A36" s="400"/>
      <c r="B36" s="57"/>
      <c r="C36" s="64" t="s">
        <v>483</v>
      </c>
      <c r="D36" s="119">
        <f>0.24*SQRT(fc)</f>
        <v>0.45536798306424658</v>
      </c>
      <c r="E36" s="116" t="s">
        <v>196</v>
      </c>
      <c r="F36" s="1038" t="str">
        <f>"{0.24 x √"&amp;Geometry!G62&amp;" ksi}"</f>
        <v>{0.24 x √3.6 ksi}</v>
      </c>
      <c r="G36" s="766"/>
      <c r="H36" s="98" t="s">
        <v>1408</v>
      </c>
      <c r="I36" s="766"/>
      <c r="J36" s="766"/>
      <c r="K36" s="766"/>
      <c r="L36" s="1037" t="s">
        <v>1418</v>
      </c>
      <c r="M36" s="1221"/>
      <c r="N36" s="1303" t="s">
        <v>1473</v>
      </c>
      <c r="O36" s="400"/>
      <c r="P36" s="400"/>
      <c r="Q36" s="400"/>
      <c r="R36" s="400"/>
      <c r="S36" s="400"/>
      <c r="T36" s="400"/>
      <c r="U36" s="400"/>
      <c r="V36" s="400"/>
      <c r="W36" s="400"/>
      <c r="X36" s="400"/>
      <c r="Y36" s="400"/>
      <c r="Z36" s="400"/>
      <c r="AA36" s="400"/>
      <c r="AB36" s="400"/>
      <c r="AC36" s="400"/>
      <c r="AD36" s="400"/>
      <c r="AE36" s="400"/>
      <c r="AF36" s="400"/>
      <c r="AG36" s="400"/>
      <c r="AH36" s="400"/>
      <c r="AI36" s="400"/>
      <c r="AJ36" s="400"/>
      <c r="AK36" s="400"/>
      <c r="AL36" s="400"/>
      <c r="AM36" s="400"/>
      <c r="AN36" s="400"/>
      <c r="AO36" s="400"/>
      <c r="AP36" s="400"/>
      <c r="AQ36" s="400"/>
      <c r="AR36" s="400"/>
      <c r="AS36" s="400"/>
      <c r="AT36" s="400"/>
      <c r="AU36" s="400"/>
      <c r="AV36" s="400"/>
      <c r="AW36" s="400"/>
      <c r="AX36" s="400"/>
      <c r="AY36" s="400"/>
      <c r="AZ36" s="400"/>
      <c r="BA36" s="400"/>
      <c r="BB36" s="400"/>
      <c r="BC36" s="400"/>
      <c r="BD36" s="400"/>
      <c r="BE36" s="400"/>
    </row>
    <row r="37" spans="1:57" s="95" customFormat="1" ht="15.75" customHeight="1">
      <c r="A37" s="400"/>
      <c r="C37" s="1373" t="s">
        <v>1587</v>
      </c>
      <c r="D37" s="115">
        <f>D36*D35</f>
        <v>14753.922651281589</v>
      </c>
      <c r="E37" s="116" t="s">
        <v>403</v>
      </c>
      <c r="F37" s="91" t="s">
        <v>1407</v>
      </c>
      <c r="G37" s="1039"/>
      <c r="H37" s="766"/>
      <c r="I37" s="766"/>
      <c r="J37" s="766"/>
      <c r="K37" s="1040"/>
      <c r="L37" s="1037" t="s">
        <v>1578</v>
      </c>
      <c r="M37" s="1221"/>
      <c r="N37" s="1303"/>
      <c r="O37" s="400"/>
      <c r="P37" s="400"/>
      <c r="Q37" s="400"/>
      <c r="R37" s="400"/>
      <c r="S37" s="400"/>
      <c r="T37" s="400"/>
      <c r="U37" s="400"/>
      <c r="V37" s="400"/>
      <c r="W37" s="400"/>
      <c r="X37" s="400"/>
      <c r="Y37" s="400"/>
      <c r="Z37" s="400"/>
      <c r="AA37" s="400"/>
      <c r="AB37" s="400"/>
      <c r="AC37" s="400"/>
      <c r="AD37" s="400"/>
      <c r="AE37" s="400"/>
      <c r="AF37" s="400"/>
      <c r="AG37" s="400"/>
      <c r="AH37" s="400"/>
      <c r="AI37" s="400"/>
      <c r="AJ37" s="400"/>
      <c r="AK37" s="400"/>
      <c r="AL37" s="400"/>
      <c r="AM37" s="400"/>
      <c r="AN37" s="400"/>
      <c r="AO37" s="400"/>
      <c r="AP37" s="400"/>
      <c r="AQ37" s="400"/>
      <c r="AR37" s="400"/>
      <c r="AS37" s="400"/>
      <c r="AT37" s="400"/>
      <c r="AU37" s="400"/>
      <c r="AV37" s="400"/>
      <c r="AW37" s="400"/>
      <c r="AX37" s="400"/>
      <c r="AY37" s="400"/>
      <c r="AZ37" s="400"/>
      <c r="BA37" s="400"/>
      <c r="BB37" s="400"/>
      <c r="BC37" s="400"/>
      <c r="BD37" s="400"/>
      <c r="BE37" s="400"/>
    </row>
    <row r="38" spans="1:57" s="95" customFormat="1" ht="15.75" customHeight="1">
      <c r="A38" s="400"/>
      <c r="C38" s="1373" t="str">
        <f>"1.6 x " &amp; IF(fy=60,0.75,IF(fy=75,0.75,IF(fy=80,0.8,IF(fy=100,0.67,0.8)))) &amp; " x Mcr-="</f>
        <v>1.6 x 0.75 x Mcr-=</v>
      </c>
      <c r="D38" s="115">
        <f>1.6*IF(fy=60,0.75,IF(fy=75,0.75,IF(fy=80,0.8,IF(fy=100,0.67,0.8))))*D37</f>
        <v>17704.707181537909</v>
      </c>
      <c r="E38" s="116" t="s">
        <v>403</v>
      </c>
      <c r="F38" s="766" t="str">
        <f>IF(D38&lt;=D39,"Controls","Does not control")</f>
        <v>Controls</v>
      </c>
      <c r="L38" s="1037" t="s">
        <v>1579</v>
      </c>
      <c r="M38" s="616"/>
      <c r="N38" s="400"/>
      <c r="O38" s="400"/>
      <c r="P38" s="400"/>
      <c r="Q38" s="400"/>
      <c r="R38" s="400"/>
      <c r="S38" s="400"/>
      <c r="T38" s="400"/>
      <c r="U38" s="400"/>
      <c r="V38" s="400"/>
      <c r="W38" s="400"/>
      <c r="X38" s="400"/>
      <c r="Y38" s="400"/>
      <c r="Z38" s="400"/>
      <c r="AA38" s="400"/>
      <c r="AB38" s="400"/>
      <c r="AC38" s="400"/>
      <c r="AD38" s="400"/>
      <c r="AE38" s="400"/>
      <c r="AF38" s="400"/>
      <c r="AG38" s="400"/>
      <c r="AH38" s="400"/>
      <c r="AI38" s="400"/>
      <c r="AJ38" s="400"/>
      <c r="AK38" s="400"/>
      <c r="AL38" s="400"/>
      <c r="AM38" s="400"/>
      <c r="AN38" s="400"/>
      <c r="AO38" s="400"/>
      <c r="AP38" s="400"/>
      <c r="AQ38" s="400"/>
      <c r="AR38" s="400"/>
      <c r="AS38" s="400"/>
      <c r="AT38" s="400"/>
      <c r="AU38" s="400"/>
      <c r="AV38" s="400"/>
      <c r="AW38" s="400"/>
      <c r="AX38" s="400"/>
      <c r="AY38" s="400"/>
      <c r="AZ38" s="400"/>
      <c r="BA38" s="400"/>
      <c r="BB38" s="400"/>
      <c r="BC38" s="400"/>
      <c r="BD38" s="400"/>
      <c r="BE38" s="400"/>
    </row>
    <row r="39" spans="1:57" s="95" customFormat="1" ht="15.75" customHeight="1">
      <c r="A39" s="400"/>
      <c r="C39" s="64" t="s">
        <v>506</v>
      </c>
      <c r="D39" s="115">
        <f>1.33*D16</f>
        <v>275577.16321529058</v>
      </c>
      <c r="E39" s="116" t="s">
        <v>403</v>
      </c>
      <c r="F39" s="766" t="str">
        <f>IF(D39&lt;D38,"Controls","Does not control")</f>
        <v>Does not control</v>
      </c>
      <c r="G39" s="120"/>
      <c r="L39" s="112"/>
      <c r="M39" s="616"/>
      <c r="N39" s="400"/>
      <c r="O39" s="400"/>
      <c r="P39" s="400"/>
      <c r="Q39" s="400"/>
      <c r="R39" s="400"/>
      <c r="S39" s="400"/>
      <c r="T39" s="400"/>
      <c r="U39" s="400"/>
      <c r="V39" s="400"/>
      <c r="W39" s="400"/>
      <c r="X39" s="400"/>
      <c r="Y39" s="400"/>
      <c r="Z39" s="400"/>
      <c r="AA39" s="400"/>
      <c r="AB39" s="400"/>
      <c r="AC39" s="400"/>
      <c r="AD39" s="400"/>
      <c r="AE39" s="400"/>
      <c r="AF39" s="400"/>
      <c r="AG39" s="400"/>
      <c r="AH39" s="400"/>
      <c r="AI39" s="400"/>
      <c r="AJ39" s="400"/>
      <c r="AK39" s="400"/>
      <c r="AL39" s="400"/>
      <c r="AM39" s="400"/>
      <c r="AN39" s="400"/>
      <c r="AO39" s="400"/>
      <c r="AP39" s="400"/>
      <c r="AQ39" s="400"/>
      <c r="AR39" s="400"/>
      <c r="AS39" s="400"/>
      <c r="AT39" s="400"/>
      <c r="AU39" s="400"/>
      <c r="AV39" s="400"/>
      <c r="AW39" s="400"/>
      <c r="AX39" s="400"/>
      <c r="AY39" s="400"/>
      <c r="AZ39" s="400"/>
      <c r="BA39" s="400"/>
      <c r="BB39" s="400"/>
      <c r="BC39" s="400"/>
      <c r="BD39" s="400"/>
      <c r="BE39" s="400"/>
    </row>
    <row r="40" spans="1:57" s="95" customFormat="1" ht="15.75" customHeight="1">
      <c r="A40" s="400"/>
      <c r="D40" s="121"/>
      <c r="E40" s="64" t="s">
        <v>508</v>
      </c>
      <c r="F40" s="115">
        <f>MIN(D38,D39)</f>
        <v>17704.707181537909</v>
      </c>
      <c r="G40" s="116" t="s">
        <v>403</v>
      </c>
      <c r="H40" s="1621">
        <f>F40/D28</f>
        <v>0.48200144622597513</v>
      </c>
      <c r="I40" s="1621"/>
      <c r="J40" s="1620" t="str">
        <f>IF(D28&gt;F40, "As &gt; Asmin - OK","Below As minimum")</f>
        <v>As &gt; Asmin - OK</v>
      </c>
      <c r="K40" s="1620"/>
      <c r="L40" s="1620"/>
      <c r="M40" s="616"/>
      <c r="N40" s="400"/>
      <c r="O40" s="400"/>
      <c r="P40" s="400"/>
      <c r="Q40" s="400"/>
      <c r="R40" s="400"/>
      <c r="S40" s="400"/>
      <c r="T40" s="400"/>
      <c r="U40" s="400"/>
      <c r="V40" s="400"/>
      <c r="W40" s="400"/>
      <c r="X40" s="400"/>
      <c r="Y40" s="400"/>
      <c r="Z40" s="400"/>
      <c r="AA40" s="400"/>
      <c r="AB40" s="400"/>
      <c r="AC40" s="400"/>
      <c r="AD40" s="400"/>
      <c r="AE40" s="400"/>
      <c r="AF40" s="400"/>
      <c r="AG40" s="400"/>
      <c r="AH40" s="400"/>
      <c r="AI40" s="400"/>
      <c r="AJ40" s="400"/>
      <c r="AK40" s="400"/>
      <c r="AL40" s="400"/>
      <c r="AM40" s="400"/>
      <c r="AN40" s="400"/>
      <c r="AO40" s="400"/>
      <c r="AP40" s="400"/>
      <c r="AQ40" s="400"/>
      <c r="AR40" s="400"/>
      <c r="AS40" s="400"/>
      <c r="AT40" s="400"/>
      <c r="AU40" s="400"/>
      <c r="AV40" s="400"/>
      <c r="AW40" s="400"/>
      <c r="AX40" s="400"/>
      <c r="AY40" s="400"/>
      <c r="AZ40" s="400"/>
      <c r="BA40" s="400"/>
      <c r="BB40" s="400"/>
      <c r="BC40" s="400"/>
      <c r="BD40" s="400"/>
      <c r="BE40" s="400"/>
    </row>
    <row r="41" spans="1:57" s="95" customFormat="1" ht="0.75" customHeight="1">
      <c r="A41" s="400"/>
      <c r="C41" s="64"/>
      <c r="D41" s="121"/>
      <c r="E41" s="116"/>
      <c r="F41" s="77"/>
      <c r="G41" s="120"/>
      <c r="I41" s="58"/>
      <c r="J41" s="58"/>
      <c r="K41" s="58"/>
      <c r="L41" s="113"/>
      <c r="M41" s="616"/>
      <c r="N41" s="400"/>
      <c r="O41" s="400"/>
      <c r="P41" s="400"/>
      <c r="Q41" s="400"/>
      <c r="R41" s="400"/>
      <c r="S41" s="400"/>
      <c r="T41" s="400"/>
      <c r="U41" s="400"/>
      <c r="V41" s="400"/>
      <c r="W41" s="400"/>
      <c r="X41" s="400"/>
      <c r="Y41" s="400"/>
      <c r="Z41" s="400"/>
      <c r="AA41" s="400"/>
      <c r="AB41" s="400"/>
      <c r="AC41" s="400"/>
      <c r="AD41" s="400"/>
      <c r="AE41" s="400"/>
      <c r="AF41" s="400"/>
      <c r="AG41" s="400"/>
      <c r="AH41" s="400"/>
      <c r="AI41" s="400"/>
      <c r="AJ41" s="400"/>
      <c r="AK41" s="400"/>
      <c r="AL41" s="400"/>
      <c r="AM41" s="400"/>
      <c r="AN41" s="400"/>
      <c r="AO41" s="400"/>
      <c r="AP41" s="400"/>
      <c r="AQ41" s="400"/>
      <c r="AR41" s="400"/>
      <c r="AS41" s="400"/>
      <c r="AT41" s="400"/>
      <c r="AU41" s="400"/>
      <c r="AV41" s="400"/>
      <c r="AW41" s="400"/>
      <c r="AX41" s="400"/>
      <c r="AY41" s="400"/>
      <c r="AZ41" s="400"/>
      <c r="BA41" s="400"/>
      <c r="BB41" s="400"/>
      <c r="BC41" s="400"/>
      <c r="BD41" s="400"/>
      <c r="BE41" s="400"/>
    </row>
    <row r="42" spans="1:57" s="95" customFormat="1" ht="13.5" thickBot="1">
      <c r="A42" s="400"/>
      <c r="B42" s="1619" t="s">
        <v>1423</v>
      </c>
      <c r="C42" s="1619"/>
      <c r="D42" s="1619"/>
      <c r="E42" s="1619"/>
      <c r="F42" s="1619"/>
      <c r="G42" s="1619"/>
      <c r="H42" s="1619"/>
      <c r="I42" s="1619"/>
      <c r="J42" s="1619"/>
      <c r="K42" s="1619"/>
      <c r="L42" s="1619"/>
      <c r="M42" s="1221"/>
      <c r="N42" s="1303" t="s">
        <v>1473</v>
      </c>
      <c r="O42" s="400"/>
      <c r="P42" s="400"/>
      <c r="Q42" s="400"/>
      <c r="R42" s="400"/>
      <c r="S42" s="400"/>
      <c r="T42" s="400"/>
      <c r="U42" s="400"/>
      <c r="V42" s="400"/>
      <c r="W42" s="400"/>
      <c r="X42" s="400"/>
      <c r="Y42" s="400"/>
      <c r="Z42" s="400"/>
      <c r="AA42" s="400"/>
      <c r="AB42" s="400"/>
      <c r="AC42" s="400"/>
      <c r="AD42" s="400"/>
      <c r="AE42" s="400"/>
      <c r="AF42" s="400"/>
      <c r="AG42" s="400"/>
      <c r="AH42" s="400"/>
      <c r="AI42" s="400"/>
      <c r="AJ42" s="400"/>
      <c r="AK42" s="400"/>
      <c r="AL42" s="400"/>
      <c r="AM42" s="400"/>
      <c r="AN42" s="400"/>
      <c r="AO42" s="400"/>
      <c r="AP42" s="400"/>
      <c r="AQ42" s="400"/>
      <c r="AR42" s="400"/>
      <c r="AS42" s="400"/>
      <c r="AT42" s="400"/>
      <c r="AU42" s="400"/>
      <c r="AV42" s="400"/>
      <c r="AW42" s="400"/>
      <c r="AX42" s="400"/>
      <c r="AY42" s="400"/>
      <c r="AZ42" s="400"/>
      <c r="BA42" s="400"/>
      <c r="BB42" s="400"/>
      <c r="BC42" s="400"/>
      <c r="BD42" s="400"/>
      <c r="BE42" s="400"/>
    </row>
    <row r="43" spans="1:57" s="95" customFormat="1" ht="15.75" customHeight="1">
      <c r="A43" s="400"/>
      <c r="E43" s="115" t="s">
        <v>410</v>
      </c>
      <c r="F43" s="91" t="str">
        <f>"{(("&amp;IF(CapType="Tee",Geometry!K68,capstemWidth)&amp;" in - 2 x " &amp; cover &amp;" in - "&amp;VLOOKUP(BarS,BarTable,2) &amp;" in - "&amp;VLOOKUP(F10,BarTable,2,FALSE)&amp;" in)/("&amp;MAX(H10:H12)&amp;" - 1)) -"&amp;VLOOKUP(F10,BarTable,2,FALSE)&amp;" in}"</f>
        <v>{((54 in - 2 x 2.3125 in - 0.625 in - 1.41 in)/(8 - 1)) -1.41 in}</v>
      </c>
      <c r="H43" s="96"/>
      <c r="L43" s="1044" t="str">
        <f>IF(AND($F$44&gt;=3,F44+VLOOKUP(F10,BarTable,2,FALSE)&lt;=12),"Spacing - OK","Spacing - NG")</f>
        <v>Spacing - OK</v>
      </c>
      <c r="M43" s="616"/>
      <c r="N43" s="400"/>
      <c r="O43" s="400"/>
      <c r="P43" s="400"/>
      <c r="Q43" s="400"/>
      <c r="R43" s="400"/>
      <c r="S43" s="400"/>
      <c r="T43" s="400"/>
      <c r="U43" s="400"/>
      <c r="V43" s="400"/>
      <c r="W43" s="400"/>
      <c r="X43" s="400"/>
      <c r="Y43" s="400"/>
      <c r="Z43" s="400"/>
      <c r="AA43" s="400"/>
      <c r="AB43" s="400"/>
      <c r="AC43" s="400"/>
      <c r="AD43" s="400"/>
      <c r="AE43" s="400"/>
      <c r="AF43" s="400"/>
      <c r="AG43" s="400"/>
      <c r="AH43" s="400"/>
      <c r="AI43" s="400"/>
      <c r="AJ43" s="400"/>
      <c r="AK43" s="400"/>
      <c r="AL43" s="400"/>
      <c r="AM43" s="400"/>
      <c r="AN43" s="400"/>
      <c r="AO43" s="400"/>
      <c r="AP43" s="400"/>
      <c r="AQ43" s="400"/>
      <c r="AR43" s="400"/>
      <c r="AS43" s="400"/>
      <c r="AT43" s="400"/>
      <c r="AU43" s="400"/>
      <c r="AV43" s="400"/>
      <c r="AW43" s="400"/>
      <c r="AX43" s="400"/>
      <c r="AY43" s="400"/>
      <c r="AZ43" s="400"/>
      <c r="BA43" s="400"/>
      <c r="BB43" s="400"/>
      <c r="BC43" s="400"/>
      <c r="BD43" s="400"/>
      <c r="BE43" s="400"/>
    </row>
    <row r="44" spans="1:57" s="95" customFormat="1" ht="15.75" customHeight="1">
      <c r="A44" s="400"/>
      <c r="C44" s="96"/>
      <c r="D44" s="121"/>
      <c r="E44" s="122" t="s">
        <v>530</v>
      </c>
      <c r="F44" s="114">
        <f>((IF(CapType="Tee",Geometry!K68,capstemWidth)-2*cover-VLOOKUP(BarS,BarTable,2)-VLOOKUP(F10,BarTable,2,FALSE))/(MAX(H10:H12)-1))-VLOOKUP(F10,BarTable,2,FALSE)</f>
        <v>5.3528571428571432</v>
      </c>
      <c r="G44" s="41" t="s">
        <v>409</v>
      </c>
      <c r="H44" s="1035" t="str">
        <f>IF($F$44&gt;=3,"≥ 3.0 in","&lt; 3.0 in")</f>
        <v>≥ 3.0 in</v>
      </c>
      <c r="I44" s="1036" t="s">
        <v>1421</v>
      </c>
      <c r="J44" s="766"/>
      <c r="L44" s="1037" t="s">
        <v>1420</v>
      </c>
      <c r="M44" s="1221"/>
      <c r="N44" s="1303" t="s">
        <v>1473</v>
      </c>
      <c r="O44" s="400"/>
      <c r="P44" s="400"/>
      <c r="Q44" s="400"/>
      <c r="R44" s="400"/>
      <c r="S44" s="400"/>
      <c r="T44" s="400"/>
      <c r="U44" s="400"/>
      <c r="V44" s="400"/>
      <c r="W44" s="400"/>
      <c r="X44" s="400"/>
      <c r="Y44" s="400"/>
      <c r="Z44" s="400"/>
      <c r="AA44" s="400"/>
      <c r="AB44" s="400"/>
      <c r="AC44" s="400"/>
      <c r="AD44" s="400"/>
      <c r="AE44" s="400"/>
      <c r="AF44" s="400"/>
      <c r="AG44" s="400"/>
      <c r="AH44" s="400"/>
      <c r="AI44" s="400"/>
      <c r="AJ44" s="400"/>
      <c r="AK44" s="400"/>
      <c r="AL44" s="400"/>
      <c r="AM44" s="400"/>
      <c r="AN44" s="400"/>
      <c r="AO44" s="400"/>
      <c r="AP44" s="400"/>
      <c r="AQ44" s="400"/>
      <c r="AR44" s="400"/>
      <c r="AS44" s="400"/>
      <c r="AT44" s="400"/>
      <c r="AU44" s="400"/>
      <c r="AV44" s="400"/>
      <c r="AW44" s="400"/>
      <c r="AX44" s="400"/>
      <c r="AY44" s="400"/>
      <c r="AZ44" s="400"/>
      <c r="BA44" s="400"/>
      <c r="BB44" s="400"/>
      <c r="BC44" s="400"/>
      <c r="BD44" s="400"/>
      <c r="BE44" s="400"/>
    </row>
    <row r="45" spans="1:57" s="95" customFormat="1" ht="15.75" customHeight="1">
      <c r="A45" s="400"/>
      <c r="C45" s="96"/>
      <c r="D45" s="121"/>
      <c r="F45" s="114"/>
      <c r="G45" s="41"/>
      <c r="H45" s="1036" t="str">
        <f>IF(F44+VLOOKUP(F10,BarTable,2,FALSE)&gt;12,"&gt; 12 in (c-c)","≤ 12 in (c-c)")</f>
        <v>≤ 12 in (c-c)</v>
      </c>
      <c r="I45" s="766"/>
      <c r="J45" s="766"/>
      <c r="L45" s="1037" t="s">
        <v>1580</v>
      </c>
      <c r="M45" s="1223"/>
      <c r="N45" s="617"/>
      <c r="O45" s="400"/>
      <c r="P45" s="400"/>
      <c r="Q45" s="618"/>
      <c r="R45" s="400"/>
      <c r="S45" s="400"/>
      <c r="T45" s="400"/>
      <c r="U45" s="400"/>
      <c r="V45" s="400"/>
      <c r="W45" s="400"/>
      <c r="X45" s="400"/>
      <c r="Y45" s="400"/>
      <c r="Z45" s="400"/>
      <c r="AA45" s="400"/>
      <c r="AB45" s="400"/>
      <c r="AC45" s="400"/>
      <c r="AD45" s="400"/>
      <c r="AE45" s="400"/>
      <c r="AF45" s="400"/>
      <c r="AG45" s="400"/>
      <c r="AH45" s="400"/>
      <c r="AI45" s="400"/>
      <c r="AJ45" s="400"/>
      <c r="AK45" s="400"/>
      <c r="AL45" s="400"/>
      <c r="AM45" s="400"/>
      <c r="AN45" s="400"/>
      <c r="AO45" s="400"/>
      <c r="AP45" s="400"/>
      <c r="AQ45" s="400"/>
      <c r="AR45" s="400"/>
      <c r="AS45" s="400"/>
      <c r="AT45" s="400"/>
      <c r="AU45" s="400"/>
      <c r="AV45" s="400"/>
      <c r="AW45" s="400"/>
      <c r="AX45" s="400"/>
      <c r="AY45" s="400"/>
      <c r="AZ45" s="400"/>
      <c r="BA45" s="400"/>
      <c r="BB45" s="400"/>
      <c r="BC45" s="400"/>
      <c r="BD45" s="400"/>
      <c r="BE45" s="400"/>
    </row>
    <row r="46" spans="1:57" s="95" customFormat="1" ht="15.75" customHeight="1">
      <c r="A46" s="400"/>
      <c r="C46" s="96"/>
      <c r="D46" s="121"/>
      <c r="E46" s="115" t="s">
        <v>689</v>
      </c>
      <c r="F46" s="114"/>
      <c r="G46" s="41"/>
      <c r="H46" s="1035"/>
      <c r="I46" s="1036"/>
      <c r="J46" s="766"/>
      <c r="L46" s="112"/>
      <c r="M46" s="616"/>
      <c r="O46" s="400"/>
      <c r="P46" s="400"/>
      <c r="Q46" s="400"/>
      <c r="R46" s="400"/>
      <c r="S46" s="400"/>
      <c r="T46" s="400"/>
      <c r="U46" s="400"/>
      <c r="V46" s="400"/>
      <c r="W46" s="400"/>
      <c r="X46" s="400"/>
      <c r="Y46" s="400"/>
      <c r="Z46" s="400"/>
      <c r="AA46" s="400"/>
      <c r="AB46" s="400"/>
      <c r="AC46" s="400"/>
      <c r="AD46" s="400"/>
      <c r="AE46" s="400"/>
      <c r="AF46" s="400"/>
      <c r="AG46" s="400"/>
      <c r="AH46" s="400"/>
      <c r="AI46" s="400"/>
      <c r="AJ46" s="400"/>
      <c r="AK46" s="400"/>
      <c r="AL46" s="400"/>
      <c r="AM46" s="400"/>
      <c r="AN46" s="400"/>
      <c r="AO46" s="400"/>
      <c r="AP46" s="400"/>
      <c r="AQ46" s="400"/>
      <c r="AR46" s="400"/>
      <c r="AS46" s="400"/>
      <c r="AT46" s="400"/>
      <c r="AU46" s="400"/>
      <c r="AV46" s="400"/>
      <c r="AW46" s="400"/>
      <c r="AX46" s="400"/>
      <c r="AY46" s="400"/>
      <c r="AZ46" s="400"/>
      <c r="BA46" s="400"/>
      <c r="BB46" s="400"/>
      <c r="BC46" s="400"/>
      <c r="BD46" s="400"/>
      <c r="BE46" s="400"/>
    </row>
    <row r="47" spans="1:57" s="95" customFormat="1" ht="15.75" customHeight="1">
      <c r="A47" s="400"/>
      <c r="C47" s="96"/>
      <c r="D47" s="121"/>
      <c r="E47" s="115" t="s">
        <v>220</v>
      </c>
      <c r="F47" s="114">
        <f>2*SQRT(2*VLOOKUP(F10,BarTable,3,FALSE)/PI())</f>
        <v>1.9950305303032629</v>
      </c>
      <c r="G47" s="95" t="s">
        <v>409</v>
      </c>
      <c r="H47" s="91" t="str">
        <f>"{2 x √(2 x "&amp;VLOOKUP(F10,BarTable,3,FALSE)&amp;"in² / π)}"</f>
        <v>{2 x √(2 x 1.563in² / π)}</v>
      </c>
      <c r="I47" s="766"/>
      <c r="J47" s="766"/>
      <c r="L47" s="1037" t="s">
        <v>688</v>
      </c>
      <c r="M47" s="1221"/>
      <c r="N47" s="400"/>
      <c r="O47" s="400"/>
      <c r="P47" s="400"/>
      <c r="Q47" s="400"/>
      <c r="R47" s="400"/>
      <c r="S47" s="400"/>
      <c r="T47" s="400"/>
      <c r="U47" s="400"/>
      <c r="V47" s="400"/>
      <c r="W47" s="400"/>
      <c r="X47" s="400"/>
      <c r="Y47" s="400"/>
      <c r="Z47" s="400"/>
      <c r="AA47" s="400"/>
      <c r="AB47" s="400"/>
      <c r="AC47" s="400"/>
      <c r="AD47" s="400"/>
      <c r="AE47" s="400"/>
      <c r="AF47" s="400"/>
      <c r="AG47" s="400"/>
      <c r="AH47" s="400"/>
      <c r="AI47" s="400"/>
      <c r="AJ47" s="400"/>
      <c r="AK47" s="400"/>
      <c r="AL47" s="400"/>
      <c r="AM47" s="400"/>
      <c r="AN47" s="400"/>
      <c r="AO47" s="400"/>
      <c r="AP47" s="400"/>
      <c r="AQ47" s="400"/>
      <c r="AR47" s="400"/>
      <c r="AS47" s="400"/>
      <c r="AT47" s="400"/>
      <c r="AU47" s="400"/>
      <c r="AV47" s="400"/>
      <c r="AW47" s="400"/>
      <c r="AX47" s="400"/>
      <c r="AY47" s="400"/>
      <c r="AZ47" s="400"/>
      <c r="BA47" s="400"/>
      <c r="BB47" s="400"/>
      <c r="BC47" s="400"/>
      <c r="BD47" s="400"/>
      <c r="BE47" s="400"/>
    </row>
    <row r="48" spans="1:57" s="95" customFormat="1" ht="15.75" customHeight="1">
      <c r="A48" s="400"/>
      <c r="C48" s="96"/>
      <c r="D48" s="121"/>
      <c r="E48" s="96" t="s">
        <v>219</v>
      </c>
      <c r="F48" s="133">
        <f>1.5*F47</f>
        <v>2.9925457954548946</v>
      </c>
      <c r="G48" s="95" t="s">
        <v>409</v>
      </c>
      <c r="H48" s="766"/>
      <c r="I48" s="766"/>
      <c r="J48" s="766"/>
      <c r="M48" s="616"/>
      <c r="N48" s="400"/>
      <c r="O48" s="400"/>
      <c r="P48" s="400"/>
      <c r="Q48" s="400"/>
      <c r="R48" s="400"/>
      <c r="S48" s="400"/>
      <c r="T48" s="400"/>
      <c r="U48" s="400"/>
      <c r="V48" s="400"/>
      <c r="W48" s="400"/>
      <c r="X48" s="400"/>
      <c r="Y48" s="400"/>
      <c r="Z48" s="400"/>
      <c r="AA48" s="400"/>
      <c r="AB48" s="400"/>
      <c r="AC48" s="400"/>
      <c r="AD48" s="400"/>
      <c r="AE48" s="400"/>
      <c r="AF48" s="400"/>
      <c r="AG48" s="400"/>
      <c r="AH48" s="400"/>
      <c r="AI48" s="400"/>
      <c r="AJ48" s="400"/>
      <c r="AK48" s="400"/>
      <c r="AL48" s="400"/>
      <c r="AM48" s="400"/>
      <c r="AN48" s="400"/>
      <c r="AO48" s="400"/>
      <c r="AP48" s="400"/>
      <c r="AQ48" s="400"/>
      <c r="AR48" s="400"/>
      <c r="AS48" s="400"/>
      <c r="AT48" s="400"/>
      <c r="AU48" s="400"/>
      <c r="AV48" s="400"/>
      <c r="AW48" s="400"/>
      <c r="AX48" s="400"/>
      <c r="AY48" s="400"/>
      <c r="AZ48" s="400"/>
      <c r="BA48" s="400"/>
      <c r="BB48" s="400"/>
      <c r="BC48" s="400"/>
      <c r="BD48" s="400"/>
      <c r="BE48" s="400"/>
    </row>
    <row r="49" spans="1:57" s="95" customFormat="1" ht="15.75" customHeight="1">
      <c r="A49" s="400"/>
      <c r="C49" s="96"/>
      <c r="D49" s="121"/>
      <c r="E49" s="115" t="s">
        <v>687</v>
      </c>
      <c r="F49" s="114">
        <f>IF(MAX(H10:H12)=2,"N/A",((IF(CapType="Tee",Geometry!K68,capstemWidth))-2*cover-VLOOKUP(BarS,BarTable,2)-2*VLOOKUP(F10,BarTable,2,FALSE))/(ROUNDUP(MAX(H10:H12)/2,0)-1))-2*VLOOKUP(F10,BarTable,2,FALSE)</f>
        <v>12.49</v>
      </c>
      <c r="G49" s="41" t="s">
        <v>409</v>
      </c>
      <c r="H49" s="91" t="str">
        <f>IF(MAX(H10:H12)=2,"{N/A}","{("&amp;IF(CapType="Tee",Geometry!K68,capstemWidth)&amp;"in - 2 x "&amp;cover&amp;"in - "&amp;VLOOKUP(BarS,BarTable,2)&amp;"in - 2 x "&amp;VLOOKUP(F10,BarTable,2,FALSE)&amp;"in) / "&amp;ROUNDUP(MAX(H10:H12)/2,0)-1&amp;" - 2 x "&amp;VLOOKUP(F10,BarTable,2,FALSE)&amp;"in}")</f>
        <v>{(54in - 2 x 2.3125in - 0.625in - 2 x 1.41in) / 3 - 2 x 1.41in}</v>
      </c>
      <c r="I49" s="766"/>
      <c r="J49" s="766"/>
      <c r="L49" s="766"/>
      <c r="M49" s="616"/>
      <c r="N49" s="400"/>
      <c r="O49" s="400"/>
      <c r="P49" s="400"/>
      <c r="Q49" s="400"/>
      <c r="R49" s="400"/>
      <c r="S49" s="400"/>
      <c r="T49" s="400"/>
      <c r="U49" s="400"/>
      <c r="V49" s="400"/>
      <c r="W49" s="400"/>
      <c r="X49" s="400"/>
      <c r="Y49" s="400"/>
      <c r="Z49" s="400"/>
      <c r="AA49" s="400"/>
      <c r="AB49" s="400"/>
      <c r="AC49" s="400"/>
      <c r="AD49" s="400"/>
      <c r="AE49" s="400"/>
      <c r="AF49" s="400"/>
      <c r="AG49" s="400"/>
      <c r="AH49" s="400"/>
      <c r="AI49" s="400"/>
      <c r="AJ49" s="400"/>
      <c r="AK49" s="400"/>
      <c r="AL49" s="400"/>
      <c r="AM49" s="400"/>
      <c r="AN49" s="400"/>
      <c r="AO49" s="400"/>
      <c r="AP49" s="400"/>
      <c r="AQ49" s="400"/>
      <c r="AR49" s="400"/>
      <c r="AS49" s="400"/>
      <c r="AT49" s="400"/>
      <c r="AU49" s="400"/>
      <c r="AV49" s="400"/>
      <c r="AW49" s="400"/>
      <c r="AX49" s="400"/>
      <c r="AY49" s="400"/>
      <c r="AZ49" s="400"/>
      <c r="BA49" s="400"/>
      <c r="BB49" s="400"/>
      <c r="BC49" s="400"/>
      <c r="BD49" s="400"/>
      <c r="BE49" s="400"/>
    </row>
    <row r="50" spans="1:57" s="95" customFormat="1" ht="15.75" customHeight="1">
      <c r="A50" s="400"/>
      <c r="C50" s="96"/>
      <c r="D50" s="121"/>
      <c r="H50" s="1035" t="str">
        <f>IF(F49&gt;1.5*ROUND(F47,2),"&gt; 1.5x"&amp;ROUND(F47,2)&amp;"in","&lt; 1.5x"&amp;ROUND(F47,2)&amp;"in")</f>
        <v>&gt; 1.5x2in</v>
      </c>
      <c r="I50" s="1036" t="s">
        <v>1422</v>
      </c>
      <c r="J50" s="766"/>
      <c r="L50" s="1037" t="s">
        <v>1420</v>
      </c>
      <c r="M50" s="1221"/>
      <c r="N50" s="1303" t="s">
        <v>1473</v>
      </c>
      <c r="O50" s="400"/>
      <c r="P50" s="400"/>
      <c r="Q50" s="400"/>
      <c r="R50" s="400"/>
      <c r="S50" s="400"/>
      <c r="T50" s="400"/>
      <c r="U50" s="400"/>
      <c r="V50" s="400"/>
      <c r="W50" s="400"/>
      <c r="X50" s="400"/>
      <c r="Y50" s="400"/>
      <c r="Z50" s="400"/>
      <c r="AA50" s="400"/>
      <c r="AB50" s="400"/>
      <c r="AC50" s="400"/>
      <c r="AD50" s="400"/>
      <c r="AE50" s="400"/>
      <c r="AF50" s="400"/>
      <c r="AG50" s="400"/>
      <c r="AH50" s="400"/>
      <c r="AI50" s="400"/>
      <c r="AJ50" s="400"/>
      <c r="AK50" s="400"/>
      <c r="AL50" s="400"/>
      <c r="AM50" s="400"/>
      <c r="AN50" s="400"/>
      <c r="AO50" s="400"/>
      <c r="AP50" s="400"/>
      <c r="AQ50" s="400"/>
      <c r="AR50" s="400"/>
      <c r="AS50" s="400"/>
      <c r="AT50" s="400"/>
      <c r="AU50" s="400"/>
      <c r="AV50" s="400"/>
      <c r="AW50" s="400"/>
      <c r="AX50" s="400"/>
      <c r="AY50" s="400"/>
      <c r="AZ50" s="400"/>
      <c r="BA50" s="400"/>
      <c r="BB50" s="400"/>
      <c r="BC50" s="400"/>
      <c r="BD50" s="400"/>
      <c r="BE50" s="400"/>
    </row>
    <row r="51" spans="1:57" s="95" customFormat="1" ht="15.75" customHeight="1">
      <c r="A51" s="400"/>
      <c r="C51" s="96"/>
      <c r="D51" s="121"/>
      <c r="H51" s="1035" t="str">
        <f>IF(F49&gt;3,"&gt; 3.0 in","&lt; 3.0 in")</f>
        <v>&gt; 3.0 in</v>
      </c>
      <c r="I51" s="1036" t="s">
        <v>1421</v>
      </c>
      <c r="J51" s="766"/>
      <c r="L51" s="1037" t="s">
        <v>1420</v>
      </c>
      <c r="M51" s="1223"/>
      <c r="N51" s="1303" t="s">
        <v>1473</v>
      </c>
      <c r="O51" s="400"/>
      <c r="P51" s="400"/>
      <c r="Q51" s="400"/>
      <c r="R51" s="400"/>
      <c r="S51" s="400"/>
      <c r="T51" s="400"/>
      <c r="U51" s="400"/>
      <c r="V51" s="400"/>
      <c r="W51" s="400"/>
      <c r="X51" s="400"/>
      <c r="Y51" s="400"/>
      <c r="Z51" s="400"/>
      <c r="AA51" s="400"/>
      <c r="AB51" s="400"/>
      <c r="AC51" s="400"/>
      <c r="AD51" s="400"/>
      <c r="AE51" s="400"/>
      <c r="AF51" s="400"/>
      <c r="AG51" s="400"/>
      <c r="AH51" s="400"/>
      <c r="AI51" s="400"/>
      <c r="AJ51" s="400"/>
      <c r="AK51" s="400"/>
      <c r="AL51" s="400"/>
      <c r="AM51" s="400"/>
      <c r="AN51" s="400"/>
      <c r="AO51" s="400"/>
      <c r="AP51" s="400"/>
      <c r="AQ51" s="400"/>
      <c r="AR51" s="400"/>
      <c r="AS51" s="400"/>
      <c r="AT51" s="400"/>
      <c r="AU51" s="400"/>
      <c r="AV51" s="400"/>
      <c r="AW51" s="400"/>
      <c r="AX51" s="400"/>
      <c r="AY51" s="400"/>
      <c r="AZ51" s="400"/>
      <c r="BA51" s="400"/>
      <c r="BB51" s="400"/>
      <c r="BC51" s="400"/>
      <c r="BD51" s="400"/>
      <c r="BE51" s="400"/>
    </row>
    <row r="52" spans="1:57" s="95" customFormat="1" ht="12.75" customHeight="1">
      <c r="A52" s="400"/>
      <c r="C52" s="96"/>
      <c r="D52" s="121"/>
      <c r="E52" s="122"/>
      <c r="F52" s="114"/>
      <c r="G52" s="41"/>
      <c r="H52" s="116"/>
      <c r="I52" s="41"/>
      <c r="L52" s="1044" t="str">
        <f>IF(MAX(H10:H12)=2,"N/A",IF(L43="Spacing - OK","Bundling Not Required - OK",IF(AND(F49&gt;3,F49+2*VLOOKUP(F10,BarTable,2,FALSE)&lt;=12,F49&gt;1.5*F47),"Bundled Spacing - OK","Bundled Spacing - NG")))</f>
        <v>Bundling Not Required - OK</v>
      </c>
      <c r="M52" s="616"/>
      <c r="N52" s="400"/>
      <c r="O52" s="400"/>
      <c r="P52" s="400"/>
      <c r="Q52" s="400"/>
      <c r="R52" s="400"/>
      <c r="S52" s="400"/>
      <c r="T52" s="400"/>
      <c r="U52" s="400"/>
      <c r="V52" s="400"/>
      <c r="W52" s="400"/>
      <c r="X52" s="400"/>
      <c r="Y52" s="400"/>
      <c r="Z52" s="400"/>
      <c r="AA52" s="400"/>
      <c r="AB52" s="400"/>
      <c r="AC52" s="400"/>
      <c r="AD52" s="400"/>
      <c r="AE52" s="400"/>
      <c r="AF52" s="400"/>
      <c r="AG52" s="400"/>
      <c r="AH52" s="400"/>
      <c r="AI52" s="400"/>
      <c r="AJ52" s="400"/>
      <c r="AK52" s="400"/>
      <c r="AL52" s="400"/>
      <c r="AM52" s="400"/>
      <c r="AN52" s="400"/>
      <c r="AO52" s="400"/>
      <c r="AP52" s="400"/>
      <c r="AQ52" s="400"/>
      <c r="AR52" s="400"/>
      <c r="AS52" s="400"/>
      <c r="AT52" s="400"/>
      <c r="AU52" s="400"/>
      <c r="AV52" s="400"/>
      <c r="AW52" s="400"/>
      <c r="AX52" s="400"/>
      <c r="AY52" s="400"/>
      <c r="AZ52" s="400"/>
      <c r="BA52" s="400"/>
      <c r="BB52" s="400"/>
      <c r="BC52" s="400"/>
      <c r="BD52" s="400"/>
      <c r="BE52" s="400"/>
    </row>
    <row r="53" spans="1:57" s="95" customFormat="1" ht="12.75" customHeight="1">
      <c r="A53" s="400"/>
      <c r="C53" s="96"/>
      <c r="D53" s="121"/>
      <c r="L53" s="199" t="s">
        <v>1427</v>
      </c>
      <c r="M53" s="616"/>
      <c r="N53" s="1303" t="s">
        <v>1478</v>
      </c>
      <c r="O53" s="400"/>
      <c r="P53" s="400"/>
      <c r="Q53" s="400"/>
      <c r="R53" s="400"/>
      <c r="S53" s="400"/>
      <c r="T53" s="400"/>
      <c r="U53" s="400"/>
      <c r="V53" s="400"/>
      <c r="W53" s="400"/>
      <c r="X53" s="400"/>
      <c r="Y53" s="400"/>
      <c r="Z53" s="400"/>
      <c r="AA53" s="400"/>
      <c r="AB53" s="400"/>
      <c r="AC53" s="400"/>
      <c r="AD53" s="400"/>
      <c r="AE53" s="400"/>
      <c r="AF53" s="400"/>
      <c r="AG53" s="400"/>
      <c r="AH53" s="400"/>
      <c r="AI53" s="400"/>
      <c r="AJ53" s="400"/>
      <c r="AK53" s="400"/>
      <c r="AL53" s="400"/>
      <c r="AM53" s="400"/>
      <c r="AN53" s="400"/>
      <c r="AO53" s="400"/>
      <c r="AP53" s="400"/>
      <c r="AQ53" s="400"/>
      <c r="AR53" s="400"/>
      <c r="AS53" s="400"/>
      <c r="AT53" s="400"/>
      <c r="AU53" s="400"/>
      <c r="AV53" s="400"/>
      <c r="AW53" s="400"/>
      <c r="AX53" s="400"/>
      <c r="AY53" s="400"/>
      <c r="AZ53" s="400"/>
      <c r="BA53" s="400"/>
      <c r="BB53" s="400"/>
      <c r="BC53" s="400"/>
      <c r="BD53" s="400"/>
      <c r="BE53" s="400"/>
    </row>
    <row r="54" spans="1:57" s="95" customFormat="1" ht="12.75" hidden="1" customHeight="1">
      <c r="A54" s="400"/>
      <c r="C54" s="96"/>
      <c r="D54" s="121"/>
      <c r="E54" s="122"/>
      <c r="F54" s="114"/>
      <c r="G54" s="41"/>
      <c r="H54" s="116"/>
      <c r="I54" s="41"/>
      <c r="L54" s="112"/>
      <c r="M54" s="616"/>
      <c r="N54" s="400"/>
      <c r="O54" s="400"/>
      <c r="P54" s="400"/>
      <c r="Q54" s="400"/>
      <c r="R54" s="400"/>
      <c r="S54" s="400"/>
      <c r="T54" s="400"/>
      <c r="U54" s="400"/>
      <c r="V54" s="400"/>
      <c r="W54" s="400"/>
      <c r="X54" s="400"/>
      <c r="Y54" s="400"/>
      <c r="Z54" s="400"/>
      <c r="AA54" s="400"/>
      <c r="AB54" s="400"/>
      <c r="AC54" s="400"/>
      <c r="AD54" s="400"/>
      <c r="AE54" s="400"/>
      <c r="AF54" s="400"/>
      <c r="AG54" s="400"/>
      <c r="AH54" s="400"/>
      <c r="AI54" s="400"/>
      <c r="AJ54" s="400"/>
      <c r="AK54" s="400"/>
      <c r="AL54" s="400"/>
      <c r="AM54" s="400"/>
      <c r="AN54" s="400"/>
      <c r="AO54" s="400"/>
      <c r="AP54" s="400"/>
      <c r="AQ54" s="400"/>
      <c r="AR54" s="400"/>
      <c r="AS54" s="400"/>
      <c r="AT54" s="400"/>
      <c r="AU54" s="400"/>
      <c r="AV54" s="400"/>
      <c r="AW54" s="400"/>
      <c r="AX54" s="400"/>
      <c r="AY54" s="400"/>
      <c r="AZ54" s="400"/>
      <c r="BA54" s="400"/>
      <c r="BB54" s="400"/>
      <c r="BC54" s="400"/>
      <c r="BD54" s="400"/>
      <c r="BE54" s="400"/>
    </row>
    <row r="55" spans="1:57" s="95" customFormat="1" ht="12.75" hidden="1" customHeight="1">
      <c r="A55" s="400"/>
      <c r="C55" s="93"/>
      <c r="D55" s="121"/>
      <c r="E55" s="116"/>
      <c r="F55" s="77"/>
      <c r="G55" s="120"/>
      <c r="I55" s="58"/>
      <c r="J55" s="58"/>
      <c r="K55" s="58"/>
      <c r="L55" s="113"/>
      <c r="M55" s="616"/>
      <c r="N55" s="400"/>
      <c r="O55" s="400"/>
      <c r="P55" s="400"/>
      <c r="Q55" s="400"/>
      <c r="R55" s="400"/>
      <c r="S55" s="400"/>
      <c r="T55" s="400"/>
      <c r="U55" s="400"/>
      <c r="V55" s="400"/>
      <c r="W55" s="400"/>
      <c r="X55" s="400"/>
      <c r="Y55" s="400"/>
      <c r="Z55" s="400"/>
      <c r="AA55" s="400"/>
      <c r="AB55" s="400"/>
      <c r="AC55" s="400"/>
      <c r="AD55" s="400"/>
      <c r="AE55" s="400"/>
      <c r="AF55" s="400"/>
      <c r="AG55" s="400"/>
      <c r="AH55" s="400"/>
      <c r="AI55" s="400"/>
      <c r="AJ55" s="400"/>
      <c r="AK55" s="400"/>
      <c r="AL55" s="400"/>
      <c r="AM55" s="400"/>
      <c r="AN55" s="400"/>
      <c r="AO55" s="400"/>
      <c r="AP55" s="400"/>
      <c r="AQ55" s="400"/>
      <c r="AR55" s="400"/>
      <c r="AS55" s="400"/>
      <c r="AT55" s="400"/>
      <c r="AU55" s="400"/>
      <c r="AV55" s="400"/>
      <c r="AW55" s="400"/>
      <c r="AX55" s="400"/>
      <c r="AY55" s="400"/>
      <c r="AZ55" s="400"/>
      <c r="BA55" s="400"/>
      <c r="BB55" s="400"/>
      <c r="BC55" s="400"/>
      <c r="BD55" s="400"/>
      <c r="BE55" s="400"/>
    </row>
    <row r="56" spans="1:57" s="95" customFormat="1" ht="15.75" customHeight="1" thickBot="1">
      <c r="A56" s="400"/>
      <c r="B56" s="1619" t="s">
        <v>1419</v>
      </c>
      <c r="C56" s="1619"/>
      <c r="D56" s="1619"/>
      <c r="E56" s="1619"/>
      <c r="F56" s="1619"/>
      <c r="G56" s="1619"/>
      <c r="H56" s="1619"/>
      <c r="I56" s="1619"/>
      <c r="J56" s="1619"/>
      <c r="K56" s="1619"/>
      <c r="L56" s="1619"/>
      <c r="M56" s="1221"/>
      <c r="N56" s="1303" t="s">
        <v>1473</v>
      </c>
      <c r="O56" s="400"/>
      <c r="P56" s="400"/>
      <c r="Q56" s="400"/>
      <c r="R56" s="400"/>
      <c r="S56" s="400"/>
      <c r="T56" s="400"/>
      <c r="U56" s="400"/>
      <c r="V56" s="400"/>
      <c r="W56" s="400"/>
      <c r="X56" s="400"/>
      <c r="Y56" s="400"/>
      <c r="Z56" s="400"/>
      <c r="AA56" s="400"/>
      <c r="AB56" s="400"/>
      <c r="AC56" s="400"/>
      <c r="AD56" s="400"/>
      <c r="AE56" s="400"/>
      <c r="AF56" s="400"/>
      <c r="AG56" s="400"/>
      <c r="AH56" s="400"/>
      <c r="AI56" s="400"/>
      <c r="AJ56" s="400"/>
      <c r="AK56" s="400"/>
      <c r="AL56" s="400"/>
      <c r="AM56" s="400"/>
      <c r="AN56" s="400"/>
      <c r="AO56" s="400"/>
      <c r="AP56" s="400"/>
      <c r="AQ56" s="400"/>
      <c r="AR56" s="400"/>
      <c r="AS56" s="400"/>
      <c r="AT56" s="400"/>
      <c r="AU56" s="400"/>
      <c r="AV56" s="400"/>
      <c r="AW56" s="400"/>
      <c r="AX56" s="400"/>
      <c r="AY56" s="400"/>
      <c r="AZ56" s="400"/>
      <c r="BA56" s="400"/>
      <c r="BB56" s="400"/>
      <c r="BC56" s="400"/>
      <c r="BD56" s="400"/>
      <c r="BE56" s="400"/>
    </row>
    <row r="57" spans="1:57" s="95" customFormat="1" ht="15.75" customHeight="1">
      <c r="A57" s="400"/>
      <c r="C57" s="96" t="s">
        <v>518</v>
      </c>
      <c r="D57" s="123">
        <f>0.6*fy</f>
        <v>36</v>
      </c>
      <c r="E57" s="116" t="s">
        <v>196</v>
      </c>
      <c r="F57" s="98" t="s">
        <v>1245</v>
      </c>
      <c r="G57" s="90"/>
      <c r="I57" s="90"/>
      <c r="M57" s="616"/>
      <c r="N57" s="400"/>
      <c r="O57" s="400"/>
      <c r="P57" s="400"/>
      <c r="Q57" s="400"/>
      <c r="R57" s="400"/>
      <c r="S57" s="400"/>
      <c r="T57" s="400"/>
      <c r="U57" s="400"/>
      <c r="V57" s="400"/>
      <c r="W57" s="400"/>
      <c r="X57" s="400"/>
      <c r="Y57" s="400"/>
      <c r="Z57" s="400"/>
      <c r="AA57" s="400"/>
      <c r="AB57" s="400"/>
      <c r="AC57" s="400"/>
      <c r="AD57" s="400"/>
      <c r="AE57" s="400"/>
      <c r="AF57" s="400"/>
      <c r="AG57" s="400"/>
      <c r="AH57" s="400"/>
      <c r="AI57" s="400"/>
      <c r="AJ57" s="400"/>
      <c r="AK57" s="400"/>
      <c r="AL57" s="400"/>
      <c r="AM57" s="400"/>
      <c r="AN57" s="400"/>
      <c r="AO57" s="400"/>
      <c r="AP57" s="400"/>
      <c r="AQ57" s="400"/>
      <c r="AR57" s="400"/>
      <c r="AS57" s="400"/>
      <c r="AT57" s="400"/>
      <c r="AU57" s="400"/>
      <c r="AV57" s="400"/>
      <c r="AW57" s="400"/>
      <c r="AX57" s="400"/>
      <c r="AY57" s="400"/>
      <c r="AZ57" s="400"/>
      <c r="BA57" s="400"/>
      <c r="BB57" s="400"/>
      <c r="BC57" s="400"/>
      <c r="BD57" s="400"/>
      <c r="BE57" s="400"/>
    </row>
    <row r="58" spans="1:57" s="95" customFormat="1" ht="15.75" customHeight="1">
      <c r="A58" s="400"/>
      <c r="C58" s="39" t="s">
        <v>1246</v>
      </c>
      <c r="D58" s="64">
        <f>D11*12</f>
        <v>143231.42477026448</v>
      </c>
      <c r="E58" s="41" t="s">
        <v>403</v>
      </c>
      <c r="F58" s="118"/>
      <c r="G58" s="90"/>
      <c r="I58" s="90"/>
      <c r="M58" s="616"/>
      <c r="N58" s="400"/>
      <c r="O58" s="400"/>
      <c r="P58" s="400"/>
      <c r="Q58" s="400"/>
      <c r="R58" s="400"/>
      <c r="S58" s="400"/>
      <c r="T58" s="400"/>
      <c r="U58" s="400"/>
      <c r="V58" s="400"/>
      <c r="W58" s="400"/>
      <c r="X58" s="400"/>
      <c r="Y58" s="400"/>
      <c r="Z58" s="400"/>
      <c r="AA58" s="400"/>
      <c r="AB58" s="400"/>
      <c r="AC58" s="400"/>
      <c r="AD58" s="400"/>
      <c r="AE58" s="400"/>
      <c r="AF58" s="400"/>
      <c r="AG58" s="400"/>
      <c r="AH58" s="400"/>
      <c r="AI58" s="400"/>
      <c r="AJ58" s="400"/>
      <c r="AK58" s="400"/>
      <c r="AL58" s="400"/>
      <c r="AM58" s="400"/>
      <c r="AN58" s="400"/>
      <c r="AO58" s="400"/>
      <c r="AP58" s="400"/>
      <c r="AQ58" s="400"/>
      <c r="AR58" s="400"/>
      <c r="AS58" s="400"/>
      <c r="AT58" s="400"/>
      <c r="AU58" s="400"/>
      <c r="AV58" s="400"/>
      <c r="AW58" s="400"/>
      <c r="AX58" s="400"/>
      <c r="AY58" s="400"/>
      <c r="AZ58" s="400"/>
      <c r="BA58" s="400"/>
      <c r="BB58" s="400"/>
      <c r="BC58" s="400"/>
      <c r="BD58" s="400"/>
      <c r="BE58" s="400"/>
    </row>
    <row r="59" spans="1:57" s="95" customFormat="1" ht="15.75" customHeight="1">
      <c r="A59" s="400"/>
      <c r="C59" s="96" t="s">
        <v>481</v>
      </c>
      <c r="D59" s="106">
        <f>Ec</f>
        <v>3850.3222213758031</v>
      </c>
      <c r="E59" s="116" t="s">
        <v>196</v>
      </c>
      <c r="F59" s="1034" t="s">
        <v>487</v>
      </c>
      <c r="G59" s="90"/>
      <c r="I59" s="90"/>
      <c r="M59" s="1221"/>
      <c r="N59" s="400"/>
      <c r="O59" s="400"/>
      <c r="P59" s="400"/>
      <c r="Q59" s="400"/>
      <c r="R59" s="400"/>
      <c r="S59" s="400"/>
      <c r="T59" s="400"/>
      <c r="U59" s="400"/>
      <c r="V59" s="400"/>
      <c r="W59" s="400"/>
      <c r="X59" s="400"/>
      <c r="Y59" s="400"/>
      <c r="Z59" s="400"/>
      <c r="AA59" s="400"/>
      <c r="AB59" s="400"/>
      <c r="AC59" s="400"/>
      <c r="AD59" s="400"/>
      <c r="AE59" s="400"/>
      <c r="AF59" s="400"/>
      <c r="AG59" s="400"/>
      <c r="AH59" s="400"/>
      <c r="AI59" s="400"/>
      <c r="AJ59" s="400"/>
      <c r="AK59" s="400"/>
      <c r="AL59" s="400"/>
      <c r="AM59" s="400"/>
      <c r="AN59" s="400"/>
      <c r="AO59" s="400"/>
      <c r="AP59" s="400"/>
      <c r="AQ59" s="400"/>
      <c r="AR59" s="400"/>
      <c r="AS59" s="400"/>
      <c r="AT59" s="400"/>
      <c r="AU59" s="400"/>
      <c r="AV59" s="400"/>
      <c r="AW59" s="400"/>
      <c r="AX59" s="400"/>
      <c r="AY59" s="400"/>
      <c r="AZ59" s="400"/>
      <c r="BA59" s="400"/>
      <c r="BB59" s="400"/>
      <c r="BC59" s="400"/>
      <c r="BD59" s="400"/>
      <c r="BE59" s="400"/>
    </row>
    <row r="60" spans="1:57" s="95" customFormat="1" ht="15.75" customHeight="1">
      <c r="A60" s="400"/>
      <c r="C60" s="124" t="s">
        <v>519</v>
      </c>
      <c r="D60" s="125">
        <f>I13/(F13*capstemWidth)</f>
        <v>4.0860341548536357E-3</v>
      </c>
      <c r="F60" s="91" t="str">
        <f>"{"&amp;I13&amp;" sqin / ("&amp;ROUND(F13,2)&amp;" in x "&amp;capstemWidth&amp;" in)}"</f>
        <v>{12.504 sqin / (56.67 in x 54 in)}</v>
      </c>
      <c r="I60" s="90"/>
      <c r="M60" s="616"/>
      <c r="N60" s="400"/>
      <c r="O60" s="400"/>
      <c r="P60" s="400"/>
      <c r="Q60" s="400"/>
      <c r="R60" s="400"/>
      <c r="S60" s="400"/>
      <c r="T60" s="400"/>
      <c r="U60" s="400"/>
      <c r="V60" s="400"/>
      <c r="W60" s="400"/>
      <c r="X60" s="400"/>
      <c r="Y60" s="400"/>
      <c r="Z60" s="400"/>
      <c r="AA60" s="400"/>
      <c r="AB60" s="400"/>
      <c r="AC60" s="400"/>
      <c r="AD60" s="400"/>
      <c r="AE60" s="400"/>
      <c r="AF60" s="400"/>
      <c r="AG60" s="400"/>
      <c r="AH60" s="400"/>
      <c r="AI60" s="400"/>
      <c r="AJ60" s="400"/>
      <c r="AK60" s="400"/>
      <c r="AL60" s="400"/>
      <c r="AM60" s="400"/>
      <c r="AN60" s="400"/>
      <c r="AO60" s="400"/>
      <c r="AP60" s="400"/>
      <c r="AQ60" s="400"/>
      <c r="AR60" s="400"/>
      <c r="AS60" s="400"/>
      <c r="AT60" s="400"/>
      <c r="AU60" s="400"/>
      <c r="AV60" s="400"/>
      <c r="AW60" s="400"/>
      <c r="AX60" s="400"/>
      <c r="AY60" s="400"/>
      <c r="AZ60" s="400"/>
      <c r="BA60" s="400"/>
      <c r="BB60" s="400"/>
      <c r="BC60" s="400"/>
      <c r="BD60" s="400"/>
      <c r="BE60" s="400"/>
    </row>
    <row r="61" spans="1:57" s="95" customFormat="1" ht="15.75" customHeight="1">
      <c r="A61" s="400"/>
      <c r="C61" s="124" t="s">
        <v>517</v>
      </c>
      <c r="D61" s="96">
        <f>ROUND(29000/D59,2)</f>
        <v>7.53</v>
      </c>
      <c r="E61" s="63"/>
      <c r="F61" s="98" t="s">
        <v>1415</v>
      </c>
      <c r="L61" s="1037" t="s">
        <v>1581</v>
      </c>
      <c r="M61" s="1221"/>
      <c r="N61" s="400"/>
      <c r="O61" s="400"/>
      <c r="P61" s="400"/>
      <c r="Q61" s="400"/>
      <c r="R61" s="400"/>
      <c r="S61" s="400"/>
      <c r="T61" s="400"/>
      <c r="U61" s="400"/>
      <c r="V61" s="400"/>
      <c r="W61" s="400"/>
      <c r="X61" s="400"/>
      <c r="Y61" s="400"/>
      <c r="Z61" s="400"/>
      <c r="AA61" s="400"/>
      <c r="AB61" s="400"/>
      <c r="AC61" s="400"/>
      <c r="AD61" s="400"/>
      <c r="AE61" s="400"/>
      <c r="AF61" s="400"/>
      <c r="AG61" s="400"/>
      <c r="AH61" s="400"/>
      <c r="AI61" s="400"/>
      <c r="AJ61" s="400"/>
      <c r="AK61" s="400"/>
      <c r="AL61" s="400"/>
      <c r="AM61" s="400"/>
      <c r="AN61" s="400"/>
      <c r="AO61" s="400"/>
      <c r="AP61" s="400"/>
      <c r="AQ61" s="400"/>
      <c r="AR61" s="400"/>
      <c r="AS61" s="400"/>
      <c r="AT61" s="400"/>
      <c r="AU61" s="400"/>
      <c r="AV61" s="400"/>
      <c r="AW61" s="400"/>
      <c r="AX61" s="400"/>
      <c r="AY61" s="400"/>
      <c r="AZ61" s="400"/>
      <c r="BA61" s="400"/>
      <c r="BB61" s="400"/>
      <c r="BC61" s="400"/>
      <c r="BD61" s="400"/>
      <c r="BE61" s="400"/>
    </row>
    <row r="62" spans="1:57" s="95" customFormat="1" ht="15.75" customHeight="1">
      <c r="A62" s="400"/>
      <c r="C62" s="124" t="s">
        <v>516</v>
      </c>
      <c r="D62" s="125">
        <f>D60*D61</f>
        <v>3.0767837186047878E-2</v>
      </c>
      <c r="E62" s="126"/>
      <c r="G62" s="96"/>
      <c r="I62" s="108"/>
      <c r="J62" s="108"/>
      <c r="M62" s="616"/>
      <c r="N62" s="400"/>
      <c r="O62" s="400"/>
      <c r="P62" s="400"/>
      <c r="Q62" s="400"/>
      <c r="R62" s="400"/>
      <c r="S62" s="400"/>
      <c r="T62" s="400"/>
      <c r="U62" s="400"/>
      <c r="V62" s="400"/>
      <c r="W62" s="400"/>
      <c r="X62" s="400"/>
      <c r="Y62" s="400"/>
      <c r="Z62" s="400"/>
      <c r="AA62" s="400"/>
      <c r="AB62" s="400"/>
      <c r="AC62" s="400"/>
      <c r="AD62" s="400"/>
      <c r="AE62" s="400"/>
      <c r="AF62" s="400"/>
      <c r="AG62" s="400"/>
      <c r="AH62" s="400"/>
      <c r="AI62" s="400"/>
      <c r="AJ62" s="400"/>
      <c r="AK62" s="400"/>
      <c r="AL62" s="400"/>
      <c r="AM62" s="400"/>
      <c r="AN62" s="400"/>
      <c r="AO62" s="400"/>
      <c r="AP62" s="400"/>
      <c r="AQ62" s="400"/>
      <c r="AR62" s="400"/>
      <c r="AS62" s="400"/>
      <c r="AT62" s="400"/>
      <c r="AU62" s="400"/>
      <c r="AV62" s="400"/>
      <c r="AW62" s="400"/>
      <c r="AX62" s="400"/>
      <c r="AY62" s="400"/>
      <c r="AZ62" s="400"/>
      <c r="BA62" s="400"/>
      <c r="BB62" s="400"/>
      <c r="BC62" s="400"/>
      <c r="BD62" s="400"/>
      <c r="BE62" s="400"/>
    </row>
    <row r="63" spans="1:57" s="95" customFormat="1" ht="15.75" customHeight="1">
      <c r="A63" s="400"/>
      <c r="C63" s="96" t="s">
        <v>515</v>
      </c>
      <c r="D63" s="127">
        <f>SQRT(2*D62+D62^2)-D62</f>
        <v>0.21919682867135465</v>
      </c>
      <c r="F63" s="1033" t="s">
        <v>1269</v>
      </c>
      <c r="G63" s="96"/>
      <c r="H63" s="128"/>
      <c r="J63" s="99"/>
      <c r="K63" s="99"/>
      <c r="M63" s="616"/>
      <c r="N63" s="400"/>
      <c r="O63" s="400"/>
      <c r="P63" s="400"/>
      <c r="Q63" s="400"/>
      <c r="R63" s="400"/>
      <c r="S63" s="400"/>
      <c r="T63" s="400"/>
      <c r="U63" s="400"/>
      <c r="V63" s="400"/>
      <c r="W63" s="400"/>
      <c r="X63" s="400"/>
      <c r="Y63" s="400"/>
      <c r="Z63" s="400"/>
      <c r="AA63" s="400"/>
      <c r="AB63" s="400"/>
      <c r="AC63" s="400"/>
      <c r="AD63" s="400"/>
      <c r="AE63" s="400"/>
      <c r="AF63" s="400"/>
      <c r="AG63" s="400"/>
      <c r="AH63" s="400"/>
      <c r="AI63" s="400"/>
      <c r="AJ63" s="400"/>
      <c r="AK63" s="400"/>
      <c r="AL63" s="400"/>
      <c r="AM63" s="400"/>
      <c r="AN63" s="400"/>
      <c r="AO63" s="400"/>
      <c r="AP63" s="400"/>
      <c r="AQ63" s="400"/>
      <c r="AR63" s="400"/>
      <c r="AS63" s="400"/>
      <c r="AT63" s="400"/>
      <c r="AU63" s="400"/>
      <c r="AV63" s="400"/>
      <c r="AW63" s="400"/>
      <c r="AX63" s="400"/>
      <c r="AY63" s="400"/>
      <c r="AZ63" s="400"/>
      <c r="BA63" s="400"/>
      <c r="BB63" s="400"/>
      <c r="BC63" s="400"/>
      <c r="BD63" s="400"/>
      <c r="BE63" s="400"/>
    </row>
    <row r="64" spans="1:57" s="95" customFormat="1" ht="15.75" customHeight="1">
      <c r="A64" s="400"/>
      <c r="C64" s="96" t="s">
        <v>514</v>
      </c>
      <c r="D64" s="127">
        <f>1-D63/3</f>
        <v>0.92693439044288173</v>
      </c>
      <c r="F64" s="1033" t="s">
        <v>404</v>
      </c>
      <c r="H64" s="96"/>
      <c r="K64" s="129"/>
      <c r="M64" s="616"/>
      <c r="N64" s="400"/>
      <c r="O64" s="400"/>
      <c r="P64" s="400"/>
      <c r="Q64" s="400"/>
      <c r="R64" s="400"/>
      <c r="S64" s="400"/>
      <c r="T64" s="400"/>
      <c r="U64" s="400"/>
      <c r="V64" s="400"/>
      <c r="W64" s="400"/>
      <c r="X64" s="400"/>
      <c r="Y64" s="400"/>
      <c r="Z64" s="400"/>
      <c r="AA64" s="400"/>
      <c r="AB64" s="400"/>
      <c r="AC64" s="400"/>
      <c r="AD64" s="400"/>
      <c r="AE64" s="400"/>
      <c r="AF64" s="400"/>
      <c r="AG64" s="400"/>
      <c r="AH64" s="400"/>
      <c r="AI64" s="400"/>
      <c r="AJ64" s="400"/>
      <c r="AK64" s="400"/>
      <c r="AL64" s="400"/>
      <c r="AM64" s="400"/>
      <c r="AN64" s="400"/>
      <c r="AO64" s="400"/>
      <c r="AP64" s="400"/>
      <c r="AQ64" s="400"/>
      <c r="AR64" s="400"/>
      <c r="AS64" s="400"/>
      <c r="AT64" s="400"/>
      <c r="AU64" s="400"/>
      <c r="AV64" s="400"/>
      <c r="AW64" s="400"/>
      <c r="AX64" s="400"/>
      <c r="AY64" s="400"/>
      <c r="AZ64" s="400"/>
      <c r="BA64" s="400"/>
      <c r="BB64" s="400"/>
      <c r="BC64" s="400"/>
      <c r="BD64" s="400"/>
      <c r="BE64" s="400"/>
    </row>
    <row r="65" spans="1:57" s="95" customFormat="1" ht="15.75" customHeight="1">
      <c r="A65" s="400"/>
      <c r="C65" s="93" t="s">
        <v>513</v>
      </c>
      <c r="D65" s="123">
        <f>D58/I13/D64/F13</f>
        <v>218.06558910574583</v>
      </c>
      <c r="E65" s="41" t="s">
        <v>196</v>
      </c>
      <c r="F65" s="91" t="s">
        <v>1350</v>
      </c>
      <c r="H65" s="1621">
        <f>D65/D57</f>
        <v>6.0573774751596066</v>
      </c>
      <c r="I65" s="1621"/>
      <c r="L65" s="1044" t="str">
        <f>IF(D65&lt;=D57,"Service Load Stress - OK","Service Load Stress - NG")</f>
        <v>Service Load Stress - NG</v>
      </c>
      <c r="M65" s="616"/>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00"/>
      <c r="AK65" s="400"/>
      <c r="AL65" s="400"/>
      <c r="AM65" s="400"/>
      <c r="AN65" s="400"/>
      <c r="AO65" s="400"/>
      <c r="AP65" s="400"/>
      <c r="AQ65" s="400"/>
      <c r="AR65" s="400"/>
      <c r="AS65" s="400"/>
      <c r="AT65" s="400"/>
      <c r="AU65" s="400"/>
      <c r="AV65" s="400"/>
      <c r="AW65" s="400"/>
      <c r="AX65" s="400"/>
      <c r="AY65" s="400"/>
      <c r="AZ65" s="400"/>
      <c r="BA65" s="400"/>
      <c r="BB65" s="400"/>
      <c r="BC65" s="400"/>
      <c r="BD65" s="400"/>
      <c r="BE65" s="400"/>
    </row>
    <row r="66" spans="1:57" s="95" customFormat="1" ht="3.75" customHeight="1">
      <c r="A66" s="400"/>
      <c r="C66" s="93"/>
      <c r="D66" s="121"/>
      <c r="E66" s="116"/>
      <c r="F66" s="77"/>
      <c r="G66" s="120"/>
      <c r="I66" s="58"/>
      <c r="J66" s="58"/>
      <c r="K66" s="58"/>
      <c r="L66" s="113"/>
      <c r="M66" s="616"/>
      <c r="N66" s="400"/>
      <c r="O66" s="400"/>
      <c r="P66" s="400"/>
      <c r="Q66" s="400"/>
      <c r="R66" s="400"/>
      <c r="S66" s="400"/>
      <c r="T66" s="400"/>
      <c r="U66" s="400"/>
      <c r="V66" s="400"/>
      <c r="W66" s="400"/>
      <c r="X66" s="400"/>
      <c r="Y66" s="400"/>
      <c r="Z66" s="400"/>
      <c r="AA66" s="400"/>
      <c r="AB66" s="400"/>
      <c r="AC66" s="400"/>
      <c r="AD66" s="400"/>
      <c r="AE66" s="400"/>
      <c r="AF66" s="400"/>
      <c r="AG66" s="400"/>
      <c r="AH66" s="400"/>
      <c r="AI66" s="400"/>
      <c r="AJ66" s="400"/>
      <c r="AK66" s="400"/>
      <c r="AL66" s="400"/>
      <c r="AM66" s="400"/>
      <c r="AN66" s="400"/>
      <c r="AO66" s="400"/>
      <c r="AP66" s="400"/>
      <c r="AQ66" s="400"/>
      <c r="AR66" s="400"/>
      <c r="AS66" s="400"/>
      <c r="AT66" s="400"/>
      <c r="AU66" s="400"/>
      <c r="AV66" s="400"/>
      <c r="AW66" s="400"/>
      <c r="AX66" s="400"/>
      <c r="AY66" s="400"/>
      <c r="AZ66" s="400"/>
      <c r="BA66" s="400"/>
      <c r="BB66" s="400"/>
      <c r="BC66" s="400"/>
      <c r="BD66" s="400"/>
      <c r="BE66" s="400"/>
    </row>
    <row r="67" spans="1:57" s="95" customFormat="1" ht="15.75" customHeight="1" thickBot="1">
      <c r="A67" s="400"/>
      <c r="B67" s="1619" t="s">
        <v>1582</v>
      </c>
      <c r="C67" s="1619"/>
      <c r="D67" s="1619"/>
      <c r="E67" s="1619"/>
      <c r="F67" s="1619"/>
      <c r="G67" s="1619"/>
      <c r="H67" s="1619"/>
      <c r="I67" s="1619"/>
      <c r="J67" s="1619"/>
      <c r="K67" s="1619"/>
      <c r="L67" s="1619"/>
      <c r="M67" s="1221"/>
      <c r="N67" s="400"/>
      <c r="O67" s="400"/>
      <c r="P67" s="400"/>
      <c r="Q67" s="400"/>
      <c r="R67" s="400"/>
      <c r="S67" s="400"/>
      <c r="T67" s="400"/>
      <c r="U67" s="400"/>
      <c r="V67" s="400"/>
      <c r="W67" s="400"/>
      <c r="X67" s="400"/>
      <c r="Y67" s="400"/>
      <c r="Z67" s="400"/>
      <c r="AA67" s="400"/>
      <c r="AB67" s="400"/>
      <c r="AC67" s="400"/>
      <c r="AD67" s="400"/>
      <c r="AE67" s="400"/>
      <c r="AF67" s="400"/>
      <c r="AG67" s="400"/>
      <c r="AH67" s="400"/>
      <c r="AI67" s="400"/>
      <c r="AJ67" s="400"/>
      <c r="AK67" s="400"/>
      <c r="AL67" s="400"/>
      <c r="AM67" s="400"/>
      <c r="AN67" s="400"/>
      <c r="AO67" s="400"/>
      <c r="AP67" s="400"/>
      <c r="AQ67" s="400"/>
      <c r="AR67" s="400"/>
      <c r="AS67" s="400"/>
      <c r="AT67" s="400"/>
      <c r="AU67" s="400"/>
      <c r="AV67" s="400"/>
      <c r="AW67" s="400"/>
      <c r="AX67" s="400"/>
      <c r="AY67" s="400"/>
      <c r="AZ67" s="400"/>
      <c r="BA67" s="400"/>
      <c r="BB67" s="400"/>
      <c r="BC67" s="400"/>
      <c r="BD67" s="400"/>
      <c r="BE67" s="400"/>
    </row>
    <row r="68" spans="1:57" s="95" customFormat="1" ht="15.75" customHeight="1">
      <c r="A68" s="400"/>
      <c r="C68" s="64"/>
      <c r="D68" s="121"/>
      <c r="E68" s="96" t="s">
        <v>509</v>
      </c>
      <c r="F68" s="237" t="str">
        <f>Geometry!G64</f>
        <v>Class 2</v>
      </c>
      <c r="G68" s="130" t="s">
        <v>510</v>
      </c>
      <c r="H68" s="131">
        <f>IF(F68="Class 1",1,0.75)</f>
        <v>0.75</v>
      </c>
      <c r="I68" s="58"/>
      <c r="M68" s="616"/>
      <c r="N68" s="400"/>
      <c r="O68" s="400"/>
      <c r="P68" s="400"/>
      <c r="Q68" s="400"/>
      <c r="R68" s="400"/>
      <c r="S68" s="400"/>
      <c r="T68" s="400"/>
      <c r="U68" s="400"/>
      <c r="V68" s="400"/>
      <c r="W68" s="400"/>
      <c r="X68" s="400"/>
      <c r="Y68" s="400"/>
      <c r="Z68" s="400"/>
      <c r="AA68" s="400"/>
      <c r="AB68" s="400"/>
      <c r="AC68" s="400"/>
      <c r="AD68" s="400"/>
      <c r="AE68" s="400"/>
      <c r="AF68" s="400"/>
      <c r="AG68" s="400"/>
      <c r="AH68" s="400"/>
      <c r="AI68" s="400"/>
      <c r="AJ68" s="400"/>
      <c r="AK68" s="400"/>
      <c r="AL68" s="400"/>
      <c r="AM68" s="400"/>
      <c r="AN68" s="400"/>
      <c r="AO68" s="400"/>
      <c r="AP68" s="400"/>
      <c r="AQ68" s="400"/>
      <c r="AR68" s="400"/>
      <c r="AS68" s="400"/>
      <c r="AT68" s="400"/>
      <c r="AU68" s="400"/>
      <c r="AV68" s="400"/>
      <c r="AW68" s="400"/>
      <c r="AX68" s="400"/>
      <c r="AY68" s="400"/>
      <c r="AZ68" s="400"/>
      <c r="BA68" s="400"/>
      <c r="BB68" s="400"/>
      <c r="BC68" s="400"/>
      <c r="BD68" s="400"/>
      <c r="BE68" s="400"/>
    </row>
    <row r="69" spans="1:57" s="95" customFormat="1" ht="15.75" customHeight="1">
      <c r="A69" s="400"/>
      <c r="C69" s="96" t="s">
        <v>526</v>
      </c>
      <c r="D69" s="114">
        <f>capheight-D23</f>
        <v>3.3299999999999983</v>
      </c>
      <c r="E69" s="90" t="s">
        <v>409</v>
      </c>
      <c r="F69" s="91" t="s">
        <v>1268</v>
      </c>
      <c r="H69" s="96"/>
      <c r="I69" s="58"/>
      <c r="M69" s="616"/>
      <c r="N69" s="400"/>
      <c r="O69" s="400"/>
      <c r="P69" s="400"/>
      <c r="Q69" s="400"/>
      <c r="R69" s="400"/>
      <c r="S69" s="400"/>
      <c r="T69" s="400"/>
      <c r="U69" s="400"/>
      <c r="V69" s="400"/>
      <c r="W69" s="400"/>
      <c r="X69" s="400"/>
      <c r="Y69" s="400"/>
      <c r="Z69" s="400"/>
      <c r="AA69" s="400"/>
      <c r="AB69" s="400"/>
      <c r="AC69" s="400"/>
      <c r="AD69" s="400"/>
      <c r="AE69" s="400"/>
      <c r="AF69" s="400"/>
      <c r="AG69" s="400"/>
      <c r="AH69" s="400"/>
      <c r="AI69" s="400"/>
      <c r="AJ69" s="400"/>
      <c r="AK69" s="400"/>
      <c r="AL69" s="400"/>
      <c r="AM69" s="400"/>
      <c r="AN69" s="400"/>
      <c r="AO69" s="400"/>
      <c r="AP69" s="400"/>
      <c r="AQ69" s="400"/>
      <c r="AR69" s="400"/>
      <c r="AS69" s="400"/>
      <c r="AT69" s="400"/>
      <c r="AU69" s="400"/>
      <c r="AV69" s="400"/>
      <c r="AW69" s="400"/>
      <c r="AX69" s="400"/>
      <c r="AY69" s="400"/>
      <c r="AZ69" s="400"/>
      <c r="BA69" s="400"/>
      <c r="BB69" s="400"/>
      <c r="BC69" s="400"/>
      <c r="BD69" s="400"/>
      <c r="BE69" s="400"/>
    </row>
    <row r="70" spans="1:57" s="95" customFormat="1" ht="15.75" customHeight="1">
      <c r="A70" s="400"/>
      <c r="C70" s="64" t="s">
        <v>511</v>
      </c>
      <c r="D70" s="114">
        <f>capheight</f>
        <v>60</v>
      </c>
      <c r="E70" s="90" t="s">
        <v>409</v>
      </c>
      <c r="F70" s="132"/>
      <c r="I70" s="58"/>
      <c r="M70" s="616"/>
      <c r="N70" s="400"/>
      <c r="O70" s="400"/>
      <c r="P70" s="400"/>
      <c r="Q70" s="400"/>
      <c r="R70" s="400"/>
      <c r="S70" s="400"/>
      <c r="T70" s="400"/>
      <c r="U70" s="400"/>
      <c r="V70" s="400"/>
      <c r="W70" s="400"/>
      <c r="X70" s="400"/>
      <c r="Y70" s="400"/>
      <c r="Z70" s="400"/>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row>
    <row r="71" spans="1:57" s="95" customFormat="1" ht="15.75" customHeight="1">
      <c r="A71" s="400"/>
      <c r="C71" s="64" t="s">
        <v>528</v>
      </c>
      <c r="D71" s="133">
        <f>1+D69/(0.7*(D70-D69))</f>
        <v>1.0839446419118204</v>
      </c>
      <c r="E71" s="90"/>
      <c r="F71" s="91" t="str">
        <f>"{1+dc/(0.7(h-dc)) = 1+"&amp;ROUND(D69,2)&amp;" in / (0.7 x ("&amp;ROUND(D70,2)&amp;" in - "&amp;ROUND(D69,2)&amp;" in))}"</f>
        <v>{1+dc/(0.7(h-dc)) = 1+3.33 in / (0.7 x (60 in - 3.33 in))}</v>
      </c>
      <c r="I71" s="58"/>
      <c r="M71" s="616"/>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00"/>
      <c r="AK71" s="400"/>
      <c r="AL71" s="400"/>
      <c r="AM71" s="400"/>
      <c r="AN71" s="400"/>
      <c r="AO71" s="400"/>
      <c r="AP71" s="400"/>
      <c r="AQ71" s="400"/>
      <c r="AR71" s="400"/>
      <c r="AS71" s="400"/>
      <c r="AT71" s="400"/>
      <c r="AU71" s="400"/>
      <c r="AV71" s="400"/>
      <c r="AW71" s="400"/>
      <c r="AX71" s="400"/>
      <c r="AY71" s="400"/>
      <c r="AZ71" s="400"/>
      <c r="BA71" s="400"/>
      <c r="BB71" s="400"/>
      <c r="BC71" s="400"/>
      <c r="BD71" s="400"/>
      <c r="BE71" s="400"/>
    </row>
    <row r="72" spans="1:57" s="95" customFormat="1" ht="15.75" customHeight="1">
      <c r="A72" s="400"/>
      <c r="C72" s="96" t="s">
        <v>561</v>
      </c>
      <c r="D72" s="64">
        <f>D11*12</f>
        <v>143231.42477026448</v>
      </c>
      <c r="E72" s="41" t="s">
        <v>403</v>
      </c>
      <c r="F72" s="134"/>
      <c r="I72" s="58"/>
      <c r="M72" s="616"/>
      <c r="N72" s="400"/>
      <c r="O72" s="400"/>
      <c r="P72" s="400"/>
      <c r="Q72" s="400"/>
      <c r="R72" s="400"/>
      <c r="S72" s="400"/>
      <c r="T72" s="400"/>
      <c r="U72" s="400"/>
      <c r="V72" s="400"/>
      <c r="W72" s="400"/>
      <c r="X72" s="400"/>
      <c r="Y72" s="400"/>
      <c r="Z72" s="400"/>
      <c r="AA72" s="400"/>
      <c r="AB72" s="400"/>
      <c r="AC72" s="400"/>
      <c r="AD72" s="400"/>
      <c r="AE72" s="400"/>
      <c r="AF72" s="400"/>
      <c r="AG72" s="400"/>
      <c r="AH72" s="400"/>
      <c r="AI72" s="400"/>
      <c r="AJ72" s="400"/>
      <c r="AK72" s="400"/>
      <c r="AL72" s="400"/>
      <c r="AM72" s="400"/>
      <c r="AN72" s="400"/>
      <c r="AO72" s="400"/>
      <c r="AP72" s="400"/>
      <c r="AQ72" s="400"/>
      <c r="AR72" s="400"/>
      <c r="AS72" s="400"/>
      <c r="AT72" s="400"/>
      <c r="AU72" s="400"/>
      <c r="AV72" s="400"/>
      <c r="AW72" s="400"/>
      <c r="AX72" s="400"/>
      <c r="AY72" s="400"/>
      <c r="AZ72" s="400"/>
      <c r="BA72" s="400"/>
      <c r="BB72" s="400"/>
      <c r="BC72" s="400"/>
      <c r="BD72" s="400"/>
      <c r="BE72" s="400"/>
    </row>
    <row r="73" spans="1:57" s="95" customFormat="1" ht="15.75" customHeight="1">
      <c r="A73" s="400"/>
      <c r="C73" s="93" t="s">
        <v>512</v>
      </c>
      <c r="D73" s="135">
        <f>D72/I13/D64/F13</f>
        <v>218.06558910574583</v>
      </c>
      <c r="E73" s="41" t="s">
        <v>196</v>
      </c>
      <c r="F73" s="91" t="s">
        <v>1267</v>
      </c>
      <c r="I73" s="58"/>
      <c r="M73" s="616"/>
      <c r="N73" s="400"/>
      <c r="O73" s="400"/>
      <c r="P73" s="400"/>
      <c r="Q73" s="400"/>
      <c r="R73" s="400"/>
      <c r="S73" s="400"/>
      <c r="T73" s="400"/>
      <c r="U73" s="400"/>
      <c r="V73" s="400"/>
      <c r="W73" s="400"/>
      <c r="X73" s="400"/>
      <c r="Y73" s="400"/>
      <c r="Z73" s="400"/>
      <c r="AA73" s="400"/>
      <c r="AB73" s="400"/>
      <c r="AC73" s="400"/>
      <c r="AD73" s="400"/>
      <c r="AE73" s="400"/>
      <c r="AF73" s="400"/>
      <c r="AG73" s="400"/>
      <c r="AH73" s="400"/>
      <c r="AI73" s="400"/>
      <c r="AJ73" s="400"/>
      <c r="AK73" s="400"/>
      <c r="AL73" s="400"/>
      <c r="AM73" s="400"/>
      <c r="AN73" s="400"/>
      <c r="AO73" s="400"/>
      <c r="AP73" s="400"/>
      <c r="AQ73" s="400"/>
      <c r="AR73" s="400"/>
      <c r="AS73" s="400"/>
      <c r="AT73" s="400"/>
      <c r="AU73" s="400"/>
      <c r="AV73" s="400"/>
      <c r="AW73" s="400"/>
      <c r="AX73" s="400"/>
      <c r="AY73" s="400"/>
      <c r="AZ73" s="400"/>
      <c r="BA73" s="400"/>
      <c r="BB73" s="400"/>
      <c r="BC73" s="400"/>
      <c r="BD73" s="400"/>
      <c r="BE73" s="400"/>
    </row>
    <row r="74" spans="1:57" s="95" customFormat="1" ht="15.75" customHeight="1">
      <c r="A74" s="400"/>
      <c r="C74" s="93" t="s">
        <v>527</v>
      </c>
      <c r="D74" s="135">
        <f>IF(ISERROR(((700*H68)/(D71*D73))-2*D69),12,((700*H68)/(D71*D73))-2*D69)</f>
        <v>-4.4389156019115514</v>
      </c>
      <c r="E74" s="90" t="s">
        <v>409</v>
      </c>
      <c r="F74" s="77" t="str">
        <f>"{700γe/βsfs - 2dc = ((700 x "&amp;H68&amp;") / ("&amp;ROUND(D71,2)&amp;" x "&amp;ROUND(D73,2)&amp; ")) - 2 x "&amp;ROUND(D69,2)&amp;"}"</f>
        <v>{700γe/βsfs - 2dc = ((700 x 0.75) / (1.08 x 218.07)) - 2 x 3.33}</v>
      </c>
      <c r="I74" s="58"/>
      <c r="L74" s="92" t="s">
        <v>1583</v>
      </c>
      <c r="M74" s="1221"/>
      <c r="N74" s="400"/>
      <c r="O74" s="400"/>
      <c r="P74" s="400"/>
      <c r="Q74" s="400"/>
      <c r="R74" s="400"/>
      <c r="S74" s="400"/>
      <c r="T74" s="400"/>
      <c r="U74" s="400"/>
      <c r="V74" s="400"/>
      <c r="W74" s="400"/>
      <c r="X74" s="400"/>
      <c r="Y74" s="400"/>
      <c r="Z74" s="400"/>
      <c r="AA74" s="400"/>
      <c r="AB74" s="400"/>
      <c r="AC74" s="400"/>
      <c r="AD74" s="400"/>
      <c r="AE74" s="400"/>
      <c r="AF74" s="400"/>
      <c r="AG74" s="400"/>
      <c r="AH74" s="400"/>
      <c r="AI74" s="400"/>
      <c r="AJ74" s="400"/>
      <c r="AK74" s="400"/>
      <c r="AL74" s="400"/>
      <c r="AM74" s="400"/>
      <c r="AN74" s="400"/>
      <c r="AO74" s="400"/>
      <c r="AP74" s="400"/>
      <c r="AQ74" s="400"/>
      <c r="AR74" s="400"/>
      <c r="AS74" s="400"/>
      <c r="AT74" s="400"/>
      <c r="AU74" s="400"/>
      <c r="AV74" s="400"/>
      <c r="AW74" s="400"/>
      <c r="AX74" s="400"/>
      <c r="AY74" s="400"/>
      <c r="AZ74" s="400"/>
      <c r="BA74" s="400"/>
      <c r="BB74" s="400"/>
      <c r="BC74" s="400"/>
      <c r="BD74" s="400"/>
      <c r="BE74" s="400"/>
    </row>
    <row r="75" spans="1:57" s="95" customFormat="1" ht="15.75" customHeight="1">
      <c r="A75" s="400"/>
      <c r="C75" s="93" t="s">
        <v>529</v>
      </c>
      <c r="D75" s="133">
        <f>((IF(CapType="Tee",Geometry!K68,capstemWidth)-2*cover-VLOOKUP(BarS,BarTable,2)-IF(L43="Spacing - OK",VLOOKUP(F10,BarTable,2,FALSE),2*VLOOKUP(F10,BarTable,2,FALSE)))/(IF(L43="Spacing - OK",MAX(H10:H12),ROUNDUP(MAX(H10:H12)/2,0))-1))</f>
        <v>6.7628571428571433</v>
      </c>
      <c r="E75" s="90" t="s">
        <v>409</v>
      </c>
      <c r="F75" s="91" t="str">
        <f>"{(("&amp;IF(CapType="Tee",Geometry!K68,capstemWidth)&amp;" in - 2 x " &amp; cover &amp;" in - "&amp;VLOOKUP(BarS,BarTable,2) &amp;" in - "&amp;IF(L43="Spacing - OK",VLOOKUP(F10,BarTable,2,FALSE),2*VLOOKUP(F10,BarTable,2,FALSE))&amp;" in)/("&amp;IF(L43="Spacing - OK",MAX(H10:H12),ROUNDUP(MAX(H10:H12)/2,0))&amp;" - 1)) }"</f>
        <v>{((54 in - 2 x 2.3125 in - 0.625 in - 1.41 in)/(8 - 1)) }</v>
      </c>
      <c r="H75" s="96"/>
      <c r="I75" s="64"/>
      <c r="J75" s="94"/>
      <c r="L75" s="1044" t="str">
        <f>IF(D74&gt;=D75,"Spacing - OK","Spacing - NG")</f>
        <v>Spacing - NG</v>
      </c>
      <c r="M75" s="616"/>
      <c r="N75" s="400"/>
      <c r="O75" s="400"/>
      <c r="P75" s="400"/>
      <c r="Q75" s="400"/>
      <c r="R75" s="400"/>
      <c r="S75" s="400"/>
      <c r="T75" s="400"/>
      <c r="U75" s="400"/>
      <c r="V75" s="400"/>
      <c r="W75" s="400"/>
      <c r="X75" s="400"/>
      <c r="Y75" s="400"/>
      <c r="Z75" s="400"/>
      <c r="AA75" s="400"/>
      <c r="AB75" s="400"/>
      <c r="AC75" s="400"/>
      <c r="AD75" s="400"/>
      <c r="AE75" s="400"/>
      <c r="AF75" s="400"/>
      <c r="AG75" s="400"/>
      <c r="AH75" s="400"/>
      <c r="AI75" s="400"/>
      <c r="AJ75" s="400"/>
      <c r="AK75" s="400"/>
      <c r="AL75" s="400"/>
      <c r="AM75" s="400"/>
      <c r="AN75" s="400"/>
      <c r="AO75" s="400"/>
      <c r="AP75" s="400"/>
      <c r="AQ75" s="400"/>
      <c r="AR75" s="400"/>
      <c r="AS75" s="400"/>
      <c r="AT75" s="400"/>
      <c r="AU75" s="400"/>
      <c r="AV75" s="400"/>
      <c r="AW75" s="400"/>
      <c r="AX75" s="400"/>
      <c r="AY75" s="400"/>
      <c r="AZ75" s="400"/>
      <c r="BA75" s="400"/>
      <c r="BB75" s="400"/>
      <c r="BC75" s="400"/>
      <c r="BD75" s="400"/>
      <c r="BE75" s="400"/>
    </row>
    <row r="76" spans="1:57" s="95" customFormat="1" ht="15.75" customHeight="1">
      <c r="A76" s="400"/>
      <c r="B76" s="1222" t="s">
        <v>577</v>
      </c>
      <c r="M76" s="616"/>
      <c r="N76" s="400"/>
      <c r="O76" s="400"/>
      <c r="P76" s="400"/>
      <c r="Q76" s="400"/>
      <c r="R76" s="400"/>
      <c r="S76" s="400"/>
      <c r="T76" s="400"/>
      <c r="U76" s="400"/>
      <c r="V76" s="400"/>
      <c r="W76" s="400"/>
      <c r="X76" s="400"/>
      <c r="Y76" s="400"/>
      <c r="Z76" s="400"/>
      <c r="AA76" s="400"/>
      <c r="AB76" s="400"/>
      <c r="AC76" s="400"/>
      <c r="AD76" s="400"/>
      <c r="AE76" s="400"/>
      <c r="AF76" s="400"/>
      <c r="AG76" s="400"/>
      <c r="AH76" s="400"/>
      <c r="AI76" s="400"/>
      <c r="AJ76" s="400"/>
      <c r="AK76" s="400"/>
      <c r="AL76" s="400"/>
      <c r="AM76" s="400"/>
      <c r="AN76" s="400"/>
      <c r="AO76" s="400"/>
      <c r="AP76" s="400"/>
      <c r="AQ76" s="400"/>
      <c r="AR76" s="400"/>
      <c r="AS76" s="400"/>
      <c r="AT76" s="400"/>
      <c r="AU76" s="400"/>
      <c r="AV76" s="400"/>
      <c r="AW76" s="400"/>
      <c r="AX76" s="400"/>
      <c r="AY76" s="400"/>
      <c r="AZ76" s="400"/>
      <c r="BA76" s="400"/>
      <c r="BB76" s="400"/>
      <c r="BC76" s="400"/>
      <c r="BD76" s="400"/>
      <c r="BE76" s="400"/>
    </row>
    <row r="77" spans="1:57" s="95" customFormat="1" ht="15.75" customHeight="1">
      <c r="A77" s="400"/>
      <c r="B77" s="133"/>
      <c r="C77" s="93" t="s">
        <v>531</v>
      </c>
      <c r="D77" s="133">
        <f>F13</f>
        <v>56.67</v>
      </c>
      <c r="E77" s="41" t="s">
        <v>155</v>
      </c>
      <c r="F77" s="766" t="str">
        <f>IF(D77&gt;36,"&gt; 36 in","&lt; 36 in")</f>
        <v>&gt; 36 in</v>
      </c>
      <c r="I77" s="58"/>
      <c r="L77" s="63" t="str">
        <f>IF(D77&gt;36,"Longitudinal Skin Reinforcement IS Required","Longitudinal Skin Reinforcement Is NOT Required")</f>
        <v>Longitudinal Skin Reinforcement IS Required</v>
      </c>
      <c r="M77" s="616"/>
      <c r="N77" s="400"/>
      <c r="O77" s="400"/>
      <c r="P77" s="400"/>
      <c r="Q77" s="400"/>
      <c r="R77" s="400"/>
      <c r="S77" s="400"/>
      <c r="T77" s="400"/>
      <c r="U77" s="400"/>
      <c r="V77" s="400"/>
      <c r="W77" s="400"/>
      <c r="X77" s="400"/>
      <c r="Y77" s="400"/>
      <c r="Z77" s="400"/>
      <c r="AA77" s="400"/>
      <c r="AB77" s="400"/>
      <c r="AC77" s="400"/>
      <c r="AD77" s="400"/>
      <c r="AE77" s="400"/>
      <c r="AF77" s="400"/>
      <c r="AG77" s="400"/>
      <c r="AH77" s="400"/>
      <c r="AI77" s="400"/>
      <c r="AJ77" s="400"/>
      <c r="AK77" s="400"/>
      <c r="AL77" s="400"/>
      <c r="AM77" s="400"/>
      <c r="AN77" s="400"/>
      <c r="AO77" s="400"/>
      <c r="AP77" s="400"/>
      <c r="AQ77" s="400"/>
      <c r="AR77" s="400"/>
      <c r="AS77" s="400"/>
      <c r="AT77" s="400"/>
      <c r="AU77" s="400"/>
      <c r="AV77" s="400"/>
      <c r="AW77" s="400"/>
      <c r="AX77" s="400"/>
      <c r="AY77" s="400"/>
      <c r="AZ77" s="400"/>
      <c r="BA77" s="400"/>
      <c r="BB77" s="400"/>
      <c r="BC77" s="400"/>
      <c r="BD77" s="400"/>
      <c r="BE77" s="400"/>
    </row>
    <row r="78" spans="1:57" s="95" customFormat="1" ht="15.75" customHeight="1">
      <c r="A78" s="400"/>
      <c r="C78" s="93" t="s">
        <v>1395</v>
      </c>
      <c r="D78" s="1305">
        <f>Geometry!$K$91</f>
        <v>8.89</v>
      </c>
      <c r="E78" s="95" t="s">
        <v>155</v>
      </c>
      <c r="F78" s="91" t="s">
        <v>1396</v>
      </c>
      <c r="G78" s="88"/>
      <c r="H78" s="88"/>
      <c r="I78" s="88"/>
      <c r="J78" s="88"/>
      <c r="K78" s="88"/>
      <c r="L78" s="88"/>
      <c r="M78" s="616"/>
      <c r="N78" s="1303" t="s">
        <v>1482</v>
      </c>
      <c r="O78" s="400"/>
      <c r="P78" s="400"/>
      <c r="Q78" s="400"/>
      <c r="R78" s="400"/>
      <c r="S78" s="400"/>
      <c r="T78" s="400"/>
      <c r="U78" s="400"/>
      <c r="V78" s="400"/>
      <c r="W78" s="400"/>
      <c r="X78" s="400"/>
      <c r="Y78" s="400"/>
      <c r="Z78" s="400"/>
      <c r="AA78" s="400"/>
      <c r="AB78" s="400"/>
      <c r="AC78" s="400"/>
      <c r="AD78" s="400"/>
      <c r="AE78" s="400"/>
      <c r="AF78" s="400"/>
      <c r="AG78" s="400"/>
      <c r="AH78" s="400"/>
      <c r="AI78" s="400"/>
      <c r="AJ78" s="400"/>
      <c r="AK78" s="400"/>
      <c r="AL78" s="400"/>
      <c r="AM78" s="400"/>
      <c r="AN78" s="400"/>
      <c r="AO78" s="400"/>
      <c r="AP78" s="400"/>
      <c r="AQ78" s="400"/>
      <c r="AR78" s="400"/>
      <c r="AS78" s="400"/>
      <c r="AT78" s="400"/>
      <c r="AU78" s="400"/>
      <c r="AV78" s="400"/>
      <c r="AW78" s="400"/>
      <c r="AX78" s="400"/>
      <c r="AY78" s="400"/>
      <c r="AZ78" s="400"/>
      <c r="BA78" s="400"/>
      <c r="BB78" s="400"/>
      <c r="BC78" s="400"/>
      <c r="BD78" s="400"/>
      <c r="BE78" s="400"/>
    </row>
    <row r="79" spans="1:57" s="95" customFormat="1" ht="15.75" customHeight="1">
      <c r="A79" s="400"/>
      <c r="C79" s="93" t="s">
        <v>534</v>
      </c>
      <c r="D79" s="133">
        <f>MIN(D77/6,12)</f>
        <v>9.4450000000000003</v>
      </c>
      <c r="E79" s="95" t="s">
        <v>155</v>
      </c>
      <c r="F79" s="766" t="str">
        <f>IF(L77="Longitudinal Skin Reinforcement IS Required",IF(D79&gt;Geometry!K91,"&gt; "&amp;ROUND(Geometry!K91,2)&amp;" in"," &lt; "&amp;ROUND(Geometry!K91,2)&amp;" in"),"")</f>
        <v>&gt; 8.89 in</v>
      </c>
      <c r="I79" s="58"/>
      <c r="L79" s="1044" t="str">
        <f>IF(L77="Longitudinal Skin Reinforcement IS Required",IF(D79&gt;Geometry!K91,"Ask - OK","Add more skin reinfocing bars to decrease spacing"),"Provide 2- #5 bars on each face per TxDOT BDM 4-4 - OK")</f>
        <v>Ask - OK</v>
      </c>
      <c r="M79" s="616"/>
      <c r="N79" s="400"/>
      <c r="O79" s="400"/>
      <c r="P79" s="400"/>
      <c r="Q79" s="400"/>
      <c r="R79" s="400"/>
      <c r="S79" s="400"/>
      <c r="T79" s="400"/>
      <c r="U79" s="400"/>
      <c r="V79" s="400"/>
      <c r="W79" s="400"/>
      <c r="X79" s="400"/>
      <c r="Y79" s="400"/>
      <c r="Z79" s="400"/>
      <c r="AA79" s="400"/>
      <c r="AB79" s="400"/>
      <c r="AC79" s="400"/>
      <c r="AD79" s="400"/>
      <c r="AE79" s="400"/>
      <c r="AF79" s="400"/>
      <c r="AG79" s="400"/>
      <c r="AH79" s="400"/>
      <c r="AI79" s="400"/>
      <c r="AJ79" s="400"/>
      <c r="AK79" s="400"/>
      <c r="AL79" s="400"/>
      <c r="AM79" s="400"/>
      <c r="AN79" s="400"/>
      <c r="AO79" s="400"/>
      <c r="AP79" s="400"/>
      <c r="AQ79" s="400"/>
      <c r="AR79" s="400"/>
      <c r="AS79" s="400"/>
      <c r="AT79" s="400"/>
      <c r="AU79" s="400"/>
      <c r="AV79" s="400"/>
      <c r="AW79" s="400"/>
      <c r="AX79" s="400"/>
      <c r="AY79" s="400"/>
      <c r="AZ79" s="400"/>
      <c r="BA79" s="400"/>
      <c r="BB79" s="400"/>
      <c r="BC79" s="400"/>
      <c r="BD79" s="400"/>
      <c r="BE79" s="400"/>
    </row>
    <row r="80" spans="1:57" s="95" customFormat="1" ht="15.75">
      <c r="A80" s="400"/>
      <c r="C80" s="93" t="s">
        <v>578</v>
      </c>
      <c r="D80" s="136">
        <f>0.012*(D77-30)</f>
        <v>0.32004000000000005</v>
      </c>
      <c r="E80" s="41" t="s">
        <v>533</v>
      </c>
      <c r="F80" s="91" t="s">
        <v>1515</v>
      </c>
      <c r="H80" s="96"/>
      <c r="I80" s="58"/>
      <c r="M80" s="400"/>
      <c r="N80" s="400"/>
      <c r="O80" s="400"/>
      <c r="P80" s="400"/>
      <c r="Q80" s="400"/>
      <c r="R80" s="400"/>
      <c r="S80" s="400"/>
      <c r="T80" s="400"/>
      <c r="U80" s="400"/>
      <c r="V80" s="400"/>
      <c r="W80" s="400"/>
      <c r="X80" s="400"/>
      <c r="Y80" s="400"/>
      <c r="Z80" s="400"/>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row>
    <row r="81" spans="1:57" s="95" customFormat="1" ht="15.75">
      <c r="A81" s="400"/>
      <c r="C81" s="88" t="s">
        <v>532</v>
      </c>
      <c r="D81" s="89">
        <f>MIN(D80,I13/4)</f>
        <v>0.32004000000000005</v>
      </c>
      <c r="E81" s="61" t="s">
        <v>533</v>
      </c>
      <c r="F81" s="91" t="s">
        <v>1514</v>
      </c>
      <c r="G81" s="37"/>
      <c r="H81" s="37"/>
      <c r="I81" s="37"/>
      <c r="J81" s="37"/>
      <c r="K81" s="37"/>
      <c r="L81" s="183" t="s">
        <v>1584</v>
      </c>
      <c r="M81" s="1223"/>
      <c r="N81" s="400"/>
      <c r="O81" s="400"/>
      <c r="P81" s="400"/>
      <c r="Q81" s="400"/>
      <c r="R81" s="400"/>
      <c r="S81" s="400"/>
      <c r="T81" s="400"/>
      <c r="U81" s="400"/>
      <c r="V81" s="400"/>
      <c r="W81" s="400"/>
      <c r="X81" s="400"/>
      <c r="Y81" s="400"/>
      <c r="Z81" s="400"/>
      <c r="AA81" s="400"/>
      <c r="AB81" s="400"/>
      <c r="AC81" s="400"/>
      <c r="AD81" s="400"/>
      <c r="AE81" s="400"/>
      <c r="AF81" s="400"/>
      <c r="AG81" s="400"/>
      <c r="AH81" s="400"/>
      <c r="AI81" s="400"/>
      <c r="AJ81" s="400"/>
      <c r="AK81" s="400"/>
      <c r="AL81" s="400"/>
      <c r="AM81" s="400"/>
      <c r="AN81" s="400"/>
      <c r="AO81" s="400"/>
      <c r="AP81" s="400"/>
      <c r="AQ81" s="400"/>
      <c r="AR81" s="400"/>
      <c r="AS81" s="400"/>
      <c r="AT81" s="400"/>
      <c r="AU81" s="400"/>
      <c r="AV81" s="400"/>
      <c r="AW81" s="400"/>
      <c r="AX81" s="400"/>
      <c r="AY81" s="400"/>
      <c r="AZ81" s="400"/>
      <c r="BA81" s="400"/>
      <c r="BB81" s="400"/>
      <c r="BC81" s="400"/>
      <c r="BD81" s="400"/>
      <c r="BE81" s="400"/>
    </row>
    <row r="82" spans="1:57" s="95" customFormat="1" ht="15.75">
      <c r="A82" s="400"/>
      <c r="C82" s="88" t="s">
        <v>580</v>
      </c>
      <c r="D82" s="89">
        <f>VLOOKUP(Geometry!K89,BarTable,3,FALSE)/(Geometry!K91/12)</f>
        <v>0.41439820022497187</v>
      </c>
      <c r="E82" s="61" t="s">
        <v>533</v>
      </c>
      <c r="F82" s="176" t="str">
        <f>"{"&amp;Geometry!K89&amp;" @ "&amp;FIXED(Geometry!K91,3)&amp;" in = "&amp;VLOOKUP(Geometry!K89,BarTable,3,FALSE)&amp;" sqin / "&amp;FIXED(Geometry!K91/12,3)&amp;" ft}"</f>
        <v>{#5 @ 8.890 in = 0.307 sqin / 0.741 ft}</v>
      </c>
      <c r="G82" s="37"/>
      <c r="H82" s="75"/>
      <c r="I82" s="37"/>
      <c r="J82" s="37"/>
      <c r="K82" s="37"/>
      <c r="L82" s="1044" t="str">
        <f>IF(L79="Provide 2- #5 bars on each face per TxDOT BDM 4-4 - OK","Provide 2- #5 bars on each face per TxDOT BDM 4-4 - OK",IF(D82&gt;=D81,"Ask - OK","Ask - NG"))</f>
        <v>Ask - OK</v>
      </c>
      <c r="M82" s="400"/>
      <c r="N82" s="400"/>
      <c r="P82" s="400"/>
      <c r="Q82" s="400"/>
      <c r="R82" s="400"/>
      <c r="S82" s="400"/>
      <c r="T82" s="400"/>
      <c r="U82" s="400"/>
      <c r="V82" s="400"/>
      <c r="W82" s="400"/>
      <c r="X82" s="400"/>
      <c r="Y82" s="400"/>
      <c r="Z82" s="400"/>
      <c r="AA82" s="400"/>
      <c r="AB82" s="400"/>
      <c r="AC82" s="400"/>
      <c r="AD82" s="400"/>
      <c r="AE82" s="400"/>
      <c r="AF82" s="400"/>
      <c r="AG82" s="400"/>
      <c r="AH82" s="400"/>
      <c r="AI82" s="400"/>
      <c r="AJ82" s="400"/>
      <c r="AK82" s="400"/>
      <c r="AL82" s="400"/>
      <c r="AM82" s="400"/>
      <c r="AN82" s="400"/>
      <c r="AO82" s="400"/>
      <c r="AP82" s="400"/>
      <c r="AQ82" s="400"/>
      <c r="AR82" s="400"/>
      <c r="AS82" s="400"/>
      <c r="AT82" s="400"/>
      <c r="AU82" s="400"/>
      <c r="AV82" s="400"/>
      <c r="AW82" s="400"/>
      <c r="AX82" s="400"/>
      <c r="AY82" s="400"/>
      <c r="AZ82" s="400"/>
      <c r="BA82" s="400"/>
      <c r="BB82" s="400"/>
      <c r="BC82" s="400"/>
      <c r="BD82" s="400"/>
      <c r="BE82" s="400"/>
    </row>
    <row r="83" spans="1:57" s="400" customFormat="1">
      <c r="C83" s="487"/>
      <c r="H83" s="487"/>
    </row>
    <row r="84" spans="1:57" s="400" customFormat="1">
      <c r="C84" s="487"/>
      <c r="H84" s="487"/>
    </row>
    <row r="85" spans="1:57" s="400" customFormat="1">
      <c r="C85" s="487"/>
      <c r="H85" s="487"/>
    </row>
    <row r="86" spans="1:57" s="400" customFormat="1"/>
    <row r="87" spans="1:57" s="400" customFormat="1"/>
    <row r="88" spans="1:57" s="400" customFormat="1"/>
    <row r="89" spans="1:57" s="400" customFormat="1"/>
    <row r="90" spans="1:57" s="400" customFormat="1"/>
    <row r="91" spans="1:57" s="400" customFormat="1"/>
    <row r="92" spans="1:57" s="400" customFormat="1">
      <c r="C92" s="487"/>
      <c r="H92" s="487"/>
    </row>
    <row r="93" spans="1:57" s="400" customFormat="1">
      <c r="C93" s="487"/>
      <c r="H93" s="487"/>
    </row>
    <row r="94" spans="1:57" s="400" customFormat="1">
      <c r="C94" s="487"/>
      <c r="H94" s="487"/>
    </row>
    <row r="95" spans="1:57" s="400" customFormat="1">
      <c r="C95" s="487"/>
      <c r="H95" s="487"/>
    </row>
    <row r="96" spans="1:57" s="400" customFormat="1">
      <c r="C96" s="487"/>
      <c r="H96" s="487"/>
    </row>
    <row r="97" spans="3:8" s="400" customFormat="1">
      <c r="C97" s="487"/>
      <c r="H97" s="487"/>
    </row>
    <row r="98" spans="3:8" s="400" customFormat="1">
      <c r="C98" s="487"/>
      <c r="H98" s="487"/>
    </row>
    <row r="99" spans="3:8" s="400" customFormat="1">
      <c r="C99" s="487"/>
      <c r="H99" s="487"/>
    </row>
    <row r="100" spans="3:8" s="400" customFormat="1">
      <c r="C100" s="487"/>
      <c r="H100" s="487"/>
    </row>
    <row r="101" spans="3:8" s="400" customFormat="1">
      <c r="C101" s="487"/>
      <c r="H101" s="487"/>
    </row>
    <row r="102" spans="3:8" s="400" customFormat="1">
      <c r="C102" s="487"/>
      <c r="H102" s="487"/>
    </row>
    <row r="103" spans="3:8" s="400" customFormat="1">
      <c r="C103" s="487"/>
      <c r="H103" s="487"/>
    </row>
    <row r="104" spans="3:8" s="400" customFormat="1">
      <c r="C104" s="487"/>
      <c r="H104" s="487"/>
    </row>
    <row r="105" spans="3:8" s="400" customFormat="1">
      <c r="C105" s="487"/>
      <c r="H105" s="487"/>
    </row>
    <row r="106" spans="3:8" s="400" customFormat="1">
      <c r="C106" s="487"/>
      <c r="H106" s="487"/>
    </row>
    <row r="107" spans="3:8" s="400" customFormat="1">
      <c r="C107" s="487"/>
      <c r="H107" s="487"/>
    </row>
    <row r="108" spans="3:8" s="400" customFormat="1">
      <c r="C108" s="487"/>
      <c r="H108" s="487"/>
    </row>
    <row r="109" spans="3:8" s="400" customFormat="1">
      <c r="C109" s="487"/>
      <c r="H109" s="487"/>
    </row>
    <row r="110" spans="3:8" s="400" customFormat="1">
      <c r="C110" s="487"/>
      <c r="H110" s="487"/>
    </row>
    <row r="111" spans="3:8" s="400" customFormat="1">
      <c r="C111" s="487"/>
      <c r="H111" s="487"/>
    </row>
    <row r="112" spans="3:8" s="400" customFormat="1">
      <c r="C112" s="487"/>
      <c r="H112" s="487"/>
    </row>
    <row r="113" spans="3:8" s="400" customFormat="1">
      <c r="C113" s="487"/>
      <c r="H113" s="487"/>
    </row>
    <row r="114" spans="3:8" s="400" customFormat="1">
      <c r="C114" s="487"/>
      <c r="H114" s="487"/>
    </row>
    <row r="115" spans="3:8" s="400" customFormat="1">
      <c r="C115" s="487"/>
      <c r="H115" s="487"/>
    </row>
    <row r="116" spans="3:8" s="400" customFormat="1">
      <c r="C116" s="487"/>
      <c r="H116" s="487"/>
    </row>
    <row r="117" spans="3:8" s="400" customFormat="1">
      <c r="C117" s="487"/>
      <c r="H117" s="487"/>
    </row>
    <row r="118" spans="3:8" s="400" customFormat="1">
      <c r="C118" s="487"/>
      <c r="H118" s="487"/>
    </row>
    <row r="119" spans="3:8" s="400" customFormat="1">
      <c r="C119" s="487"/>
      <c r="H119" s="487"/>
    </row>
    <row r="120" spans="3:8" s="400" customFormat="1">
      <c r="C120" s="487"/>
      <c r="H120" s="487"/>
    </row>
    <row r="121" spans="3:8" s="400" customFormat="1">
      <c r="C121" s="487"/>
      <c r="H121" s="487"/>
    </row>
    <row r="122" spans="3:8" s="400" customFormat="1">
      <c r="C122" s="487"/>
      <c r="H122" s="487"/>
    </row>
    <row r="123" spans="3:8" s="400" customFormat="1">
      <c r="C123" s="487"/>
      <c r="H123" s="487"/>
    </row>
    <row r="124" spans="3:8" s="400" customFormat="1">
      <c r="C124" s="487"/>
      <c r="H124" s="487"/>
    </row>
    <row r="125" spans="3:8" s="400" customFormat="1">
      <c r="C125" s="487"/>
      <c r="H125" s="487"/>
    </row>
    <row r="126" spans="3:8" s="400" customFormat="1">
      <c r="C126" s="487"/>
      <c r="H126" s="487"/>
    </row>
    <row r="127" spans="3:8" s="400" customFormat="1">
      <c r="C127" s="487"/>
      <c r="H127" s="487"/>
    </row>
    <row r="128" spans="3:8" s="400" customFormat="1">
      <c r="C128" s="487"/>
      <c r="H128" s="487"/>
    </row>
    <row r="129" spans="3:8" s="400" customFormat="1">
      <c r="C129" s="487"/>
      <c r="H129" s="487"/>
    </row>
    <row r="130" spans="3:8" s="400" customFormat="1">
      <c r="C130" s="487"/>
      <c r="H130" s="487"/>
    </row>
    <row r="131" spans="3:8" s="400" customFormat="1">
      <c r="C131" s="487"/>
      <c r="H131" s="487"/>
    </row>
    <row r="132" spans="3:8" s="400" customFormat="1">
      <c r="C132" s="487"/>
      <c r="H132" s="487"/>
    </row>
    <row r="133" spans="3:8" s="400" customFormat="1">
      <c r="C133" s="487"/>
      <c r="H133" s="487"/>
    </row>
    <row r="134" spans="3:8" s="400" customFormat="1">
      <c r="C134" s="487"/>
      <c r="H134" s="487"/>
    </row>
    <row r="135" spans="3:8" s="400" customFormat="1">
      <c r="C135" s="487"/>
      <c r="H135" s="487"/>
    </row>
    <row r="136" spans="3:8" s="400" customFormat="1">
      <c r="C136" s="487"/>
      <c r="H136" s="487"/>
    </row>
    <row r="137" spans="3:8" s="400" customFormat="1">
      <c r="C137" s="487"/>
      <c r="H137" s="487"/>
    </row>
    <row r="138" spans="3:8" s="400" customFormat="1">
      <c r="C138" s="487"/>
      <c r="H138" s="487"/>
    </row>
    <row r="139" spans="3:8" s="400" customFormat="1">
      <c r="C139" s="487"/>
      <c r="H139" s="487"/>
    </row>
    <row r="140" spans="3:8" s="400" customFormat="1">
      <c r="C140" s="487"/>
      <c r="H140" s="487"/>
    </row>
    <row r="141" spans="3:8" s="400" customFormat="1">
      <c r="C141" s="487"/>
      <c r="H141" s="487"/>
    </row>
    <row r="142" spans="3:8" s="400" customFormat="1">
      <c r="C142" s="487"/>
      <c r="H142" s="487"/>
    </row>
    <row r="143" spans="3:8" s="400" customFormat="1">
      <c r="C143" s="487"/>
      <c r="H143" s="487"/>
    </row>
    <row r="144" spans="3:8" s="400" customFormat="1">
      <c r="C144" s="487"/>
      <c r="H144" s="487"/>
    </row>
    <row r="145" spans="3:8" s="400" customFormat="1">
      <c r="C145" s="487"/>
      <c r="H145" s="487"/>
    </row>
    <row r="146" spans="3:8" s="400" customFormat="1">
      <c r="C146" s="487"/>
      <c r="H146" s="487"/>
    </row>
    <row r="147" spans="3:8" s="400" customFormat="1">
      <c r="C147" s="487"/>
      <c r="H147" s="487"/>
    </row>
    <row r="148" spans="3:8" s="400" customFormat="1">
      <c r="C148" s="487"/>
      <c r="H148" s="487"/>
    </row>
    <row r="149" spans="3:8" s="400" customFormat="1">
      <c r="C149" s="487"/>
      <c r="H149" s="487"/>
    </row>
    <row r="150" spans="3:8" s="400" customFormat="1">
      <c r="C150" s="487"/>
      <c r="H150" s="487"/>
    </row>
    <row r="151" spans="3:8" s="400" customFormat="1">
      <c r="C151" s="487"/>
      <c r="H151" s="487"/>
    </row>
    <row r="152" spans="3:8" s="400" customFormat="1">
      <c r="C152" s="487"/>
      <c r="H152" s="487"/>
    </row>
    <row r="153" spans="3:8" s="400" customFormat="1">
      <c r="C153" s="487"/>
      <c r="H153" s="487"/>
    </row>
    <row r="154" spans="3:8" s="400" customFormat="1">
      <c r="C154" s="487"/>
      <c r="H154" s="487"/>
    </row>
    <row r="155" spans="3:8" s="400" customFormat="1">
      <c r="C155" s="487"/>
      <c r="H155" s="487"/>
    </row>
    <row r="156" spans="3:8" s="400" customFormat="1">
      <c r="C156" s="487"/>
      <c r="H156" s="487"/>
    </row>
    <row r="157" spans="3:8" s="400" customFormat="1">
      <c r="C157" s="487"/>
      <c r="H157" s="487"/>
    </row>
    <row r="158" spans="3:8" s="400" customFormat="1">
      <c r="C158" s="487"/>
      <c r="H158" s="487"/>
    </row>
    <row r="159" spans="3:8" s="400" customFormat="1">
      <c r="C159" s="487"/>
      <c r="H159" s="487"/>
    </row>
    <row r="160" spans="3:8" s="400" customFormat="1">
      <c r="C160" s="487"/>
      <c r="H160" s="487"/>
    </row>
    <row r="161" spans="3:8" s="400" customFormat="1">
      <c r="C161" s="487"/>
      <c r="H161" s="487"/>
    </row>
    <row r="162" spans="3:8" s="400" customFormat="1">
      <c r="C162" s="487"/>
      <c r="H162" s="487"/>
    </row>
    <row r="163" spans="3:8" s="400" customFormat="1">
      <c r="C163" s="487"/>
      <c r="H163" s="487"/>
    </row>
    <row r="164" spans="3:8" s="400" customFormat="1">
      <c r="C164" s="487"/>
      <c r="H164" s="487"/>
    </row>
    <row r="165" spans="3:8" s="400" customFormat="1">
      <c r="C165" s="487"/>
      <c r="H165" s="487"/>
    </row>
    <row r="166" spans="3:8" s="400" customFormat="1">
      <c r="C166" s="487"/>
      <c r="H166" s="487"/>
    </row>
    <row r="167" spans="3:8" s="400" customFormat="1">
      <c r="C167" s="487"/>
      <c r="H167" s="487"/>
    </row>
    <row r="168" spans="3:8" s="400" customFormat="1">
      <c r="C168" s="487"/>
      <c r="H168" s="487"/>
    </row>
    <row r="169" spans="3:8" s="400" customFormat="1">
      <c r="C169" s="487"/>
      <c r="H169" s="487"/>
    </row>
    <row r="170" spans="3:8" s="400" customFormat="1">
      <c r="C170" s="487"/>
      <c r="H170" s="487"/>
    </row>
    <row r="171" spans="3:8" s="400" customFormat="1">
      <c r="C171" s="487"/>
      <c r="H171" s="487"/>
    </row>
    <row r="172" spans="3:8" s="400" customFormat="1">
      <c r="C172" s="487"/>
      <c r="H172" s="487"/>
    </row>
    <row r="173" spans="3:8" s="400" customFormat="1">
      <c r="C173" s="487"/>
      <c r="H173" s="487"/>
    </row>
    <row r="174" spans="3:8" s="400" customFormat="1">
      <c r="C174" s="487"/>
      <c r="H174" s="487"/>
    </row>
    <row r="175" spans="3:8" s="400" customFormat="1">
      <c r="C175" s="487"/>
      <c r="H175" s="487"/>
    </row>
    <row r="176" spans="3:8" s="400" customFormat="1">
      <c r="C176" s="487"/>
      <c r="H176" s="487"/>
    </row>
    <row r="177" spans="3:8" s="400" customFormat="1">
      <c r="C177" s="487"/>
      <c r="H177" s="487"/>
    </row>
    <row r="178" spans="3:8" s="400" customFormat="1">
      <c r="C178" s="487"/>
      <c r="H178" s="487"/>
    </row>
    <row r="179" spans="3:8" s="400" customFormat="1">
      <c r="C179" s="487"/>
      <c r="H179" s="487"/>
    </row>
    <row r="180" spans="3:8" s="400" customFormat="1">
      <c r="C180" s="487"/>
      <c r="H180" s="487"/>
    </row>
    <row r="181" spans="3:8" s="400" customFormat="1">
      <c r="C181" s="487"/>
      <c r="H181" s="487"/>
    </row>
    <row r="182" spans="3:8" s="400" customFormat="1">
      <c r="C182" s="487"/>
      <c r="H182" s="487"/>
    </row>
    <row r="183" spans="3:8" s="400" customFormat="1">
      <c r="C183" s="487"/>
      <c r="H183" s="487"/>
    </row>
    <row r="184" spans="3:8" s="400" customFormat="1">
      <c r="C184" s="487"/>
      <c r="H184" s="487"/>
    </row>
    <row r="185" spans="3:8" s="400" customFormat="1">
      <c r="C185" s="487"/>
      <c r="H185" s="487"/>
    </row>
    <row r="186" spans="3:8" s="400" customFormat="1">
      <c r="C186" s="487"/>
      <c r="H186" s="487"/>
    </row>
    <row r="187" spans="3:8" s="400" customFormat="1">
      <c r="C187" s="487"/>
      <c r="H187" s="487"/>
    </row>
    <row r="188" spans="3:8" s="400" customFormat="1">
      <c r="C188" s="487"/>
      <c r="H188" s="487"/>
    </row>
    <row r="189" spans="3:8" s="400" customFormat="1">
      <c r="C189" s="487"/>
      <c r="H189" s="487"/>
    </row>
    <row r="190" spans="3:8" s="400" customFormat="1">
      <c r="C190" s="487"/>
      <c r="H190" s="487"/>
    </row>
    <row r="191" spans="3:8" s="400" customFormat="1">
      <c r="C191" s="487"/>
      <c r="H191" s="487"/>
    </row>
    <row r="192" spans="3:8" s="400" customFormat="1">
      <c r="C192" s="487"/>
      <c r="H192" s="487"/>
    </row>
    <row r="193" spans="3:8" s="400" customFormat="1">
      <c r="C193" s="487"/>
      <c r="H193" s="487"/>
    </row>
    <row r="194" spans="3:8" s="400" customFormat="1">
      <c r="C194" s="487"/>
      <c r="H194" s="487"/>
    </row>
    <row r="195" spans="3:8" s="400" customFormat="1">
      <c r="C195" s="487"/>
      <c r="H195" s="487"/>
    </row>
    <row r="196" spans="3:8" s="400" customFormat="1">
      <c r="C196" s="487"/>
      <c r="H196" s="487"/>
    </row>
    <row r="197" spans="3:8" s="400" customFormat="1">
      <c r="C197" s="487"/>
      <c r="H197" s="487"/>
    </row>
    <row r="198" spans="3:8" s="400" customFormat="1">
      <c r="C198" s="487"/>
      <c r="H198" s="487"/>
    </row>
    <row r="199" spans="3:8" s="400" customFormat="1">
      <c r="C199" s="487"/>
      <c r="H199" s="487"/>
    </row>
    <row r="200" spans="3:8" s="400" customFormat="1">
      <c r="C200" s="487"/>
      <c r="H200" s="487"/>
    </row>
    <row r="201" spans="3:8" s="400" customFormat="1">
      <c r="C201" s="487"/>
      <c r="H201" s="487"/>
    </row>
    <row r="202" spans="3:8" s="400" customFormat="1">
      <c r="C202" s="487"/>
      <c r="H202" s="487"/>
    </row>
    <row r="203" spans="3:8" s="400" customFormat="1">
      <c r="C203" s="487"/>
      <c r="H203" s="487"/>
    </row>
    <row r="204" spans="3:8" s="400" customFormat="1">
      <c r="C204" s="487"/>
      <c r="H204" s="487"/>
    </row>
    <row r="205" spans="3:8" s="400" customFormat="1">
      <c r="C205" s="487"/>
      <c r="H205" s="487"/>
    </row>
    <row r="206" spans="3:8" s="400" customFormat="1">
      <c r="C206" s="487"/>
      <c r="H206" s="487"/>
    </row>
    <row r="207" spans="3:8" s="400" customFormat="1">
      <c r="C207" s="487"/>
      <c r="H207" s="487"/>
    </row>
    <row r="208" spans="3:8" s="400" customFormat="1">
      <c r="C208" s="487"/>
      <c r="H208" s="487"/>
    </row>
    <row r="209" spans="3:8" s="400" customFormat="1">
      <c r="C209" s="487"/>
      <c r="H209" s="487"/>
    </row>
    <row r="210" spans="3:8" s="400" customFormat="1">
      <c r="C210" s="487"/>
      <c r="H210" s="487"/>
    </row>
    <row r="211" spans="3:8" s="400" customFormat="1">
      <c r="C211" s="487"/>
      <c r="H211" s="487"/>
    </row>
    <row r="212" spans="3:8" s="400" customFormat="1">
      <c r="C212" s="487"/>
      <c r="H212" s="487"/>
    </row>
    <row r="213" spans="3:8" s="400" customFormat="1">
      <c r="C213" s="487"/>
      <c r="H213" s="487"/>
    </row>
    <row r="214" spans="3:8" s="400" customFormat="1">
      <c r="C214" s="487"/>
      <c r="H214" s="487"/>
    </row>
    <row r="215" spans="3:8" s="400" customFormat="1">
      <c r="C215" s="487"/>
      <c r="H215" s="487"/>
    </row>
    <row r="216" spans="3:8" s="400" customFormat="1">
      <c r="C216" s="487"/>
      <c r="H216" s="487"/>
    </row>
    <row r="217" spans="3:8" s="400" customFormat="1">
      <c r="C217" s="487"/>
      <c r="H217" s="487"/>
    </row>
    <row r="218" spans="3:8" s="400" customFormat="1">
      <c r="C218" s="487"/>
      <c r="H218" s="487"/>
    </row>
    <row r="219" spans="3:8" s="400" customFormat="1">
      <c r="C219" s="487"/>
      <c r="H219" s="487"/>
    </row>
    <row r="220" spans="3:8" s="400" customFormat="1">
      <c r="C220" s="487"/>
      <c r="H220" s="487"/>
    </row>
    <row r="221" spans="3:8" s="400" customFormat="1">
      <c r="C221" s="487"/>
      <c r="H221" s="487"/>
    </row>
    <row r="222" spans="3:8" s="400" customFormat="1">
      <c r="C222" s="487"/>
      <c r="H222" s="487"/>
    </row>
    <row r="223" spans="3:8" s="400" customFormat="1">
      <c r="C223" s="487"/>
      <c r="H223" s="487"/>
    </row>
    <row r="224" spans="3:8" s="400" customFormat="1">
      <c r="C224" s="487"/>
      <c r="H224" s="487"/>
    </row>
    <row r="225" spans="3:8" s="400" customFormat="1">
      <c r="C225" s="487"/>
      <c r="H225" s="487"/>
    </row>
    <row r="226" spans="3:8" s="400" customFormat="1">
      <c r="C226" s="487"/>
      <c r="H226" s="487"/>
    </row>
    <row r="227" spans="3:8" s="400" customFormat="1">
      <c r="C227" s="487"/>
      <c r="H227" s="487"/>
    </row>
    <row r="228" spans="3:8" s="400" customFormat="1">
      <c r="C228" s="487"/>
      <c r="H228" s="487"/>
    </row>
    <row r="229" spans="3:8" s="400" customFormat="1">
      <c r="C229" s="487"/>
      <c r="H229" s="487"/>
    </row>
    <row r="230" spans="3:8" s="400" customFormat="1">
      <c r="C230" s="487"/>
      <c r="H230" s="487"/>
    </row>
    <row r="231" spans="3:8" s="400" customFormat="1">
      <c r="C231" s="487"/>
      <c r="H231" s="487"/>
    </row>
    <row r="232" spans="3:8" s="400" customFormat="1">
      <c r="C232" s="487"/>
      <c r="H232" s="487"/>
    </row>
    <row r="233" spans="3:8" s="400" customFormat="1">
      <c r="C233" s="487"/>
      <c r="H233" s="487"/>
    </row>
    <row r="234" spans="3:8" s="400" customFormat="1">
      <c r="C234" s="487"/>
      <c r="H234" s="487"/>
    </row>
    <row r="235" spans="3:8" s="400" customFormat="1">
      <c r="C235" s="487"/>
      <c r="H235" s="487"/>
    </row>
    <row r="236" spans="3:8" s="400" customFormat="1">
      <c r="C236" s="487"/>
      <c r="H236" s="487"/>
    </row>
    <row r="237" spans="3:8" s="400" customFormat="1">
      <c r="C237" s="487"/>
      <c r="H237" s="487"/>
    </row>
    <row r="238" spans="3:8" s="400" customFormat="1">
      <c r="C238" s="487"/>
      <c r="H238" s="487"/>
    </row>
    <row r="239" spans="3:8" s="400" customFormat="1">
      <c r="C239" s="487"/>
      <c r="H239" s="487"/>
    </row>
    <row r="240" spans="3:8" s="400" customFormat="1">
      <c r="C240" s="487"/>
      <c r="H240" s="487"/>
    </row>
    <row r="241" spans="3:8" s="400" customFormat="1">
      <c r="C241" s="487"/>
      <c r="H241" s="487"/>
    </row>
    <row r="242" spans="3:8" s="400" customFormat="1">
      <c r="C242" s="487"/>
      <c r="H242" s="487"/>
    </row>
    <row r="243" spans="3:8" s="400" customFormat="1">
      <c r="C243" s="487"/>
      <c r="H243" s="487"/>
    </row>
    <row r="244" spans="3:8" s="400" customFormat="1">
      <c r="C244" s="487"/>
      <c r="H244" s="487"/>
    </row>
    <row r="245" spans="3:8" s="400" customFormat="1">
      <c r="C245" s="487"/>
      <c r="H245" s="487"/>
    </row>
    <row r="246" spans="3:8" s="400" customFormat="1">
      <c r="C246" s="487"/>
      <c r="H246" s="487"/>
    </row>
    <row r="247" spans="3:8" s="400" customFormat="1">
      <c r="C247" s="487"/>
      <c r="H247" s="487"/>
    </row>
    <row r="248" spans="3:8" s="400" customFormat="1">
      <c r="C248" s="487"/>
      <c r="H248" s="487"/>
    </row>
    <row r="249" spans="3:8" s="400" customFormat="1">
      <c r="C249" s="487"/>
      <c r="H249" s="487"/>
    </row>
    <row r="250" spans="3:8" s="400" customFormat="1">
      <c r="C250" s="487"/>
      <c r="H250" s="487"/>
    </row>
    <row r="251" spans="3:8" s="400" customFormat="1">
      <c r="C251" s="487"/>
      <c r="H251" s="487"/>
    </row>
    <row r="252" spans="3:8" s="400" customFormat="1">
      <c r="C252" s="487"/>
      <c r="H252" s="487"/>
    </row>
    <row r="253" spans="3:8" s="400" customFormat="1">
      <c r="C253" s="487"/>
      <c r="H253" s="487"/>
    </row>
    <row r="254" spans="3:8" s="400" customFormat="1">
      <c r="C254" s="487"/>
      <c r="H254" s="487"/>
    </row>
    <row r="255" spans="3:8" s="400" customFormat="1">
      <c r="C255" s="487"/>
      <c r="H255" s="487"/>
    </row>
    <row r="256" spans="3:8" s="400" customFormat="1">
      <c r="C256" s="487"/>
      <c r="H256" s="487"/>
    </row>
    <row r="257" spans="3:8" s="400" customFormat="1">
      <c r="C257" s="487"/>
      <c r="H257" s="487"/>
    </row>
    <row r="258" spans="3:8" s="400" customFormat="1">
      <c r="C258" s="487"/>
      <c r="H258" s="487"/>
    </row>
    <row r="259" spans="3:8" s="400" customFormat="1">
      <c r="C259" s="487"/>
      <c r="H259" s="487"/>
    </row>
    <row r="260" spans="3:8" s="400" customFormat="1">
      <c r="C260" s="487"/>
      <c r="H260" s="487"/>
    </row>
    <row r="261" spans="3:8" s="400" customFormat="1">
      <c r="C261" s="487"/>
      <c r="H261" s="487"/>
    </row>
    <row r="262" spans="3:8" s="400" customFormat="1">
      <c r="C262" s="487"/>
      <c r="H262" s="487"/>
    </row>
    <row r="263" spans="3:8" s="400" customFormat="1">
      <c r="C263" s="487"/>
      <c r="H263" s="487"/>
    </row>
    <row r="264" spans="3:8" s="400" customFormat="1">
      <c r="C264" s="487"/>
      <c r="H264" s="487"/>
    </row>
    <row r="265" spans="3:8" s="400" customFormat="1">
      <c r="C265" s="487"/>
      <c r="H265" s="487"/>
    </row>
    <row r="266" spans="3:8" s="400" customFormat="1">
      <c r="C266" s="487"/>
      <c r="H266" s="487"/>
    </row>
    <row r="267" spans="3:8" s="400" customFormat="1">
      <c r="C267" s="487"/>
      <c r="H267" s="487"/>
    </row>
    <row r="268" spans="3:8" s="400" customFormat="1">
      <c r="C268" s="487"/>
      <c r="H268" s="487"/>
    </row>
    <row r="269" spans="3:8" s="400" customFormat="1">
      <c r="C269" s="487"/>
      <c r="H269" s="487"/>
    </row>
    <row r="270" spans="3:8" s="400" customFormat="1">
      <c r="C270" s="487"/>
      <c r="H270" s="487"/>
    </row>
    <row r="271" spans="3:8" s="400" customFormat="1">
      <c r="C271" s="487"/>
      <c r="H271" s="487"/>
    </row>
    <row r="272" spans="3:8" s="400" customFormat="1">
      <c r="C272" s="487"/>
      <c r="H272" s="487"/>
    </row>
    <row r="273" spans="3:8" s="400" customFormat="1">
      <c r="C273" s="487"/>
      <c r="H273" s="487"/>
    </row>
    <row r="274" spans="3:8" s="400" customFormat="1">
      <c r="C274" s="487"/>
      <c r="H274" s="487"/>
    </row>
    <row r="275" spans="3:8" s="400" customFormat="1">
      <c r="C275" s="487"/>
      <c r="H275" s="487"/>
    </row>
    <row r="276" spans="3:8" s="400" customFormat="1">
      <c r="C276" s="487"/>
      <c r="H276" s="487"/>
    </row>
    <row r="277" spans="3:8" s="400" customFormat="1">
      <c r="C277" s="487"/>
      <c r="H277" s="487"/>
    </row>
    <row r="278" spans="3:8" s="400" customFormat="1">
      <c r="C278" s="487"/>
      <c r="H278" s="487"/>
    </row>
    <row r="279" spans="3:8" s="400" customFormat="1">
      <c r="C279" s="487"/>
      <c r="H279" s="487"/>
    </row>
    <row r="280" spans="3:8" s="400" customFormat="1">
      <c r="C280" s="487"/>
      <c r="H280" s="487"/>
    </row>
    <row r="281" spans="3:8" s="400" customFormat="1">
      <c r="C281" s="487"/>
      <c r="H281" s="487"/>
    </row>
    <row r="282" spans="3:8" s="400" customFormat="1">
      <c r="C282" s="487"/>
      <c r="H282" s="487"/>
    </row>
    <row r="283" spans="3:8" s="400" customFormat="1">
      <c r="C283" s="487"/>
      <c r="H283" s="487"/>
    </row>
    <row r="284" spans="3:8" s="400" customFormat="1">
      <c r="C284" s="487"/>
      <c r="H284" s="487"/>
    </row>
    <row r="285" spans="3:8" s="400" customFormat="1">
      <c r="C285" s="487"/>
      <c r="H285" s="487"/>
    </row>
    <row r="286" spans="3:8" s="400" customFormat="1">
      <c r="C286" s="487"/>
      <c r="H286" s="487"/>
    </row>
    <row r="287" spans="3:8" s="400" customFormat="1">
      <c r="C287" s="487"/>
      <c r="H287" s="487"/>
    </row>
  </sheetData>
  <sheetProtection algorithmName="SHA-512" hashValue="5hOzlrFkTaNRzPKTXd3zzKq7OrAln0mba+ls5vVvENDokCE/0kFjcm0mapztLMvj8Zhlfx9vig3XQNWHbALPIQ==" saltValue="fdX4f2hlfcVgB1ODE+XjXQ==" spinCount="100000" sheet="1" objects="1" scenarios="1"/>
  <mergeCells count="10">
    <mergeCell ref="B8:L8"/>
    <mergeCell ref="B42:L42"/>
    <mergeCell ref="B67:L67"/>
    <mergeCell ref="B14:L14"/>
    <mergeCell ref="J40:L40"/>
    <mergeCell ref="B32:L32"/>
    <mergeCell ref="H30:I30"/>
    <mergeCell ref="H40:I40"/>
    <mergeCell ref="B56:L56"/>
    <mergeCell ref="H65:I65"/>
  </mergeCells>
  <phoneticPr fontId="0" type="noConversion"/>
  <conditionalFormatting sqref="I75 L53 L47 H46 H54 H50:H52 H44">
    <cfRule type="cellIs" dxfId="42" priority="5" stopIfTrue="1" operator="equal">
      <formula>"OK"</formula>
    </cfRule>
  </conditionalFormatting>
  <conditionalFormatting sqref="L75 L46 L54 Q45 L43">
    <cfRule type="cellIs" dxfId="41" priority="6" stopIfTrue="1" operator="equal">
      <formula>"Spacing - OK"</formula>
    </cfRule>
  </conditionalFormatting>
  <conditionalFormatting sqref="I77 I68:I74 I66:K66 I41:K41 I55:K55 I79:I80">
    <cfRule type="cellIs" dxfId="40" priority="7" stopIfTrue="1" operator="equal">
      <formula>"As min OK"</formula>
    </cfRule>
  </conditionalFormatting>
  <conditionalFormatting sqref="L82 L79">
    <cfRule type="cellIs" dxfId="39" priority="8" stopIfTrue="1" operator="equal">
      <formula>"Ask - OK"</formula>
    </cfRule>
    <cfRule type="cellIs" dxfId="38" priority="9" stopIfTrue="1" operator="equal">
      <formula>"None Required - OK"</formula>
    </cfRule>
  </conditionalFormatting>
  <conditionalFormatting sqref="L65">
    <cfRule type="cellIs" dxfId="37" priority="10" stopIfTrue="1" operator="equal">
      <formula>"Service Load Stress - OK"</formula>
    </cfRule>
  </conditionalFormatting>
  <conditionalFormatting sqref="L52">
    <cfRule type="cellIs" dxfId="36" priority="12" stopIfTrue="1" operator="equal">
      <formula>"Spacing - OK"</formula>
    </cfRule>
    <cfRule type="cellIs" dxfId="35" priority="13" stopIfTrue="1" operator="equal">
      <formula>"Bundling Not Required - OK"</formula>
    </cfRule>
    <cfRule type="cellIs" dxfId="34" priority="14" stopIfTrue="1" operator="equal">
      <formula>"Bundled Spacing - OK"</formula>
    </cfRule>
  </conditionalFormatting>
  <conditionalFormatting sqref="J63:K63">
    <cfRule type="cellIs" dxfId="33" priority="15" stopIfTrue="1" operator="equal">
      <formula>"Dead Load Capacity OK"</formula>
    </cfRule>
  </conditionalFormatting>
  <conditionalFormatting sqref="J40:L40">
    <cfRule type="cellIs" dxfId="32" priority="16" stopIfTrue="1" operator="equal">
      <formula>"As &gt; Asmin - OK"</formula>
    </cfRule>
  </conditionalFormatting>
  <conditionalFormatting sqref="L39">
    <cfRule type="cellIs" dxfId="31" priority="18" stopIfTrue="1" operator="equal">
      <formula>"ΦMn &gt; 1.33Mu - OK"</formula>
    </cfRule>
  </conditionalFormatting>
  <conditionalFormatting sqref="K21:K23">
    <cfRule type="cellIs" dxfId="30" priority="19" stopIfTrue="1" operator="equal">
      <formula>"Ultimate Capacity OK"</formula>
    </cfRule>
  </conditionalFormatting>
  <conditionalFormatting sqref="L24">
    <cfRule type="cellIs" dxfId="29" priority="20" stopIfTrue="1" operator="equal">
      <formula>"Yes-Steel has yielded at Mn"</formula>
    </cfRule>
  </conditionalFormatting>
  <conditionalFormatting sqref="L30">
    <cfRule type="cellIs" dxfId="28" priority="21" stopIfTrue="1" operator="equal">
      <formula>"ΦMn &gt; Mu - OK"</formula>
    </cfRule>
  </conditionalFormatting>
  <conditionalFormatting sqref="L19">
    <cfRule type="cellIs" dxfId="27" priority="22" stopIfTrue="1" operator="equal">
      <formula>"c &gt; ledge depth - NG"</formula>
    </cfRule>
  </conditionalFormatting>
  <dataValidations count="2">
    <dataValidation type="list" allowBlank="1" showInputMessage="1" showErrorMessage="1" sqref="F68" xr:uid="{00000000-0002-0000-0D00-000000000000}">
      <formula1>"Class 1, Class 2"</formula1>
    </dataValidation>
    <dataValidation allowBlank="1" showInputMessage="1" showErrorMessage="1" prompt="Modify Reinforcing In Geometry Tab" sqref="F10 H10:H12" xr:uid="{00000000-0002-0000-0D00-000001000000}"/>
  </dataValidations>
  <hyperlinks>
    <hyperlink ref="A13" location="Geometry!G79" display="Edit Flexural Reinforcing" xr:uid="{00000000-0004-0000-0D00-000000000000}"/>
  </hyperlinks>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53"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30785" r:id="rId4" name="Button 65">
              <controlPr defaultSize="0" print="0" autoFill="0" autoPict="0" macro="[0]!AReinf">
                <anchor moveWithCells="1" sizeWithCells="1">
                  <from>
                    <xdr:col>0</xdr:col>
                    <xdr:colOff>209550</xdr:colOff>
                    <xdr:row>8</xdr:row>
                    <xdr:rowOff>180975</xdr:rowOff>
                  </from>
                  <to>
                    <xdr:col>0</xdr:col>
                    <xdr:colOff>1447800</xdr:colOff>
                    <xdr:row>11</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7"/>
  </sheetPr>
  <dimension ref="A1:AS156"/>
  <sheetViews>
    <sheetView showGridLines="0" view="pageBreakPreview" zoomScaleNormal="100" zoomScaleSheetLayoutView="100" workbookViewId="0">
      <selection activeCell="D12" sqref="D12"/>
    </sheetView>
  </sheetViews>
  <sheetFormatPr defaultColWidth="9.140625" defaultRowHeight="12.75"/>
  <cols>
    <col min="1" max="1" width="24.7109375" style="400" customWidth="1"/>
    <col min="2" max="2" width="8.7109375" style="37" customWidth="1"/>
    <col min="3" max="3" width="8.7109375" style="75" customWidth="1"/>
    <col min="4" max="7" width="8.7109375" style="37" customWidth="1"/>
    <col min="8" max="8" width="8.7109375" style="75" customWidth="1"/>
    <col min="9" max="12" width="8.7109375" style="37" customWidth="1"/>
    <col min="13" max="13" width="8.7109375" style="400" customWidth="1"/>
    <col min="14" max="14" width="9.140625" style="400"/>
    <col min="15" max="15" width="14.5703125" style="400" customWidth="1"/>
    <col min="16" max="45" width="9.140625" style="400"/>
    <col min="46" max="16384" width="9.140625" style="37"/>
  </cols>
  <sheetData>
    <row r="1" spans="1:45" customFormat="1">
      <c r="A1" s="337"/>
      <c r="M1" s="337"/>
      <c r="N1" s="337"/>
      <c r="O1" s="337"/>
      <c r="P1" s="337"/>
      <c r="Q1" s="337"/>
      <c r="R1" s="337"/>
      <c r="S1" s="337"/>
      <c r="T1" s="337"/>
      <c r="U1" s="337"/>
      <c r="V1" s="337"/>
      <c r="W1" s="337"/>
      <c r="X1" s="337"/>
      <c r="Y1" s="337"/>
      <c r="Z1" s="337"/>
      <c r="AA1" s="337"/>
      <c r="AB1" s="337"/>
      <c r="AC1" s="337"/>
      <c r="AD1" s="337"/>
      <c r="AE1" s="337"/>
      <c r="AF1" s="337"/>
      <c r="AG1" s="337"/>
      <c r="AH1" s="337"/>
      <c r="AI1" s="337"/>
      <c r="AJ1" s="337"/>
      <c r="AK1" s="337"/>
      <c r="AL1" s="337"/>
      <c r="AM1" s="337"/>
      <c r="AN1" s="337"/>
      <c r="AO1" s="337"/>
      <c r="AP1" s="337"/>
      <c r="AQ1" s="337"/>
      <c r="AR1" s="337"/>
      <c r="AS1" s="337"/>
    </row>
    <row r="2" spans="1:45" customFormat="1">
      <c r="A2" s="337"/>
      <c r="M2" s="337"/>
      <c r="N2" s="337"/>
      <c r="O2" s="337"/>
      <c r="P2" s="337"/>
      <c r="Q2" s="337"/>
      <c r="R2" s="337"/>
      <c r="S2" s="337"/>
      <c r="T2" s="337"/>
      <c r="U2" s="337"/>
      <c r="V2" s="337"/>
      <c r="W2" s="337"/>
      <c r="X2" s="337"/>
      <c r="Y2" s="337"/>
      <c r="Z2" s="337"/>
      <c r="AA2" s="337"/>
      <c r="AB2" s="337"/>
      <c r="AC2" s="337"/>
      <c r="AD2" s="337"/>
      <c r="AE2" s="337"/>
      <c r="AF2" s="337"/>
      <c r="AG2" s="337"/>
      <c r="AH2" s="337"/>
      <c r="AI2" s="337"/>
      <c r="AJ2" s="337"/>
      <c r="AK2" s="337"/>
      <c r="AL2" s="337"/>
      <c r="AM2" s="337"/>
      <c r="AN2" s="337"/>
      <c r="AO2" s="337"/>
      <c r="AP2" s="337"/>
      <c r="AQ2" s="337"/>
      <c r="AR2" s="337"/>
      <c r="AS2" s="337"/>
    </row>
    <row r="3" spans="1:45" customFormat="1">
      <c r="A3" s="337"/>
      <c r="M3" s="337"/>
      <c r="N3" s="337"/>
      <c r="O3" s="337"/>
      <c r="P3" s="337"/>
      <c r="Q3" s="337"/>
      <c r="R3" s="337"/>
      <c r="S3" s="337"/>
      <c r="T3" s="337"/>
      <c r="U3" s="337"/>
      <c r="V3" s="337"/>
      <c r="W3" s="337"/>
      <c r="X3" s="337"/>
      <c r="Y3" s="337"/>
      <c r="Z3" s="337"/>
      <c r="AA3" s="337"/>
      <c r="AB3" s="337"/>
      <c r="AC3" s="337"/>
      <c r="AD3" s="337"/>
      <c r="AE3" s="337"/>
      <c r="AF3" s="337"/>
      <c r="AG3" s="337"/>
      <c r="AH3" s="337"/>
      <c r="AI3" s="337"/>
      <c r="AJ3" s="337"/>
      <c r="AK3" s="337"/>
      <c r="AL3" s="337"/>
      <c r="AM3" s="337"/>
      <c r="AN3" s="337"/>
      <c r="AO3" s="337"/>
      <c r="AP3" s="337"/>
      <c r="AQ3" s="337"/>
      <c r="AR3" s="337"/>
      <c r="AS3" s="337"/>
    </row>
    <row r="4" spans="1:45" customFormat="1">
      <c r="A4" s="337"/>
      <c r="M4" s="337"/>
      <c r="N4" s="337"/>
      <c r="O4" s="337"/>
      <c r="P4" s="337"/>
      <c r="Q4" s="337"/>
      <c r="R4" s="337"/>
      <c r="S4" s="337"/>
      <c r="T4" s="337"/>
      <c r="U4" s="337"/>
      <c r="V4" s="337"/>
      <c r="W4" s="337"/>
      <c r="X4" s="337"/>
      <c r="Y4" s="337"/>
      <c r="Z4" s="337"/>
      <c r="AA4" s="337"/>
      <c r="AB4" s="337"/>
      <c r="AC4" s="337"/>
      <c r="AD4" s="337"/>
      <c r="AE4" s="337"/>
      <c r="AF4" s="337"/>
      <c r="AG4" s="337"/>
      <c r="AH4" s="337"/>
      <c r="AI4" s="337"/>
      <c r="AJ4" s="337"/>
      <c r="AK4" s="337"/>
      <c r="AL4" s="337"/>
      <c r="AM4" s="337"/>
      <c r="AN4" s="337"/>
      <c r="AO4" s="337"/>
      <c r="AP4" s="337"/>
      <c r="AQ4" s="337"/>
      <c r="AR4" s="337"/>
      <c r="AS4" s="337"/>
    </row>
    <row r="5" spans="1:45" customFormat="1">
      <c r="A5" s="337"/>
      <c r="M5" s="337"/>
      <c r="N5" s="337"/>
      <c r="O5" s="337"/>
      <c r="P5" s="337"/>
      <c r="Q5" s="337"/>
      <c r="R5" s="337"/>
      <c r="S5" s="337"/>
      <c r="T5" s="337"/>
      <c r="U5" s="337"/>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row>
    <row r="6" spans="1:45" customFormat="1">
      <c r="A6" s="337"/>
      <c r="M6" s="337"/>
      <c r="N6" s="337"/>
      <c r="O6" s="337"/>
      <c r="P6" s="337"/>
      <c r="Q6" s="337"/>
      <c r="R6" s="337"/>
      <c r="S6" s="337"/>
      <c r="T6" s="337"/>
      <c r="U6" s="337"/>
      <c r="V6" s="337"/>
      <c r="W6" s="337"/>
      <c r="X6" s="337"/>
      <c r="Y6" s="337"/>
      <c r="Z6" s="337"/>
      <c r="AA6" s="337"/>
      <c r="AB6" s="337"/>
      <c r="AC6" s="337"/>
      <c r="AD6" s="337"/>
      <c r="AE6" s="337"/>
      <c r="AF6" s="337"/>
      <c r="AG6" s="337"/>
      <c r="AH6" s="337"/>
      <c r="AI6" s="337"/>
      <c r="AJ6" s="337"/>
      <c r="AK6" s="337"/>
      <c r="AL6" s="337"/>
      <c r="AM6" s="337"/>
      <c r="AN6" s="337"/>
      <c r="AO6" s="337"/>
      <c r="AP6" s="337"/>
      <c r="AQ6" s="337"/>
      <c r="AR6" s="337"/>
      <c r="AS6" s="337"/>
    </row>
    <row r="7" spans="1:45" customFormat="1" ht="11.25" customHeight="1">
      <c r="A7" s="337"/>
      <c r="M7" s="337"/>
      <c r="N7" s="337"/>
      <c r="O7" s="337"/>
      <c r="P7" s="337"/>
      <c r="Q7" s="337"/>
      <c r="R7" s="337"/>
      <c r="S7" s="337"/>
      <c r="T7" s="337"/>
      <c r="U7" s="337"/>
      <c r="V7" s="337"/>
      <c r="W7" s="337"/>
      <c r="X7" s="337"/>
      <c r="Y7" s="337"/>
      <c r="Z7" s="337"/>
      <c r="AA7" s="337"/>
      <c r="AB7" s="337"/>
      <c r="AC7" s="337"/>
      <c r="AD7" s="337"/>
      <c r="AE7" s="337"/>
      <c r="AF7" s="337"/>
      <c r="AG7" s="337"/>
      <c r="AH7" s="337"/>
      <c r="AI7" s="337"/>
      <c r="AJ7" s="337"/>
      <c r="AK7" s="337"/>
      <c r="AL7" s="337"/>
      <c r="AM7" s="337"/>
      <c r="AN7" s="337"/>
      <c r="AO7" s="337"/>
      <c r="AP7" s="337"/>
      <c r="AQ7" s="337"/>
      <c r="AR7" s="337"/>
      <c r="AS7" s="337"/>
    </row>
    <row r="8" spans="1:45" ht="16.5" thickBot="1">
      <c r="B8" s="1618" t="s">
        <v>575</v>
      </c>
      <c r="C8" s="1618"/>
      <c r="D8" s="1618"/>
      <c r="E8" s="1618"/>
      <c r="F8" s="1618"/>
      <c r="G8" s="1618"/>
      <c r="H8" s="1618"/>
      <c r="I8" s="1618"/>
      <c r="J8" s="1618"/>
      <c r="K8" s="1618"/>
      <c r="L8" s="1618"/>
      <c r="M8" s="615"/>
    </row>
    <row r="9" spans="1:45" ht="15.75" customHeight="1" thickTop="1">
      <c r="B9" s="1613" t="s">
        <v>398</v>
      </c>
      <c r="C9" s="1613"/>
      <c r="D9" s="1613"/>
      <c r="E9" s="43"/>
      <c r="F9" s="69" t="s">
        <v>399</v>
      </c>
      <c r="H9" s="43"/>
      <c r="I9" s="43"/>
      <c r="J9" s="43"/>
      <c r="K9" s="43"/>
      <c r="L9" s="68"/>
      <c r="M9" s="615"/>
    </row>
    <row r="10" spans="1:45" ht="15.75" customHeight="1">
      <c r="B10" s="43"/>
      <c r="C10" s="70" t="s">
        <v>97</v>
      </c>
      <c r="D10" s="86">
        <f>MAX('CAP18 Out(1)'!E:E)</f>
        <v>0</v>
      </c>
      <c r="E10" s="71" t="s">
        <v>400</v>
      </c>
      <c r="F10" s="502" t="str">
        <f>BarsB</f>
        <v>#11</v>
      </c>
      <c r="G10" s="71" t="s">
        <v>402</v>
      </c>
      <c r="H10" s="502">
        <f>Geometry!K84</f>
        <v>10</v>
      </c>
      <c r="I10" s="69" t="s">
        <v>1403</v>
      </c>
      <c r="J10" s="72"/>
      <c r="K10" s="73"/>
      <c r="L10" s="68"/>
      <c r="M10" s="615"/>
    </row>
    <row r="11" spans="1:45" ht="15.75" customHeight="1">
      <c r="B11" s="43"/>
      <c r="C11" s="70" t="s">
        <v>98</v>
      </c>
      <c r="D11" s="86" t="e">
        <f>MAX('CAP18 Out(1)'!G:G)</f>
        <v>#VALUE!</v>
      </c>
      <c r="E11" s="71" t="s">
        <v>400</v>
      </c>
      <c r="F11" s="43"/>
      <c r="H11" s="502">
        <f>Geometry!K85</f>
        <v>0</v>
      </c>
      <c r="I11" s="69" t="s">
        <v>1404</v>
      </c>
      <c r="J11" s="72"/>
      <c r="K11" s="73"/>
      <c r="L11" s="68"/>
    </row>
    <row r="12" spans="1:45" ht="15.75" customHeight="1">
      <c r="B12" s="43"/>
      <c r="C12" s="70" t="s">
        <v>99</v>
      </c>
      <c r="D12" s="86" t="e">
        <f>MAX('CAP18 Out(1)'!I:I)</f>
        <v>#VALUE!</v>
      </c>
      <c r="E12" s="71" t="s">
        <v>400</v>
      </c>
      <c r="H12" s="502">
        <f>Geometry!K86</f>
        <v>0</v>
      </c>
      <c r="I12" s="69" t="s">
        <v>1405</v>
      </c>
      <c r="K12" s="43"/>
      <c r="L12" s="68"/>
      <c r="M12" s="615"/>
    </row>
    <row r="13" spans="1:45" ht="15.75" customHeight="1">
      <c r="A13" s="619" t="s">
        <v>576</v>
      </c>
      <c r="B13" s="43"/>
      <c r="C13" s="37"/>
      <c r="E13" s="70" t="s">
        <v>524</v>
      </c>
      <c r="F13" s="74">
        <f>capheight-cover-VLOOKUP(BarS,BarTable,2,FALSE)/2-VLOOKUP(F10,BarTable,2,FALSE)/2-((H12*2*BarsBdist+H11*BarsBdist)/SUM(H10:H12))</f>
        <v>56.67</v>
      </c>
      <c r="G13" s="73" t="s">
        <v>155</v>
      </c>
      <c r="H13" s="74" t="s">
        <v>525</v>
      </c>
      <c r="I13" s="74">
        <f>VLOOKUP($F$10,BarTable,3,FALSE)*SUM(H10:H12)</f>
        <v>15.629999999999999</v>
      </c>
      <c r="J13" s="69" t="s">
        <v>480</v>
      </c>
      <c r="K13" s="43"/>
      <c r="L13" s="68"/>
      <c r="M13" s="615"/>
    </row>
    <row r="14" spans="1:45" ht="15.75" customHeight="1" thickBot="1">
      <c r="B14" s="1619" t="s">
        <v>1570</v>
      </c>
      <c r="C14" s="1619"/>
      <c r="D14" s="1619"/>
      <c r="E14" s="1619"/>
      <c r="F14" s="1619"/>
      <c r="G14" s="1619"/>
      <c r="H14" s="1619"/>
      <c r="I14" s="1619"/>
      <c r="J14" s="1619"/>
      <c r="K14" s="1619"/>
      <c r="L14" s="1619"/>
      <c r="M14" s="1223"/>
      <c r="N14" s="1303" t="s">
        <v>1473</v>
      </c>
    </row>
    <row r="15" spans="1:45" s="95" customFormat="1" ht="15.75" customHeight="1">
      <c r="A15" s="400"/>
      <c r="C15" s="973" t="s">
        <v>1273</v>
      </c>
      <c r="M15" s="400"/>
      <c r="N15" s="400"/>
      <c r="O15" s="400"/>
      <c r="P15" s="400"/>
      <c r="Q15" s="400"/>
      <c r="R15" s="400"/>
      <c r="S15" s="400"/>
      <c r="T15" s="400"/>
      <c r="U15" s="400"/>
      <c r="V15" s="400"/>
      <c r="W15" s="400"/>
      <c r="X15" s="400"/>
      <c r="Y15" s="400"/>
      <c r="Z15" s="400"/>
      <c r="AA15" s="400"/>
      <c r="AB15" s="400"/>
      <c r="AC15" s="400"/>
      <c r="AD15" s="400"/>
      <c r="AE15" s="400"/>
      <c r="AF15" s="400"/>
      <c r="AG15" s="400"/>
      <c r="AH15" s="400"/>
      <c r="AI15" s="400"/>
      <c r="AJ15" s="400"/>
      <c r="AK15" s="400"/>
      <c r="AL15" s="400"/>
      <c r="AM15" s="400"/>
      <c r="AN15" s="400"/>
      <c r="AO15" s="400"/>
      <c r="AP15" s="400"/>
      <c r="AQ15" s="400"/>
      <c r="AR15" s="400"/>
      <c r="AS15" s="400"/>
    </row>
    <row r="16" spans="1:45" s="95" customFormat="1" ht="15.75" customHeight="1">
      <c r="A16" s="400"/>
      <c r="C16" s="96" t="s">
        <v>100</v>
      </c>
      <c r="D16" s="97" t="e">
        <f>D12*12</f>
        <v>#VALUE!</v>
      </c>
      <c r="E16" s="41" t="s">
        <v>403</v>
      </c>
      <c r="F16" s="64"/>
      <c r="H16" s="96"/>
      <c r="M16" s="400"/>
      <c r="N16" s="400"/>
      <c r="O16" s="400"/>
      <c r="P16" s="400"/>
      <c r="Q16" s="400"/>
      <c r="R16" s="400"/>
      <c r="S16" s="400"/>
      <c r="T16" s="400"/>
      <c r="U16" s="400"/>
      <c r="V16" s="400"/>
      <c r="W16" s="400"/>
      <c r="X16" s="400"/>
      <c r="Y16" s="400"/>
      <c r="Z16" s="400"/>
      <c r="AA16" s="400"/>
      <c r="AB16" s="400"/>
      <c r="AC16" s="400"/>
      <c r="AD16" s="400"/>
      <c r="AE16" s="400"/>
      <c r="AF16" s="400"/>
      <c r="AG16" s="400"/>
      <c r="AH16" s="400"/>
      <c r="AI16" s="400"/>
      <c r="AJ16" s="400"/>
      <c r="AK16" s="400"/>
      <c r="AL16" s="400"/>
      <c r="AM16" s="400"/>
      <c r="AN16" s="400"/>
      <c r="AO16" s="400"/>
      <c r="AP16" s="400"/>
      <c r="AQ16" s="400"/>
      <c r="AR16" s="400"/>
      <c r="AS16" s="400"/>
    </row>
    <row r="17" spans="1:45" s="95" customFormat="1" ht="15.75" customHeight="1">
      <c r="A17" s="400"/>
      <c r="C17" s="116" t="s">
        <v>92</v>
      </c>
      <c r="L17" s="103" t="str">
        <f>IF(CapType="Tee",IF(D20&lt;Geometry!K67,"c &lt; top flange - OK","c &gt; top flange depth - NG"),"")</f>
        <v/>
      </c>
      <c r="M17" s="400"/>
      <c r="N17" s="400"/>
      <c r="O17" s="400"/>
      <c r="P17" s="400"/>
      <c r="Q17" s="400"/>
      <c r="R17" s="400"/>
      <c r="S17" s="400"/>
      <c r="T17" s="400"/>
      <c r="U17" s="400"/>
      <c r="V17" s="400"/>
      <c r="W17" s="400"/>
      <c r="X17" s="400"/>
      <c r="Y17" s="400"/>
      <c r="Z17" s="400"/>
      <c r="AA17" s="400"/>
      <c r="AB17" s="400"/>
      <c r="AC17" s="400"/>
      <c r="AD17" s="400"/>
      <c r="AE17" s="400"/>
      <c r="AF17" s="400"/>
      <c r="AG17" s="400"/>
      <c r="AH17" s="400"/>
      <c r="AI17" s="400"/>
      <c r="AJ17" s="400"/>
      <c r="AK17" s="400"/>
      <c r="AL17" s="400"/>
      <c r="AM17" s="400"/>
      <c r="AN17" s="400"/>
      <c r="AO17" s="400"/>
      <c r="AP17" s="400"/>
      <c r="AQ17" s="400"/>
      <c r="AR17" s="400"/>
      <c r="AS17" s="400"/>
    </row>
    <row r="18" spans="1:45" s="95" customFormat="1" ht="15.75" customHeight="1">
      <c r="A18" s="400"/>
      <c r="C18" s="64" t="s">
        <v>497</v>
      </c>
      <c r="D18" s="95">
        <f>IF(fc&lt;=4,0.85,IF(fc=5,0.8,IF(fc=6,0.75,IF(fc=7,0.7,IF(fc&gt;=8,0.65)))))</f>
        <v>0.85</v>
      </c>
      <c r="F18" s="91" t="str">
        <f>"{"&amp;IF(fc&lt;=4,"f'c ≤ 4 ksi",IF(fc=5,"f'c = 5 ksi",IF(fc=6,"f'c = 6 ksi",IF(fc=7,"f'c = 7 ksi",IF(fc&gt;=8,"f'c ≥ 8 ksi")))))&amp;"}"</f>
        <v>{f'c ≤ 4 ksi}</v>
      </c>
      <c r="H18" s="96"/>
      <c r="L18" s="1037" t="s">
        <v>1571</v>
      </c>
      <c r="M18" s="1223"/>
      <c r="N18" s="400"/>
      <c r="O18" s="400"/>
      <c r="P18" s="400"/>
      <c r="Q18" s="400"/>
      <c r="R18" s="400"/>
      <c r="S18" s="400"/>
      <c r="T18" s="400"/>
      <c r="U18" s="400"/>
      <c r="V18" s="400"/>
      <c r="W18" s="400"/>
      <c r="X18" s="400"/>
      <c r="Y18" s="400"/>
      <c r="Z18" s="400"/>
      <c r="AA18" s="400"/>
      <c r="AB18" s="400"/>
      <c r="AC18" s="400"/>
      <c r="AD18" s="400"/>
      <c r="AE18" s="400"/>
      <c r="AF18" s="400"/>
      <c r="AG18" s="400"/>
      <c r="AH18" s="400"/>
      <c r="AI18" s="400"/>
      <c r="AJ18" s="400"/>
      <c r="AK18" s="400"/>
      <c r="AL18" s="400"/>
      <c r="AM18" s="400"/>
      <c r="AN18" s="400"/>
      <c r="AO18" s="400"/>
      <c r="AP18" s="400"/>
      <c r="AQ18" s="400"/>
      <c r="AR18" s="400"/>
      <c r="AS18" s="400"/>
    </row>
    <row r="19" spans="1:45" s="95" customFormat="1" ht="15.75" customHeight="1">
      <c r="A19" s="400"/>
      <c r="C19" s="116" t="str">
        <f>IF(CapType="Tee","For calculation of c, assume rectangular behavior.","Calculation of c, distance between neutral axis and the compressive face.")</f>
        <v>Calculation of c, distance between neutral axis and the compressive face.</v>
      </c>
      <c r="F19" s="91"/>
      <c r="H19" s="96"/>
      <c r="L19" s="137" t="str">
        <f>IF(CapType="Tee",IF(D20&lt;Geometry!K67,"c &lt; ledge depth - OK","c &gt; ledge depth - NG"),"")</f>
        <v/>
      </c>
      <c r="M19" s="1223"/>
      <c r="N19" s="400"/>
      <c r="O19" s="400"/>
      <c r="P19" s="400"/>
      <c r="Q19" s="400"/>
      <c r="R19" s="400"/>
      <c r="S19" s="400"/>
      <c r="T19" s="400"/>
      <c r="U19" s="400"/>
      <c r="V19" s="400"/>
      <c r="W19" s="400"/>
      <c r="X19" s="400"/>
      <c r="Y19" s="400"/>
      <c r="Z19" s="400"/>
      <c r="AA19" s="400"/>
      <c r="AB19" s="400"/>
      <c r="AC19" s="400"/>
      <c r="AD19" s="400"/>
      <c r="AE19" s="400"/>
      <c r="AF19" s="400"/>
      <c r="AG19" s="400"/>
      <c r="AH19" s="400"/>
      <c r="AI19" s="400"/>
      <c r="AJ19" s="400"/>
      <c r="AK19" s="400"/>
      <c r="AL19" s="400"/>
      <c r="AM19" s="400"/>
      <c r="AN19" s="400"/>
      <c r="AO19" s="400"/>
      <c r="AP19" s="400"/>
      <c r="AQ19" s="400"/>
      <c r="AR19" s="400"/>
      <c r="AS19" s="400"/>
    </row>
    <row r="20" spans="1:45" s="95" customFormat="1" ht="15.75" customHeight="1">
      <c r="A20" s="400"/>
      <c r="C20" s="1232" t="s">
        <v>496</v>
      </c>
      <c r="D20" s="1233">
        <f>(I13*fy)/(0.85*fc*D18*IF(CapType="Tee",InvTeeBotWidth,capstemWidth))</f>
        <v>6.6769191336665381</v>
      </c>
      <c r="E20" s="1234" t="s">
        <v>155</v>
      </c>
      <c r="F20" s="1235" t="s">
        <v>1406</v>
      </c>
      <c r="G20" s="1234"/>
      <c r="H20" s="96"/>
      <c r="L20" s="1037" t="s">
        <v>1572</v>
      </c>
      <c r="M20" s="1223"/>
      <c r="N20" s="400"/>
      <c r="O20" s="400"/>
      <c r="P20" s="400"/>
      <c r="Q20" s="400"/>
      <c r="R20" s="400"/>
      <c r="S20" s="400"/>
      <c r="T20" s="400"/>
      <c r="U20" s="400"/>
      <c r="V20" s="400"/>
      <c r="W20" s="400"/>
      <c r="X20" s="400"/>
      <c r="Y20" s="400"/>
      <c r="Z20" s="400"/>
      <c r="AA20" s="400"/>
      <c r="AB20" s="400"/>
      <c r="AC20" s="400"/>
      <c r="AD20" s="400"/>
      <c r="AE20" s="400"/>
      <c r="AF20" s="400"/>
      <c r="AG20" s="400"/>
      <c r="AH20" s="400"/>
      <c r="AI20" s="400"/>
      <c r="AJ20" s="400"/>
      <c r="AK20" s="400"/>
      <c r="AL20" s="400"/>
      <c r="AM20" s="400"/>
      <c r="AN20" s="400"/>
      <c r="AO20" s="400"/>
      <c r="AP20" s="400"/>
      <c r="AQ20" s="400"/>
      <c r="AR20" s="400"/>
      <c r="AS20" s="400"/>
    </row>
    <row r="21" spans="1:45" s="95" customFormat="1" ht="15.75" customHeight="1">
      <c r="A21" s="400"/>
      <c r="C21" s="96" t="s">
        <v>498</v>
      </c>
      <c r="D21" s="133">
        <f>D18*D20</f>
        <v>5.6753812636165568</v>
      </c>
      <c r="E21" s="95" t="s">
        <v>155</v>
      </c>
      <c r="F21" s="98" t="s">
        <v>502</v>
      </c>
      <c r="I21" s="766"/>
      <c r="J21" s="766"/>
      <c r="K21" s="1045"/>
      <c r="L21" s="1037" t="str">
        <f>"{c = "&amp;I13&amp;"sqin x "&amp;fy&amp;" ksi /(0.85 x "&amp;fc&amp;" ksi x "&amp;D18&amp;" x "&amp;IF(CapType="Tee",InvTeeBotWidth,capstemWidth)&amp;" in)}"</f>
        <v>{c = 15.63sqin x 60 ksi /(0.85 x 3.6 ksi x 0.85 x 54 in)}</v>
      </c>
      <c r="M21" s="400"/>
      <c r="N21" s="400"/>
      <c r="O21" s="400"/>
      <c r="P21" s="400"/>
      <c r="Q21" s="400"/>
      <c r="R21" s="400"/>
      <c r="S21" s="400"/>
      <c r="T21" s="400"/>
      <c r="U21" s="400"/>
      <c r="V21" s="400"/>
      <c r="W21" s="400"/>
      <c r="X21" s="400"/>
      <c r="Y21" s="400"/>
      <c r="Z21" s="400"/>
      <c r="AA21" s="400"/>
      <c r="AB21" s="400"/>
      <c r="AC21" s="400"/>
      <c r="AD21" s="400"/>
      <c r="AE21" s="400"/>
      <c r="AF21" s="400"/>
      <c r="AG21" s="400"/>
      <c r="AH21" s="400"/>
      <c r="AI21" s="400"/>
      <c r="AJ21" s="400"/>
      <c r="AK21" s="400"/>
      <c r="AL21" s="400"/>
      <c r="AM21" s="400"/>
      <c r="AN21" s="400"/>
      <c r="AO21" s="400"/>
      <c r="AP21" s="400"/>
      <c r="AQ21" s="400"/>
      <c r="AR21" s="400"/>
      <c r="AS21" s="400"/>
    </row>
    <row r="22" spans="1:45" s="95" customFormat="1" ht="15.75" customHeight="1">
      <c r="A22" s="400"/>
      <c r="C22" s="100" t="s">
        <v>503</v>
      </c>
      <c r="D22" s="101">
        <f>fy/Es</f>
        <v>2.0689655172413794E-3</v>
      </c>
      <c r="F22" s="91" t="s">
        <v>501</v>
      </c>
      <c r="H22" s="96"/>
      <c r="K22" s="99"/>
      <c r="M22" s="400"/>
      <c r="N22" s="400"/>
      <c r="O22" s="400"/>
      <c r="P22" s="400"/>
      <c r="Q22" s="400"/>
      <c r="R22" s="400"/>
      <c r="S22" s="400"/>
      <c r="T22" s="400"/>
      <c r="U22" s="400"/>
      <c r="V22" s="400"/>
      <c r="W22" s="400"/>
      <c r="X22" s="400"/>
      <c r="Y22" s="400"/>
      <c r="Z22" s="400"/>
      <c r="AA22" s="400"/>
      <c r="AB22" s="400"/>
      <c r="AC22" s="400"/>
      <c r="AD22" s="400"/>
      <c r="AE22" s="400"/>
      <c r="AF22" s="400"/>
      <c r="AG22" s="400"/>
      <c r="AH22" s="400"/>
      <c r="AI22" s="400"/>
      <c r="AJ22" s="400"/>
      <c r="AK22" s="400"/>
      <c r="AL22" s="400"/>
      <c r="AM22" s="400"/>
      <c r="AN22" s="400"/>
      <c r="AO22" s="400"/>
      <c r="AP22" s="400"/>
      <c r="AQ22" s="400"/>
      <c r="AR22" s="400"/>
      <c r="AS22" s="400"/>
    </row>
    <row r="23" spans="1:45" s="95" customFormat="1" ht="15.75" customHeight="1">
      <c r="A23" s="400"/>
      <c r="C23" s="64" t="s">
        <v>523</v>
      </c>
      <c r="D23" s="102">
        <f>(capheight-cover-VLOOKUP(BarS,BarTable,2,FALSE)/2-VLOOKUP(F10,BarTable,2,FALSE)/2)</f>
        <v>56.67</v>
      </c>
      <c r="E23" s="95" t="s">
        <v>155</v>
      </c>
      <c r="F23" s="91" t="str">
        <f>"{("&amp;capheight&amp;" in - "&amp;cover&amp;" in - "&amp;VLOOKUP(BarS,BarTable,2,FALSE)&amp;" in / 2 - "&amp;VLOOKUP(F10,BarTable,2,FALSE)&amp;" in / 2)}"</f>
        <v>{(60 in - 2.3125 in - 0.625 in / 2 - 1.41 in / 2)}</v>
      </c>
      <c r="H23" s="96"/>
      <c r="K23" s="99"/>
      <c r="M23" s="400"/>
      <c r="N23" s="400"/>
      <c r="O23" s="400"/>
      <c r="P23" s="400"/>
      <c r="Q23" s="400"/>
      <c r="R23" s="400"/>
      <c r="S23" s="400"/>
      <c r="T23" s="400"/>
      <c r="U23" s="400"/>
      <c r="V23" s="400"/>
      <c r="W23" s="400"/>
      <c r="X23" s="400"/>
      <c r="Y23" s="400"/>
      <c r="Z23" s="400"/>
      <c r="AA23" s="400"/>
      <c r="AB23" s="400"/>
      <c r="AC23" s="400"/>
      <c r="AD23" s="400"/>
      <c r="AE23" s="400"/>
      <c r="AF23" s="400"/>
      <c r="AG23" s="400"/>
      <c r="AH23" s="400"/>
      <c r="AI23" s="400"/>
      <c r="AJ23" s="400"/>
      <c r="AK23" s="400"/>
      <c r="AL23" s="400"/>
      <c r="AM23" s="400"/>
      <c r="AN23" s="400"/>
      <c r="AO23" s="400"/>
      <c r="AP23" s="400"/>
      <c r="AQ23" s="400"/>
      <c r="AR23" s="400"/>
      <c r="AS23" s="400"/>
    </row>
    <row r="24" spans="1:45" s="95" customFormat="1" ht="15.75" customHeight="1">
      <c r="A24" s="400"/>
      <c r="C24" s="100" t="s">
        <v>499</v>
      </c>
      <c r="D24" s="101">
        <f>(0.003/D20)*(D23-D20)</f>
        <v>2.2462342226487526E-2</v>
      </c>
      <c r="F24" s="91" t="s">
        <v>1270</v>
      </c>
      <c r="I24" s="1046" t="str">
        <f>IF(D24&gt;D25,"εt&gt;εy...","εt&lt;εy...")</f>
        <v>εt&gt;εy...</v>
      </c>
      <c r="L24" s="1220" t="str">
        <f>IF(D24&gt;D25,"Yes-Steel has yielded at Mn","NO-Steel has not yielded at Mn")</f>
        <v>Yes-Steel has yielded at Mn</v>
      </c>
      <c r="M24" s="400"/>
      <c r="O24" s="400"/>
      <c r="P24" s="400"/>
      <c r="Q24" s="400"/>
      <c r="R24" s="400"/>
      <c r="S24" s="400"/>
      <c r="T24" s="400"/>
      <c r="U24" s="400"/>
      <c r="V24" s="400"/>
      <c r="W24" s="400"/>
      <c r="X24" s="400"/>
      <c r="Y24" s="400"/>
      <c r="Z24" s="400"/>
      <c r="AA24" s="400"/>
      <c r="AB24" s="400"/>
      <c r="AC24" s="400"/>
      <c r="AD24" s="400"/>
      <c r="AE24" s="400"/>
      <c r="AF24" s="400"/>
      <c r="AG24" s="400"/>
      <c r="AH24" s="400"/>
      <c r="AI24" s="400"/>
      <c r="AJ24" s="400"/>
      <c r="AK24" s="400"/>
      <c r="AL24" s="400"/>
      <c r="AM24" s="400"/>
      <c r="AN24" s="400"/>
      <c r="AO24" s="400"/>
      <c r="AP24" s="400"/>
      <c r="AQ24" s="400"/>
      <c r="AR24" s="400"/>
      <c r="AS24" s="400"/>
    </row>
    <row r="25" spans="1:45" s="95" customFormat="1" ht="15.75" customHeight="1">
      <c r="A25" s="400"/>
      <c r="C25" s="1195" t="s">
        <v>1425</v>
      </c>
      <c r="D25" s="101">
        <f>IF(fy&lt;=60,0.002,IF(fy&gt;100,0.004,0.002+((fy-60)*0.002/40)))</f>
        <v>2E-3</v>
      </c>
      <c r="F25" s="91"/>
      <c r="G25" s="1036"/>
      <c r="H25" s="1036"/>
      <c r="I25" s="199"/>
      <c r="L25" s="1231" t="s">
        <v>1574</v>
      </c>
      <c r="M25" s="1223"/>
      <c r="N25" s="1303" t="s">
        <v>1481</v>
      </c>
      <c r="O25" s="400"/>
      <c r="P25" s="400"/>
      <c r="Q25" s="400"/>
      <c r="R25" s="400"/>
      <c r="S25" s="400"/>
      <c r="T25" s="400"/>
      <c r="U25" s="400"/>
      <c r="V25" s="400"/>
      <c r="W25" s="400"/>
      <c r="X25" s="400"/>
      <c r="Y25" s="400"/>
      <c r="Z25" s="400"/>
      <c r="AA25" s="400"/>
      <c r="AB25" s="400"/>
      <c r="AC25" s="400"/>
      <c r="AD25" s="400"/>
      <c r="AE25" s="400"/>
      <c r="AF25" s="400"/>
      <c r="AG25" s="400"/>
      <c r="AH25" s="400"/>
      <c r="AI25" s="400"/>
      <c r="AJ25" s="400"/>
      <c r="AK25" s="400"/>
      <c r="AL25" s="400"/>
      <c r="AM25" s="400"/>
      <c r="AN25" s="400"/>
      <c r="AO25" s="400"/>
      <c r="AP25" s="400"/>
      <c r="AQ25" s="400"/>
      <c r="AR25" s="400"/>
      <c r="AS25" s="400"/>
    </row>
    <row r="26" spans="1:45" s="95" customFormat="1" ht="15.75" customHeight="1">
      <c r="A26" s="400"/>
      <c r="C26" s="1195" t="s">
        <v>1426</v>
      </c>
      <c r="D26" s="101">
        <f>IF(fy&lt;=75,0.005,IF(fy&gt;100,0.008,0.005+((fy-75)*0.003/25)))</f>
        <v>5.0000000000000001E-3</v>
      </c>
      <c r="F26" s="91"/>
      <c r="G26" s="1036"/>
      <c r="H26" s="1036"/>
      <c r="I26" s="199"/>
      <c r="L26" s="1231" t="s">
        <v>1574</v>
      </c>
      <c r="M26" s="1223"/>
      <c r="N26" s="1303" t="s">
        <v>1480</v>
      </c>
      <c r="O26" s="400"/>
      <c r="P26" s="400"/>
      <c r="Q26" s="400"/>
      <c r="R26" s="400"/>
      <c r="S26" s="400"/>
      <c r="T26" s="400"/>
      <c r="U26" s="400"/>
      <c r="V26" s="400"/>
      <c r="W26" s="400"/>
      <c r="X26" s="400"/>
      <c r="Y26" s="400"/>
      <c r="Z26" s="400"/>
      <c r="AA26" s="400"/>
      <c r="AB26" s="400"/>
      <c r="AC26" s="400"/>
      <c r="AD26" s="400"/>
      <c r="AE26" s="400"/>
      <c r="AF26" s="400"/>
      <c r="AG26" s="400"/>
      <c r="AH26" s="400"/>
      <c r="AI26" s="400"/>
      <c r="AJ26" s="400"/>
      <c r="AK26" s="400"/>
      <c r="AL26" s="400"/>
      <c r="AM26" s="400"/>
      <c r="AN26" s="400"/>
      <c r="AO26" s="400"/>
      <c r="AP26" s="400"/>
      <c r="AQ26" s="400"/>
      <c r="AR26" s="400"/>
      <c r="AS26" s="400"/>
    </row>
    <row r="27" spans="1:45" s="95" customFormat="1" ht="15.75" customHeight="1">
      <c r="A27" s="400"/>
      <c r="C27" s="64" t="s">
        <v>500</v>
      </c>
      <c r="D27" s="104">
        <f>IF(D24&lt;D25,0.75,IF(D24&gt;D26,0.9,0.75+0.15*(D24-D25)/(D26-D25)))</f>
        <v>0.9</v>
      </c>
      <c r="E27" s="105"/>
      <c r="F27" s="91" t="str">
        <f>"{"&amp;IF(D24&lt;=D25,"εt ≤ εcl",IF(D24&gt;=D26,"εt ≥ εtl","0.75 + 0.15 x (εt-εcl)/(εtl-εcl)"))&amp;"}"</f>
        <v>{εt ≥ εtl}</v>
      </c>
      <c r="G27" s="766"/>
      <c r="H27" s="766"/>
      <c r="I27" s="766"/>
      <c r="J27" s="766"/>
      <c r="K27" s="766"/>
      <c r="L27" s="1231" t="s">
        <v>1575</v>
      </c>
      <c r="M27" s="1223"/>
      <c r="N27" s="1303" t="s">
        <v>1483</v>
      </c>
      <c r="O27" s="400"/>
      <c r="P27" s="400"/>
      <c r="Q27" s="400"/>
      <c r="R27" s="400"/>
      <c r="S27" s="400"/>
      <c r="T27" s="400"/>
      <c r="U27" s="400"/>
      <c r="V27" s="400"/>
      <c r="W27" s="400"/>
      <c r="X27" s="400"/>
      <c r="Y27" s="400"/>
      <c r="Z27" s="400"/>
      <c r="AA27" s="400"/>
      <c r="AB27" s="400"/>
      <c r="AC27" s="400"/>
      <c r="AD27" s="400"/>
      <c r="AE27" s="400"/>
      <c r="AF27" s="400"/>
      <c r="AG27" s="400"/>
      <c r="AH27" s="400"/>
      <c r="AI27" s="400"/>
      <c r="AJ27" s="400"/>
      <c r="AK27" s="400"/>
      <c r="AL27" s="400"/>
      <c r="AM27" s="400"/>
      <c r="AN27" s="400"/>
      <c r="AO27" s="400"/>
      <c r="AP27" s="400"/>
      <c r="AQ27" s="400"/>
      <c r="AR27" s="400"/>
      <c r="AS27" s="400"/>
    </row>
    <row r="28" spans="1:45" s="95" customFormat="1" ht="15.75" customHeight="1">
      <c r="A28" s="400"/>
      <c r="C28" s="64" t="s">
        <v>522</v>
      </c>
      <c r="D28" s="106">
        <f>D27*I13*fy*(F13-D21/2)</f>
        <v>45435.54575294118</v>
      </c>
      <c r="E28" s="95" t="s">
        <v>403</v>
      </c>
      <c r="F28" s="1041" t="s">
        <v>1402</v>
      </c>
      <c r="G28" s="1042"/>
      <c r="H28" s="1036"/>
      <c r="I28" s="766"/>
      <c r="J28" s="766"/>
      <c r="K28" s="766"/>
      <c r="L28" s="1231" t="s">
        <v>1576</v>
      </c>
      <c r="M28" s="1223"/>
      <c r="O28" s="337"/>
      <c r="P28" s="400"/>
      <c r="Q28" s="400"/>
      <c r="R28" s="400"/>
      <c r="S28" s="400"/>
      <c r="T28" s="400"/>
      <c r="U28" s="400"/>
      <c r="V28" s="400"/>
      <c r="W28" s="400"/>
      <c r="X28" s="400"/>
      <c r="Y28" s="400"/>
      <c r="Z28" s="400"/>
      <c r="AA28" s="400"/>
      <c r="AB28" s="400"/>
      <c r="AC28" s="400"/>
      <c r="AD28" s="400"/>
      <c r="AE28" s="400"/>
      <c r="AF28" s="400"/>
      <c r="AG28" s="400"/>
      <c r="AH28" s="400"/>
      <c r="AI28" s="400"/>
      <c r="AJ28" s="400"/>
      <c r="AK28" s="400"/>
      <c r="AL28" s="400"/>
      <c r="AM28" s="400"/>
      <c r="AN28" s="400"/>
      <c r="AO28" s="400"/>
      <c r="AP28" s="400"/>
      <c r="AQ28" s="400"/>
      <c r="AR28" s="400"/>
      <c r="AS28" s="400"/>
    </row>
    <row r="29" spans="1:45" s="95" customFormat="1" ht="15.75" customHeight="1">
      <c r="A29" s="400"/>
      <c r="C29" s="64" t="s">
        <v>1079</v>
      </c>
      <c r="D29" s="106">
        <f>D28/12</f>
        <v>3786.295479411765</v>
      </c>
      <c r="E29" s="95" t="s">
        <v>400</v>
      </c>
      <c r="F29" s="107"/>
      <c r="G29" s="108"/>
      <c r="H29" s="41"/>
      <c r="M29" s="400"/>
      <c r="N29" s="337"/>
      <c r="O29" s="337"/>
      <c r="P29" s="400"/>
      <c r="Q29" s="400"/>
      <c r="R29" s="400"/>
      <c r="S29" s="400"/>
      <c r="T29" s="400"/>
      <c r="U29" s="400"/>
      <c r="V29" s="400"/>
      <c r="W29" s="400"/>
      <c r="X29" s="400"/>
      <c r="Y29" s="400"/>
      <c r="Z29" s="400"/>
      <c r="AA29" s="400"/>
      <c r="AB29" s="400"/>
      <c r="AC29" s="400"/>
      <c r="AD29" s="400"/>
      <c r="AE29" s="400"/>
      <c r="AF29" s="400"/>
      <c r="AG29" s="400"/>
      <c r="AH29" s="400"/>
      <c r="AI29" s="400"/>
      <c r="AJ29" s="400"/>
      <c r="AK29" s="400"/>
      <c r="AL29" s="400"/>
      <c r="AM29" s="400"/>
      <c r="AN29" s="400"/>
      <c r="AO29" s="400"/>
      <c r="AP29" s="400"/>
      <c r="AQ29" s="400"/>
      <c r="AR29" s="400"/>
      <c r="AS29" s="400"/>
    </row>
    <row r="30" spans="1:45" s="95" customFormat="1" ht="15.75" customHeight="1">
      <c r="A30" s="400"/>
      <c r="C30" s="64" t="s">
        <v>507</v>
      </c>
      <c r="D30" s="109" t="e">
        <f>D16/D28</f>
        <v>#VALUE!</v>
      </c>
      <c r="F30" s="110"/>
      <c r="G30" s="108"/>
      <c r="H30" s="1621" t="e">
        <f>D30</f>
        <v>#VALUE!</v>
      </c>
      <c r="I30" s="1621"/>
      <c r="J30" s="111"/>
      <c r="L30" s="1044" t="e">
        <f>IF(D28&gt;=D16,"ΦMn &gt; Mu - OK", "ΦMn &lt; Mu - NG")</f>
        <v>#VALUE!</v>
      </c>
      <c r="M30" s="400"/>
      <c r="N30" s="337"/>
      <c r="O30" s="337"/>
      <c r="P30" s="400"/>
      <c r="Q30" s="400"/>
      <c r="R30" s="400"/>
      <c r="S30" s="400"/>
      <c r="T30" s="400"/>
      <c r="U30" s="400"/>
      <c r="V30" s="400"/>
      <c r="W30" s="400"/>
      <c r="X30" s="400"/>
      <c r="Y30" s="400"/>
      <c r="Z30" s="400"/>
      <c r="AA30" s="400"/>
      <c r="AB30" s="400"/>
      <c r="AC30" s="400"/>
      <c r="AD30" s="400"/>
      <c r="AE30" s="400"/>
      <c r="AF30" s="400"/>
      <c r="AG30" s="400"/>
      <c r="AH30" s="400"/>
      <c r="AI30" s="400"/>
      <c r="AJ30" s="400"/>
      <c r="AK30" s="400"/>
      <c r="AL30" s="400"/>
      <c r="AM30" s="400"/>
      <c r="AN30" s="400"/>
      <c r="AO30" s="400"/>
      <c r="AP30" s="400"/>
      <c r="AQ30" s="400"/>
      <c r="AR30" s="400"/>
      <c r="AS30" s="400"/>
    </row>
    <row r="31" spans="1:45" s="95" customFormat="1" ht="0.75" customHeight="1">
      <c r="A31" s="400"/>
      <c r="C31" s="96"/>
      <c r="H31" s="96"/>
      <c r="M31" s="400"/>
      <c r="N31" s="337"/>
      <c r="O31" s="337"/>
      <c r="P31" s="400"/>
      <c r="Q31" s="400"/>
      <c r="R31" s="400"/>
      <c r="S31" s="400"/>
      <c r="T31" s="400"/>
      <c r="U31" s="400"/>
      <c r="V31" s="400"/>
      <c r="W31" s="400"/>
      <c r="X31" s="400"/>
      <c r="Y31" s="400"/>
      <c r="Z31" s="400"/>
      <c r="AA31" s="400"/>
      <c r="AB31" s="400"/>
      <c r="AC31" s="400"/>
      <c r="AD31" s="400"/>
      <c r="AE31" s="400"/>
      <c r="AF31" s="400"/>
      <c r="AG31" s="400"/>
      <c r="AH31" s="400"/>
      <c r="AI31" s="400"/>
      <c r="AJ31" s="400"/>
      <c r="AK31" s="400"/>
      <c r="AL31" s="400"/>
      <c r="AM31" s="400"/>
      <c r="AN31" s="400"/>
      <c r="AO31" s="400"/>
      <c r="AP31" s="400"/>
      <c r="AQ31" s="400"/>
      <c r="AR31" s="400"/>
      <c r="AS31" s="400"/>
    </row>
    <row r="32" spans="1:45" s="95" customFormat="1" ht="13.5" thickBot="1">
      <c r="A32" s="400"/>
      <c r="B32" s="1619" t="s">
        <v>1577</v>
      </c>
      <c r="C32" s="1619"/>
      <c r="D32" s="1619"/>
      <c r="E32" s="1619"/>
      <c r="F32" s="1619"/>
      <c r="G32" s="1619"/>
      <c r="H32" s="1619"/>
      <c r="I32" s="1619"/>
      <c r="J32" s="1619"/>
      <c r="K32" s="1619"/>
      <c r="L32" s="1619"/>
      <c r="M32" s="1221"/>
      <c r="N32" s="337"/>
      <c r="O32" s="337"/>
      <c r="P32" s="400"/>
      <c r="Q32" s="400"/>
      <c r="R32" s="400"/>
      <c r="S32" s="400"/>
      <c r="T32" s="400"/>
      <c r="U32" s="400"/>
      <c r="V32" s="400"/>
      <c r="W32" s="400"/>
      <c r="X32" s="400"/>
      <c r="Y32" s="400"/>
      <c r="Z32" s="400"/>
      <c r="AA32" s="400"/>
      <c r="AB32" s="400"/>
      <c r="AC32" s="400"/>
      <c r="AD32" s="400"/>
      <c r="AE32" s="400"/>
      <c r="AF32" s="400"/>
      <c r="AG32" s="400"/>
      <c r="AH32" s="400"/>
      <c r="AI32" s="400"/>
      <c r="AJ32" s="400"/>
      <c r="AK32" s="400"/>
      <c r="AL32" s="400"/>
      <c r="AM32" s="400"/>
      <c r="AN32" s="400"/>
      <c r="AO32" s="400"/>
      <c r="AP32" s="400"/>
      <c r="AQ32" s="400"/>
      <c r="AR32" s="400"/>
      <c r="AS32" s="400"/>
    </row>
    <row r="33" spans="1:45" s="95" customFormat="1" ht="15.75" customHeight="1">
      <c r="A33" s="400"/>
      <c r="B33" s="57"/>
      <c r="C33" s="64" t="s">
        <v>521</v>
      </c>
      <c r="D33" s="114">
        <f>capheight-Geometry!K76</f>
        <v>30</v>
      </c>
      <c r="E33" s="41" t="s">
        <v>155</v>
      </c>
      <c r="G33" s="57"/>
      <c r="H33" s="57"/>
      <c r="I33" s="57"/>
      <c r="J33" s="57"/>
      <c r="K33" s="57"/>
      <c r="L33" s="113"/>
      <c r="M33" s="616"/>
      <c r="N33" s="337"/>
      <c r="O33" s="337"/>
      <c r="P33" s="400"/>
      <c r="Q33" s="400"/>
      <c r="R33" s="400"/>
      <c r="S33" s="400"/>
      <c r="T33" s="400"/>
      <c r="U33" s="400"/>
      <c r="V33" s="400"/>
      <c r="W33" s="400"/>
      <c r="X33" s="400"/>
      <c r="Y33" s="400"/>
      <c r="Z33" s="400"/>
      <c r="AA33" s="400"/>
      <c r="AB33" s="400"/>
      <c r="AC33" s="400"/>
      <c r="AD33" s="400"/>
      <c r="AE33" s="400"/>
      <c r="AF33" s="400"/>
      <c r="AG33" s="400"/>
      <c r="AH33" s="400"/>
      <c r="AI33" s="400"/>
      <c r="AJ33" s="400"/>
      <c r="AK33" s="400"/>
      <c r="AL33" s="400"/>
      <c r="AM33" s="400"/>
      <c r="AN33" s="400"/>
      <c r="AO33" s="400"/>
      <c r="AP33" s="400"/>
      <c r="AQ33" s="400"/>
      <c r="AR33" s="400"/>
      <c r="AS33" s="400"/>
    </row>
    <row r="34" spans="1:45" s="95" customFormat="1" ht="15.75" customHeight="1">
      <c r="A34" s="400"/>
      <c r="B34" s="57"/>
      <c r="C34" s="64" t="s">
        <v>520</v>
      </c>
      <c r="D34" s="115">
        <f>Geometry!K77</f>
        <v>972000</v>
      </c>
      <c r="E34" s="116" t="s">
        <v>235</v>
      </c>
      <c r="F34" s="57"/>
      <c r="G34" s="57"/>
      <c r="H34" s="57"/>
      <c r="I34" s="57"/>
      <c r="J34" s="117"/>
      <c r="K34" s="57"/>
      <c r="L34" s="113"/>
      <c r="M34" s="616"/>
      <c r="N34" s="400"/>
      <c r="O34" s="400"/>
      <c r="P34" s="400"/>
      <c r="Q34" s="400"/>
      <c r="R34" s="400"/>
      <c r="S34" s="400"/>
      <c r="T34" s="400"/>
      <c r="U34" s="400"/>
      <c r="V34" s="400"/>
      <c r="W34" s="400"/>
      <c r="X34" s="400"/>
      <c r="Y34" s="400"/>
      <c r="Z34" s="400"/>
      <c r="AA34" s="400"/>
      <c r="AB34" s="400"/>
      <c r="AC34" s="400"/>
      <c r="AD34" s="400"/>
      <c r="AE34" s="400"/>
      <c r="AF34" s="400"/>
      <c r="AG34" s="400"/>
      <c r="AH34" s="400"/>
      <c r="AI34" s="400"/>
      <c r="AJ34" s="400"/>
      <c r="AK34" s="400"/>
      <c r="AL34" s="400"/>
      <c r="AM34" s="400"/>
      <c r="AN34" s="400"/>
      <c r="AO34" s="400"/>
      <c r="AP34" s="400"/>
      <c r="AQ34" s="400"/>
      <c r="AR34" s="400"/>
      <c r="AS34" s="400"/>
    </row>
    <row r="35" spans="1:45" s="95" customFormat="1" ht="15.75" customHeight="1">
      <c r="A35" s="400"/>
      <c r="B35" s="57"/>
      <c r="C35" s="64" t="s">
        <v>504</v>
      </c>
      <c r="D35" s="115">
        <f>D34/D33</f>
        <v>32400</v>
      </c>
      <c r="E35" s="116" t="s">
        <v>93</v>
      </c>
      <c r="F35" s="98" t="s">
        <v>505</v>
      </c>
      <c r="G35" s="57"/>
      <c r="H35" s="57"/>
      <c r="I35" s="57"/>
      <c r="J35" s="117"/>
      <c r="K35" s="57"/>
      <c r="L35" s="113"/>
      <c r="M35" s="616"/>
      <c r="N35" s="400"/>
      <c r="O35" s="400"/>
      <c r="P35" s="400"/>
      <c r="Q35" s="400"/>
      <c r="R35" s="400"/>
      <c r="S35" s="400"/>
      <c r="T35" s="400"/>
      <c r="U35" s="400"/>
      <c r="V35" s="400"/>
      <c r="W35" s="400"/>
      <c r="X35" s="400"/>
      <c r="Y35" s="400"/>
      <c r="Z35" s="400"/>
      <c r="AA35" s="400"/>
      <c r="AB35" s="400"/>
      <c r="AC35" s="400"/>
      <c r="AD35" s="400"/>
      <c r="AE35" s="400"/>
      <c r="AF35" s="400"/>
      <c r="AG35" s="400"/>
      <c r="AH35" s="400"/>
      <c r="AI35" s="400"/>
      <c r="AJ35" s="400"/>
      <c r="AK35" s="400"/>
      <c r="AL35" s="400"/>
      <c r="AM35" s="400"/>
      <c r="AN35" s="400"/>
      <c r="AO35" s="400"/>
      <c r="AP35" s="400"/>
      <c r="AQ35" s="400"/>
      <c r="AR35" s="400"/>
      <c r="AS35" s="400"/>
    </row>
    <row r="36" spans="1:45" s="95" customFormat="1" ht="15.75" customHeight="1">
      <c r="A36" s="400"/>
      <c r="B36" s="57"/>
      <c r="C36" s="64" t="s">
        <v>483</v>
      </c>
      <c r="D36" s="119">
        <f>0.24*SQRT(fc)</f>
        <v>0.45536798306424658</v>
      </c>
      <c r="E36" s="116" t="s">
        <v>196</v>
      </c>
      <c r="F36" s="1038" t="str">
        <f>"{0.24 x √"&amp;Geometry!G62&amp;" ksi}"</f>
        <v>{0.24 x √3.6 ksi}</v>
      </c>
      <c r="G36" s="766"/>
      <c r="H36" s="98" t="s">
        <v>1408</v>
      </c>
      <c r="I36" s="766"/>
      <c r="J36" s="766"/>
      <c r="K36" s="766"/>
      <c r="L36" s="1037" t="s">
        <v>1418</v>
      </c>
      <c r="M36" s="1221"/>
      <c r="N36" s="1303" t="s">
        <v>1473</v>
      </c>
      <c r="O36" s="400"/>
      <c r="P36" s="400"/>
      <c r="Q36" s="400"/>
      <c r="R36" s="400"/>
      <c r="S36" s="400"/>
      <c r="T36" s="400"/>
      <c r="U36" s="400"/>
      <c r="V36" s="400"/>
      <c r="W36" s="400"/>
      <c r="X36" s="400"/>
      <c r="Y36" s="400"/>
      <c r="Z36" s="400"/>
      <c r="AA36" s="400"/>
      <c r="AB36" s="400"/>
      <c r="AC36" s="400"/>
      <c r="AD36" s="400"/>
      <c r="AE36" s="400"/>
      <c r="AF36" s="400"/>
      <c r="AG36" s="400"/>
      <c r="AH36" s="400"/>
      <c r="AI36" s="400"/>
      <c r="AJ36" s="400"/>
      <c r="AK36" s="400"/>
      <c r="AL36" s="400"/>
      <c r="AM36" s="400"/>
      <c r="AN36" s="400"/>
      <c r="AO36" s="400"/>
      <c r="AP36" s="400"/>
      <c r="AQ36" s="400"/>
      <c r="AR36" s="400"/>
      <c r="AS36" s="400"/>
    </row>
    <row r="37" spans="1:45" s="95" customFormat="1" ht="15.75" customHeight="1">
      <c r="A37" s="400"/>
      <c r="C37" s="1373" t="s">
        <v>1586</v>
      </c>
      <c r="D37" s="115">
        <f>D36*D35</f>
        <v>14753.922651281589</v>
      </c>
      <c r="E37" s="116" t="s">
        <v>403</v>
      </c>
      <c r="F37" s="91" t="s">
        <v>1407</v>
      </c>
      <c r="G37" s="1039"/>
      <c r="H37" s="766"/>
      <c r="I37" s="766"/>
      <c r="J37" s="766"/>
      <c r="K37" s="1040"/>
      <c r="L37" s="1037" t="s">
        <v>1585</v>
      </c>
      <c r="M37" s="1221"/>
      <c r="N37" s="1303"/>
      <c r="O37" s="400"/>
      <c r="P37" s="400"/>
      <c r="Q37" s="400"/>
      <c r="R37" s="400"/>
      <c r="S37" s="400"/>
      <c r="T37" s="400"/>
      <c r="U37" s="400"/>
      <c r="V37" s="400"/>
      <c r="W37" s="400"/>
      <c r="X37" s="400"/>
      <c r="Y37" s="400"/>
      <c r="Z37" s="400"/>
      <c r="AA37" s="400"/>
      <c r="AB37" s="400"/>
      <c r="AC37" s="400"/>
      <c r="AD37" s="400"/>
      <c r="AE37" s="400"/>
      <c r="AF37" s="400"/>
      <c r="AG37" s="400"/>
      <c r="AH37" s="400"/>
      <c r="AI37" s="400"/>
      <c r="AJ37" s="400"/>
      <c r="AK37" s="400"/>
      <c r="AL37" s="400"/>
      <c r="AM37" s="400"/>
      <c r="AN37" s="400"/>
      <c r="AO37" s="400"/>
      <c r="AP37" s="400"/>
      <c r="AQ37" s="400"/>
      <c r="AR37" s="400"/>
      <c r="AS37" s="400"/>
    </row>
    <row r="38" spans="1:45" s="95" customFormat="1" ht="15.75" customHeight="1">
      <c r="A38" s="400"/>
      <c r="C38" s="1373" t="str">
        <f>"1.6 x " &amp; IF(fy=60,0.75,IF(fy=75,0.75,IF(fy=80,0.8,IF(fy=100,0.67,0.8)))) &amp; " x Mcr+="</f>
        <v>1.6 x 0.75 x Mcr+=</v>
      </c>
      <c r="D38" s="115">
        <f>1.6*IF(fy=60,0.75,IF(fy=75,0.75,IF(fy=80,0.8,IF(fy=100,0.67,0.8))))*D37</f>
        <v>17704.707181537909</v>
      </c>
      <c r="E38" s="116" t="s">
        <v>403</v>
      </c>
      <c r="F38" s="1036" t="e">
        <f>IF(D38&lt;=D39,"Controls","Does not control")</f>
        <v>#VALUE!</v>
      </c>
      <c r="L38" s="1037" t="s">
        <v>1579</v>
      </c>
      <c r="M38" s="616"/>
      <c r="N38" s="400"/>
      <c r="O38" s="400"/>
      <c r="P38" s="400"/>
      <c r="Q38" s="400"/>
      <c r="R38" s="400"/>
      <c r="S38" s="400"/>
      <c r="T38" s="400"/>
      <c r="U38" s="400"/>
      <c r="V38" s="400"/>
      <c r="W38" s="400"/>
      <c r="X38" s="400"/>
      <c r="Y38" s="400"/>
      <c r="Z38" s="400"/>
      <c r="AA38" s="400"/>
      <c r="AB38" s="400"/>
      <c r="AC38" s="400"/>
      <c r="AD38" s="400"/>
      <c r="AE38" s="400"/>
      <c r="AF38" s="400"/>
      <c r="AG38" s="400"/>
      <c r="AH38" s="400"/>
      <c r="AI38" s="400"/>
      <c r="AJ38" s="400"/>
      <c r="AK38" s="400"/>
      <c r="AL38" s="400"/>
      <c r="AM38" s="400"/>
      <c r="AN38" s="400"/>
      <c r="AO38" s="400"/>
      <c r="AP38" s="400"/>
      <c r="AQ38" s="400"/>
      <c r="AR38" s="400"/>
      <c r="AS38" s="400"/>
    </row>
    <row r="39" spans="1:45" s="95" customFormat="1" ht="15.75" customHeight="1">
      <c r="A39" s="400"/>
      <c r="C39" s="64" t="s">
        <v>506</v>
      </c>
      <c r="D39" s="115" t="e">
        <f>1.33*D16</f>
        <v>#VALUE!</v>
      </c>
      <c r="E39" s="116" t="s">
        <v>403</v>
      </c>
      <c r="F39" s="1036" t="e">
        <f>IF(D39&lt;D38,"Controls","Does not control")</f>
        <v>#VALUE!</v>
      </c>
      <c r="G39" s="120"/>
      <c r="L39" s="112"/>
      <c r="M39" s="616"/>
      <c r="N39" s="400"/>
      <c r="O39" s="400"/>
      <c r="P39" s="400"/>
      <c r="Q39" s="400"/>
      <c r="R39" s="400"/>
      <c r="S39" s="400"/>
      <c r="T39" s="400"/>
      <c r="U39" s="400"/>
      <c r="V39" s="400"/>
      <c r="W39" s="400"/>
      <c r="X39" s="400"/>
      <c r="Y39" s="400"/>
      <c r="Z39" s="400"/>
      <c r="AA39" s="400"/>
      <c r="AB39" s="400"/>
      <c r="AC39" s="400"/>
      <c r="AD39" s="400"/>
      <c r="AE39" s="400"/>
      <c r="AF39" s="400"/>
      <c r="AG39" s="400"/>
      <c r="AH39" s="400"/>
      <c r="AI39" s="400"/>
      <c r="AJ39" s="400"/>
      <c r="AK39" s="400"/>
      <c r="AL39" s="400"/>
      <c r="AM39" s="400"/>
      <c r="AN39" s="400"/>
      <c r="AO39" s="400"/>
      <c r="AP39" s="400"/>
      <c r="AQ39" s="400"/>
      <c r="AR39" s="400"/>
      <c r="AS39" s="400"/>
    </row>
    <row r="40" spans="1:45" s="95" customFormat="1" ht="15.75" customHeight="1">
      <c r="A40" s="400"/>
      <c r="D40" s="121"/>
      <c r="E40" s="64" t="s">
        <v>508</v>
      </c>
      <c r="F40" s="115" t="e">
        <f>MIN(D38,D39)</f>
        <v>#VALUE!</v>
      </c>
      <c r="G40" s="116" t="s">
        <v>403</v>
      </c>
      <c r="H40" s="1621" t="e">
        <f>F40/D28</f>
        <v>#VALUE!</v>
      </c>
      <c r="I40" s="1621"/>
      <c r="J40" s="1620" t="e">
        <f>IF(D28&gt;F40, "As &gt; Asmin - OK","Below As minimum")</f>
        <v>#VALUE!</v>
      </c>
      <c r="K40" s="1620"/>
      <c r="L40" s="1620"/>
      <c r="M40" s="616"/>
      <c r="N40" s="400"/>
      <c r="O40" s="400"/>
      <c r="P40" s="400"/>
      <c r="Q40" s="400"/>
      <c r="R40" s="400"/>
      <c r="S40" s="400"/>
      <c r="T40" s="400"/>
      <c r="U40" s="400"/>
      <c r="V40" s="400"/>
      <c r="W40" s="400"/>
      <c r="X40" s="400"/>
      <c r="Y40" s="400"/>
      <c r="Z40" s="400"/>
      <c r="AA40" s="400"/>
      <c r="AB40" s="400"/>
      <c r="AC40" s="400"/>
      <c r="AD40" s="400"/>
      <c r="AE40" s="400"/>
      <c r="AF40" s="400"/>
      <c r="AG40" s="400"/>
      <c r="AH40" s="400"/>
      <c r="AI40" s="400"/>
      <c r="AJ40" s="400"/>
      <c r="AK40" s="400"/>
      <c r="AL40" s="400"/>
      <c r="AM40" s="400"/>
      <c r="AN40" s="400"/>
      <c r="AO40" s="400"/>
      <c r="AP40" s="400"/>
      <c r="AQ40" s="400"/>
      <c r="AR40" s="400"/>
      <c r="AS40" s="400"/>
    </row>
    <row r="41" spans="1:45" s="95" customFormat="1" ht="0.75" customHeight="1">
      <c r="A41" s="400"/>
      <c r="C41" s="64"/>
      <c r="D41" s="121"/>
      <c r="E41" s="116"/>
      <c r="F41" s="77"/>
      <c r="G41" s="120"/>
      <c r="I41" s="58"/>
      <c r="J41" s="58"/>
      <c r="K41" s="58"/>
      <c r="L41" s="113"/>
      <c r="M41" s="616"/>
      <c r="N41" s="400"/>
      <c r="O41" s="400"/>
      <c r="P41" s="400"/>
      <c r="Q41" s="400"/>
      <c r="R41" s="400"/>
      <c r="S41" s="400"/>
      <c r="T41" s="400"/>
      <c r="U41" s="400"/>
      <c r="V41" s="400"/>
      <c r="W41" s="400"/>
      <c r="X41" s="400"/>
      <c r="Y41" s="400"/>
      <c r="Z41" s="400"/>
      <c r="AA41" s="400"/>
      <c r="AB41" s="400"/>
      <c r="AC41" s="400"/>
      <c r="AD41" s="400"/>
      <c r="AE41" s="400"/>
      <c r="AF41" s="400"/>
      <c r="AG41" s="400"/>
      <c r="AH41" s="400"/>
      <c r="AI41" s="400"/>
      <c r="AJ41" s="400"/>
      <c r="AK41" s="400"/>
      <c r="AL41" s="400"/>
      <c r="AM41" s="400"/>
      <c r="AN41" s="400"/>
      <c r="AO41" s="400"/>
      <c r="AP41" s="400"/>
      <c r="AQ41" s="400"/>
      <c r="AR41" s="400"/>
      <c r="AS41" s="400"/>
    </row>
    <row r="42" spans="1:45" s="95" customFormat="1" ht="13.5" thickBot="1">
      <c r="A42" s="400"/>
      <c r="B42" s="1619" t="s">
        <v>1423</v>
      </c>
      <c r="C42" s="1619"/>
      <c r="D42" s="1619"/>
      <c r="E42" s="1619"/>
      <c r="F42" s="1619"/>
      <c r="G42" s="1619"/>
      <c r="H42" s="1619"/>
      <c r="I42" s="1619"/>
      <c r="J42" s="1619"/>
      <c r="K42" s="1619"/>
      <c r="L42" s="1619"/>
      <c r="M42" s="1221"/>
      <c r="N42" s="1303" t="s">
        <v>1473</v>
      </c>
      <c r="O42" s="400"/>
      <c r="P42" s="400"/>
      <c r="Q42" s="400"/>
      <c r="R42" s="400"/>
      <c r="S42" s="400"/>
      <c r="T42" s="400"/>
      <c r="U42" s="400"/>
      <c r="V42" s="400"/>
      <c r="W42" s="400"/>
      <c r="X42" s="400"/>
      <c r="Y42" s="400"/>
      <c r="Z42" s="400"/>
      <c r="AA42" s="400"/>
      <c r="AB42" s="400"/>
      <c r="AC42" s="400"/>
      <c r="AD42" s="400"/>
      <c r="AE42" s="400"/>
      <c r="AF42" s="400"/>
      <c r="AG42" s="400"/>
      <c r="AH42" s="400"/>
      <c r="AI42" s="400"/>
      <c r="AJ42" s="400"/>
      <c r="AK42" s="400"/>
      <c r="AL42" s="400"/>
      <c r="AM42" s="400"/>
      <c r="AN42" s="400"/>
      <c r="AO42" s="400"/>
      <c r="AP42" s="400"/>
      <c r="AQ42" s="400"/>
      <c r="AR42" s="400"/>
      <c r="AS42" s="400"/>
    </row>
    <row r="43" spans="1:45" s="95" customFormat="1" ht="15.75" customHeight="1">
      <c r="A43" s="400"/>
      <c r="E43" s="115" t="s">
        <v>410</v>
      </c>
      <c r="F43" s="91" t="str">
        <f>"{(("&amp;IF(CapType="Inverted-Tee",Geometry!K68,capstemWidth)&amp;" in - 2 x " &amp; cover &amp;" in - "&amp;VLOOKUP(BarS,BarTable,2) &amp;" in - "&amp;VLOOKUP(F10,BarTable,2,FALSE)&amp;" in)/("&amp;MAX(H10:H12)&amp;" - 1)) -"&amp;VLOOKUP(F10,BarTable,2,FALSE)&amp;" in}"</f>
        <v>{((54 in - 2 x 2.3125 in - 0.625 in - 1.41 in)/(10 - 1)) -1.41 in}</v>
      </c>
      <c r="H43" s="96"/>
      <c r="L43" s="1044" t="str">
        <f>IF(AND($F$44&gt;=3,F44+VLOOKUP(F10,BarTable,2,FALSE)&lt;=12),"Spacing - OK","Spacing - NG")</f>
        <v>Spacing - OK</v>
      </c>
      <c r="M43" s="616"/>
      <c r="N43" s="400"/>
      <c r="O43" s="400"/>
      <c r="P43" s="400"/>
      <c r="Q43" s="400"/>
      <c r="R43" s="400"/>
      <c r="S43" s="400"/>
      <c r="T43" s="400"/>
      <c r="U43" s="400"/>
      <c r="V43" s="400"/>
      <c r="W43" s="400"/>
      <c r="X43" s="400"/>
      <c r="Y43" s="400"/>
      <c r="Z43" s="400"/>
      <c r="AA43" s="400"/>
      <c r="AB43" s="400"/>
      <c r="AC43" s="400"/>
      <c r="AD43" s="400"/>
      <c r="AE43" s="400"/>
      <c r="AF43" s="400"/>
      <c r="AG43" s="400"/>
      <c r="AH43" s="400"/>
      <c r="AI43" s="400"/>
      <c r="AJ43" s="400"/>
      <c r="AK43" s="400"/>
      <c r="AL43" s="400"/>
      <c r="AM43" s="400"/>
      <c r="AN43" s="400"/>
      <c r="AO43" s="400"/>
      <c r="AP43" s="400"/>
      <c r="AQ43" s="400"/>
      <c r="AR43" s="400"/>
      <c r="AS43" s="400"/>
    </row>
    <row r="44" spans="1:45" s="95" customFormat="1" ht="15.75" customHeight="1">
      <c r="A44" s="400"/>
      <c r="C44" s="96"/>
      <c r="D44" s="121"/>
      <c r="E44" s="122" t="s">
        <v>530</v>
      </c>
      <c r="F44" s="114">
        <f>((IF(CapType="Inverted-Tee",Geometry!K68,capstemWidth)-2*cover-VLOOKUP(BarS,BarTable,2)-VLOOKUP(F10,BarTable,2,FALSE))/(MAX(H10:H12)-1))-VLOOKUP(F10,BarTable,2,FALSE)</f>
        <v>3.8500000000000005</v>
      </c>
      <c r="G44" s="41" t="s">
        <v>409</v>
      </c>
      <c r="H44" s="1035" t="str">
        <f>IF($F$44&gt;=3,"≥ 3.0 in","&lt; 3.0 in")</f>
        <v>≥ 3.0 in</v>
      </c>
      <c r="I44" s="1036" t="s">
        <v>1421</v>
      </c>
      <c r="J44" s="766"/>
      <c r="L44" s="1037" t="s">
        <v>1420</v>
      </c>
      <c r="M44" s="1221"/>
      <c r="N44" s="1303" t="s">
        <v>1473</v>
      </c>
      <c r="O44" s="400"/>
      <c r="P44" s="400"/>
      <c r="Q44" s="400"/>
      <c r="R44" s="400"/>
      <c r="S44" s="400"/>
      <c r="T44" s="400"/>
      <c r="U44" s="400"/>
      <c r="V44" s="400"/>
      <c r="W44" s="400"/>
      <c r="X44" s="400"/>
      <c r="Y44" s="400"/>
      <c r="Z44" s="400"/>
      <c r="AA44" s="400"/>
      <c r="AB44" s="400"/>
      <c r="AC44" s="400"/>
      <c r="AD44" s="400"/>
      <c r="AE44" s="400"/>
      <c r="AF44" s="400"/>
      <c r="AG44" s="400"/>
      <c r="AH44" s="400"/>
      <c r="AI44" s="400"/>
      <c r="AJ44" s="400"/>
      <c r="AK44" s="400"/>
      <c r="AL44" s="400"/>
      <c r="AM44" s="400"/>
      <c r="AN44" s="400"/>
      <c r="AO44" s="400"/>
      <c r="AP44" s="400"/>
      <c r="AQ44" s="400"/>
      <c r="AR44" s="400"/>
      <c r="AS44" s="400"/>
    </row>
    <row r="45" spans="1:45" s="95" customFormat="1" ht="15.75" customHeight="1">
      <c r="A45" s="400"/>
      <c r="C45" s="96"/>
      <c r="D45" s="121"/>
      <c r="E45" s="122"/>
      <c r="F45" s="114"/>
      <c r="G45" s="41"/>
      <c r="H45" s="1036" t="str">
        <f>IF(F44+VLOOKUP(F10,BarTable,2,FALSE)&gt;12,"&gt; 12 in (c-c)","≤ 12 in (c-c)")</f>
        <v>≤ 12 in (c-c)</v>
      </c>
      <c r="I45" s="766"/>
      <c r="J45" s="766"/>
      <c r="L45" s="1037" t="s">
        <v>1580</v>
      </c>
      <c r="M45" s="1223"/>
      <c r="N45" s="617"/>
      <c r="O45" s="400"/>
      <c r="P45" s="400"/>
      <c r="Q45" s="618"/>
      <c r="R45" s="400"/>
      <c r="S45" s="400"/>
      <c r="T45" s="400"/>
      <c r="U45" s="400"/>
      <c r="V45" s="400"/>
      <c r="W45" s="400"/>
      <c r="X45" s="400"/>
      <c r="Y45" s="400"/>
      <c r="Z45" s="400"/>
      <c r="AA45" s="400"/>
      <c r="AB45" s="400"/>
      <c r="AC45" s="400"/>
      <c r="AD45" s="400"/>
      <c r="AE45" s="400"/>
      <c r="AF45" s="400"/>
      <c r="AG45" s="400"/>
      <c r="AH45" s="400"/>
      <c r="AI45" s="400"/>
      <c r="AJ45" s="400"/>
      <c r="AK45" s="400"/>
      <c r="AL45" s="400"/>
      <c r="AM45" s="400"/>
      <c r="AN45" s="400"/>
      <c r="AO45" s="400"/>
      <c r="AP45" s="400"/>
      <c r="AQ45" s="400"/>
      <c r="AR45" s="400"/>
      <c r="AS45" s="400"/>
    </row>
    <row r="46" spans="1:45" s="95" customFormat="1" ht="15.75" customHeight="1">
      <c r="A46" s="400"/>
      <c r="C46" s="96"/>
      <c r="D46" s="121"/>
      <c r="E46" s="115" t="s">
        <v>689</v>
      </c>
      <c r="F46" s="114"/>
      <c r="G46" s="41"/>
      <c r="H46" s="1035"/>
      <c r="I46" s="1036"/>
      <c r="J46" s="766"/>
      <c r="K46" s="766"/>
      <c r="L46" s="1044"/>
      <c r="M46" s="616"/>
      <c r="O46" s="400"/>
      <c r="P46" s="400"/>
      <c r="Q46" s="400"/>
      <c r="R46" s="400"/>
      <c r="S46" s="400"/>
      <c r="T46" s="400"/>
      <c r="U46" s="400"/>
      <c r="V46" s="400"/>
      <c r="W46" s="400"/>
      <c r="X46" s="400"/>
      <c r="Y46" s="400"/>
      <c r="Z46" s="400"/>
      <c r="AA46" s="400"/>
      <c r="AB46" s="400"/>
      <c r="AC46" s="400"/>
      <c r="AD46" s="400"/>
      <c r="AE46" s="400"/>
      <c r="AF46" s="400"/>
      <c r="AG46" s="400"/>
      <c r="AH46" s="400"/>
      <c r="AI46" s="400"/>
      <c r="AJ46" s="400"/>
      <c r="AK46" s="400"/>
      <c r="AL46" s="400"/>
      <c r="AM46" s="400"/>
      <c r="AN46" s="400"/>
      <c r="AO46" s="400"/>
      <c r="AP46" s="400"/>
      <c r="AQ46" s="400"/>
      <c r="AR46" s="400"/>
      <c r="AS46" s="400"/>
    </row>
    <row r="47" spans="1:45" s="95" customFormat="1" ht="15.75" customHeight="1">
      <c r="A47" s="400"/>
      <c r="C47" s="96"/>
      <c r="D47" s="121"/>
      <c r="E47" s="115" t="s">
        <v>220</v>
      </c>
      <c r="F47" s="114">
        <f>2*SQRT(2*VLOOKUP(F10,BarTable,3,FALSE)/PI())</f>
        <v>1.9950305303032629</v>
      </c>
      <c r="G47" s="95" t="s">
        <v>409</v>
      </c>
      <c r="H47" s="91" t="str">
        <f>"{2 x √(2 x "&amp;VLOOKUP(F10,BarTable,3,FALSE)&amp;"in² / π)}"</f>
        <v>{2 x √(2 x 1.563in² / π)}</v>
      </c>
      <c r="I47" s="766"/>
      <c r="J47" s="766"/>
      <c r="K47" s="766"/>
      <c r="L47" s="1037" t="s">
        <v>688</v>
      </c>
      <c r="M47" s="1221"/>
      <c r="N47" s="400"/>
      <c r="O47" s="400"/>
      <c r="P47" s="400"/>
      <c r="Q47" s="400"/>
      <c r="R47" s="400"/>
      <c r="S47" s="400"/>
      <c r="T47" s="400"/>
      <c r="U47" s="400"/>
      <c r="V47" s="400"/>
      <c r="W47" s="400"/>
      <c r="X47" s="400"/>
      <c r="Y47" s="400"/>
      <c r="Z47" s="400"/>
      <c r="AA47" s="400"/>
      <c r="AB47" s="400"/>
      <c r="AC47" s="400"/>
      <c r="AD47" s="400"/>
      <c r="AE47" s="400"/>
      <c r="AF47" s="400"/>
      <c r="AG47" s="400"/>
      <c r="AH47" s="400"/>
      <c r="AI47" s="400"/>
      <c r="AJ47" s="400"/>
      <c r="AK47" s="400"/>
      <c r="AL47" s="400"/>
      <c r="AM47" s="400"/>
      <c r="AN47" s="400"/>
      <c r="AO47" s="400"/>
      <c r="AP47" s="400"/>
      <c r="AQ47" s="400"/>
      <c r="AR47" s="400"/>
      <c r="AS47" s="400"/>
    </row>
    <row r="48" spans="1:45" s="95" customFormat="1" ht="15.75" customHeight="1">
      <c r="A48" s="400"/>
      <c r="C48" s="96"/>
      <c r="D48" s="121"/>
      <c r="E48" s="96" t="s">
        <v>219</v>
      </c>
      <c r="F48" s="133">
        <f>1.5*F47</f>
        <v>2.9925457954548946</v>
      </c>
      <c r="G48" s="95" t="s">
        <v>409</v>
      </c>
      <c r="H48" s="766"/>
      <c r="I48" s="766"/>
      <c r="J48" s="766"/>
      <c r="K48" s="766"/>
      <c r="L48" s="1036"/>
      <c r="M48" s="616"/>
      <c r="N48" s="400"/>
      <c r="O48" s="400"/>
      <c r="P48" s="400"/>
      <c r="Q48" s="400"/>
      <c r="R48" s="400"/>
      <c r="S48" s="400"/>
      <c r="T48" s="400"/>
      <c r="U48" s="400"/>
      <c r="V48" s="400"/>
      <c r="W48" s="400"/>
      <c r="X48" s="400"/>
      <c r="Y48" s="400"/>
      <c r="Z48" s="400"/>
      <c r="AA48" s="400"/>
      <c r="AB48" s="400"/>
      <c r="AC48" s="400"/>
      <c r="AD48" s="400"/>
      <c r="AE48" s="400"/>
      <c r="AF48" s="400"/>
      <c r="AG48" s="400"/>
      <c r="AH48" s="400"/>
      <c r="AI48" s="400"/>
      <c r="AJ48" s="400"/>
      <c r="AK48" s="400"/>
      <c r="AL48" s="400"/>
      <c r="AM48" s="400"/>
      <c r="AN48" s="400"/>
      <c r="AO48" s="400"/>
      <c r="AP48" s="400"/>
      <c r="AQ48" s="400"/>
      <c r="AR48" s="400"/>
      <c r="AS48" s="400"/>
    </row>
    <row r="49" spans="1:45" s="95" customFormat="1" ht="15.75" customHeight="1">
      <c r="A49" s="400"/>
      <c r="C49" s="96"/>
      <c r="D49" s="121"/>
      <c r="E49" s="115" t="s">
        <v>687</v>
      </c>
      <c r="F49" s="114">
        <f>IF(MAX(H10:H12)=2,"N/A",(((IF(CapType="Inverted-Tee",Geometry!K68,capstemWidth))-2*cover-VLOOKUP(BarS,BarTable,2)-2*VLOOKUP(F10,BarTable,2,FALSE))/(ROUNDUP(MAX(H10:H12)/2,0)-1))-2*VLOOKUP(F10,BarTable,2,FALSE))</f>
        <v>8.6624999999999996</v>
      </c>
      <c r="G49" s="41" t="s">
        <v>409</v>
      </c>
      <c r="H49" s="91" t="str">
        <f>IF(MAX(H10:H12)=2,"{N/A}","{("&amp;IF(CapType="Inverted-Tee",Geometry!K68,capstemWidth)&amp;"in - 2 x "&amp;cover&amp;"in - "&amp;VLOOKUP(BarS,BarTable,2)&amp;"in - 2 x "&amp;VLOOKUP(F10,BarTable,2,FALSE)&amp;"in) / "&amp;ROUNDUP(MAX(H10:H12)/2,0)-1&amp;" - 2 x "&amp;VLOOKUP(F10,BarTable,2,FALSE)&amp;"in}")</f>
        <v>{(54in - 2 x 2.3125in - 0.625in - 2 x 1.41in) / 4 - 2 x 1.41in}</v>
      </c>
      <c r="I49" s="766"/>
      <c r="J49" s="766"/>
      <c r="K49" s="766"/>
      <c r="L49" s="1036"/>
      <c r="M49" s="616"/>
      <c r="N49" s="400"/>
      <c r="O49" s="400"/>
      <c r="P49" s="400"/>
      <c r="Q49" s="400"/>
      <c r="R49" s="400"/>
      <c r="S49" s="400"/>
      <c r="T49" s="400"/>
      <c r="U49" s="400"/>
      <c r="V49" s="400"/>
      <c r="W49" s="400"/>
      <c r="X49" s="400"/>
      <c r="Y49" s="400"/>
      <c r="Z49" s="400"/>
      <c r="AA49" s="400"/>
      <c r="AB49" s="400"/>
      <c r="AC49" s="400"/>
      <c r="AD49" s="400"/>
      <c r="AE49" s="400"/>
      <c r="AF49" s="400"/>
      <c r="AG49" s="400"/>
      <c r="AH49" s="400"/>
      <c r="AI49" s="400"/>
      <c r="AJ49" s="400"/>
      <c r="AK49" s="400"/>
      <c r="AL49" s="400"/>
      <c r="AM49" s="400"/>
      <c r="AN49" s="400"/>
      <c r="AO49" s="400"/>
      <c r="AP49" s="400"/>
      <c r="AQ49" s="400"/>
      <c r="AR49" s="400"/>
      <c r="AS49" s="400"/>
    </row>
    <row r="50" spans="1:45" s="95" customFormat="1" ht="15.75" customHeight="1">
      <c r="A50" s="400"/>
      <c r="C50" s="96"/>
      <c r="D50" s="121"/>
      <c r="H50" s="1035" t="str">
        <f>IF(F49&gt;1.5*ROUND(F47,2),"&gt; 1.5x"&amp;ROUND(F47,2)&amp;"in","&lt; 1.5x"&amp;ROUND(F47,2)&amp;"in")</f>
        <v>&gt; 1.5x2in</v>
      </c>
      <c r="I50" s="1036" t="s">
        <v>1422</v>
      </c>
      <c r="J50" s="766"/>
      <c r="L50" s="1037" t="s">
        <v>1420</v>
      </c>
      <c r="M50" s="1221"/>
      <c r="N50" s="1303" t="s">
        <v>1473</v>
      </c>
      <c r="O50" s="400"/>
      <c r="P50" s="400"/>
      <c r="Q50" s="400"/>
      <c r="R50" s="400"/>
      <c r="S50" s="400"/>
      <c r="T50" s="400"/>
      <c r="U50" s="400"/>
      <c r="V50" s="400"/>
      <c r="W50" s="400"/>
      <c r="X50" s="400"/>
      <c r="Y50" s="400"/>
      <c r="Z50" s="400"/>
      <c r="AA50" s="400"/>
      <c r="AB50" s="400"/>
      <c r="AC50" s="400"/>
      <c r="AD50" s="400"/>
      <c r="AE50" s="400"/>
      <c r="AF50" s="400"/>
      <c r="AG50" s="400"/>
      <c r="AH50" s="400"/>
      <c r="AI50" s="400"/>
      <c r="AJ50" s="400"/>
      <c r="AK50" s="400"/>
      <c r="AL50" s="400"/>
      <c r="AM50" s="400"/>
      <c r="AN50" s="400"/>
      <c r="AO50" s="400"/>
      <c r="AP50" s="400"/>
      <c r="AQ50" s="400"/>
      <c r="AR50" s="400"/>
      <c r="AS50" s="400"/>
    </row>
    <row r="51" spans="1:45" s="95" customFormat="1" ht="15.75" customHeight="1">
      <c r="A51" s="400"/>
      <c r="C51" s="96"/>
      <c r="D51" s="121"/>
      <c r="H51" s="1035" t="str">
        <f>IF(F49&gt;3,"&gt; 3.0 in","&lt; 3.0 in")</f>
        <v>&gt; 3.0 in</v>
      </c>
      <c r="I51" s="1036" t="s">
        <v>1421</v>
      </c>
      <c r="J51" s="766"/>
      <c r="L51" s="1037" t="s">
        <v>1420</v>
      </c>
      <c r="M51" s="1223"/>
      <c r="N51" s="1303" t="s">
        <v>1473</v>
      </c>
      <c r="O51" s="400"/>
      <c r="P51" s="400"/>
      <c r="Q51" s="400"/>
      <c r="R51" s="400"/>
      <c r="S51" s="400"/>
      <c r="T51" s="400"/>
      <c r="U51" s="400"/>
      <c r="V51" s="400"/>
      <c r="W51" s="400"/>
      <c r="X51" s="400"/>
      <c r="Y51" s="400"/>
      <c r="Z51" s="400"/>
      <c r="AA51" s="400"/>
      <c r="AB51" s="400"/>
      <c r="AC51" s="400"/>
      <c r="AD51" s="400"/>
      <c r="AE51" s="400"/>
      <c r="AF51" s="400"/>
      <c r="AG51" s="400"/>
      <c r="AH51" s="400"/>
      <c r="AI51" s="400"/>
      <c r="AJ51" s="400"/>
      <c r="AK51" s="400"/>
      <c r="AL51" s="400"/>
      <c r="AM51" s="400"/>
      <c r="AN51" s="400"/>
      <c r="AO51" s="400"/>
      <c r="AP51" s="400"/>
      <c r="AQ51" s="400"/>
      <c r="AR51" s="400"/>
      <c r="AS51" s="400"/>
    </row>
    <row r="52" spans="1:45" s="95" customFormat="1" ht="11.25" customHeight="1">
      <c r="A52" s="400"/>
      <c r="C52" s="96"/>
      <c r="D52" s="121"/>
      <c r="E52" s="115"/>
      <c r="F52" s="114"/>
      <c r="G52" s="41"/>
      <c r="H52" s="116"/>
      <c r="I52" s="41"/>
      <c r="L52" s="1044" t="str">
        <f>IF(MAX(H10:H12)=2,"N/A",IF(L43="Spacing - OK","Bundling Not Required - OK",IF(AND(F49&gt;3,F49+2*VLOOKUP(F10,BarTable,2,FALSE)&lt;=12,F49&gt;1.5*F47),"Bundled Spacing - OK","Bundled Spacing - NG")))</f>
        <v>Bundling Not Required - OK</v>
      </c>
      <c r="M52" s="616"/>
      <c r="N52" s="400"/>
      <c r="O52" s="400"/>
      <c r="P52" s="400"/>
      <c r="Q52" s="400"/>
      <c r="R52" s="400"/>
      <c r="S52" s="400"/>
      <c r="T52" s="400"/>
      <c r="U52" s="400"/>
      <c r="V52" s="400"/>
      <c r="W52" s="400"/>
      <c r="X52" s="400"/>
      <c r="Y52" s="400"/>
      <c r="Z52" s="400"/>
      <c r="AA52" s="400"/>
      <c r="AB52" s="400"/>
      <c r="AC52" s="400"/>
      <c r="AD52" s="400"/>
      <c r="AE52" s="400"/>
      <c r="AF52" s="400"/>
      <c r="AG52" s="400"/>
      <c r="AH52" s="400"/>
      <c r="AI52" s="400"/>
      <c r="AJ52" s="400"/>
      <c r="AK52" s="400"/>
      <c r="AL52" s="400"/>
      <c r="AM52" s="400"/>
      <c r="AN52" s="400"/>
      <c r="AO52" s="400"/>
      <c r="AP52" s="400"/>
      <c r="AQ52" s="400"/>
      <c r="AR52" s="400"/>
      <c r="AS52" s="400"/>
    </row>
    <row r="53" spans="1:45" s="95" customFormat="1" ht="12.75" customHeight="1">
      <c r="A53" s="400"/>
      <c r="C53" s="96"/>
      <c r="D53" s="121"/>
      <c r="L53" s="199" t="s">
        <v>1427</v>
      </c>
      <c r="M53" s="616"/>
      <c r="N53" s="1303" t="s">
        <v>1478</v>
      </c>
      <c r="O53" s="400"/>
      <c r="P53" s="400"/>
      <c r="Q53" s="400"/>
      <c r="R53" s="400"/>
      <c r="S53" s="400"/>
      <c r="T53" s="400"/>
      <c r="U53" s="400"/>
      <c r="V53" s="400"/>
      <c r="W53" s="400"/>
      <c r="X53" s="400"/>
      <c r="Y53" s="400"/>
      <c r="Z53" s="400"/>
      <c r="AA53" s="400"/>
      <c r="AB53" s="400"/>
      <c r="AC53" s="400"/>
      <c r="AD53" s="400"/>
      <c r="AE53" s="400"/>
      <c r="AF53" s="400"/>
      <c r="AG53" s="400"/>
      <c r="AH53" s="400"/>
      <c r="AI53" s="400"/>
      <c r="AJ53" s="400"/>
      <c r="AK53" s="400"/>
      <c r="AL53" s="400"/>
      <c r="AM53" s="400"/>
      <c r="AN53" s="400"/>
      <c r="AO53" s="400"/>
      <c r="AP53" s="400"/>
      <c r="AQ53" s="400"/>
      <c r="AR53" s="400"/>
      <c r="AS53" s="400"/>
    </row>
    <row r="54" spans="1:45" s="95" customFormat="1" ht="12.75" hidden="1" customHeight="1">
      <c r="A54" s="400"/>
      <c r="C54" s="96"/>
      <c r="D54" s="121"/>
      <c r="E54" s="122"/>
      <c r="F54" s="114"/>
      <c r="G54" s="41"/>
      <c r="H54" s="116"/>
      <c r="I54" s="41"/>
      <c r="L54" s="112"/>
      <c r="M54" s="616"/>
      <c r="N54" s="400"/>
      <c r="O54" s="400"/>
      <c r="P54" s="400"/>
      <c r="Q54" s="400"/>
      <c r="R54" s="400"/>
      <c r="S54" s="400"/>
      <c r="T54" s="400"/>
      <c r="U54" s="400"/>
      <c r="V54" s="400"/>
      <c r="W54" s="400"/>
      <c r="X54" s="400"/>
      <c r="Y54" s="400"/>
      <c r="Z54" s="400"/>
      <c r="AA54" s="400"/>
      <c r="AB54" s="400"/>
      <c r="AC54" s="400"/>
      <c r="AD54" s="400"/>
      <c r="AE54" s="400"/>
      <c r="AF54" s="400"/>
      <c r="AG54" s="400"/>
      <c r="AH54" s="400"/>
      <c r="AI54" s="400"/>
      <c r="AJ54" s="400"/>
      <c r="AK54" s="400"/>
      <c r="AL54" s="400"/>
      <c r="AM54" s="400"/>
      <c r="AN54" s="400"/>
      <c r="AO54" s="400"/>
      <c r="AP54" s="400"/>
      <c r="AQ54" s="400"/>
      <c r="AR54" s="400"/>
      <c r="AS54" s="400"/>
    </row>
    <row r="55" spans="1:45" s="95" customFormat="1" ht="12.75" hidden="1" customHeight="1">
      <c r="A55" s="400"/>
      <c r="C55" s="96"/>
      <c r="D55" s="121"/>
      <c r="E55" s="116"/>
      <c r="F55" s="77"/>
      <c r="G55" s="120"/>
      <c r="I55" s="58"/>
      <c r="J55" s="58"/>
      <c r="K55" s="58"/>
      <c r="L55" s="113"/>
      <c r="M55" s="616"/>
      <c r="N55" s="400"/>
      <c r="O55" s="400"/>
      <c r="P55" s="400"/>
      <c r="Q55" s="400"/>
      <c r="R55" s="400"/>
      <c r="S55" s="400"/>
      <c r="T55" s="400"/>
      <c r="U55" s="400"/>
      <c r="V55" s="400"/>
      <c r="W55" s="400"/>
      <c r="X55" s="400"/>
      <c r="Y55" s="400"/>
      <c r="Z55" s="400"/>
      <c r="AA55" s="400"/>
      <c r="AB55" s="400"/>
      <c r="AC55" s="400"/>
      <c r="AD55" s="400"/>
      <c r="AE55" s="400"/>
      <c r="AF55" s="400"/>
      <c r="AG55" s="400"/>
      <c r="AH55" s="400"/>
      <c r="AI55" s="400"/>
      <c r="AJ55" s="400"/>
      <c r="AK55" s="400"/>
      <c r="AL55" s="400"/>
      <c r="AM55" s="400"/>
      <c r="AN55" s="400"/>
      <c r="AO55" s="400"/>
      <c r="AP55" s="400"/>
      <c r="AQ55" s="400"/>
      <c r="AR55" s="400"/>
      <c r="AS55" s="400"/>
    </row>
    <row r="56" spans="1:45" s="95" customFormat="1" ht="15.75" customHeight="1" thickBot="1">
      <c r="A56" s="400"/>
      <c r="B56" s="1619" t="s">
        <v>1419</v>
      </c>
      <c r="C56" s="1619"/>
      <c r="D56" s="1619"/>
      <c r="E56" s="1619"/>
      <c r="F56" s="1619"/>
      <c r="G56" s="1619"/>
      <c r="H56" s="1619"/>
      <c r="I56" s="1619"/>
      <c r="J56" s="1619"/>
      <c r="K56" s="1619"/>
      <c r="L56" s="1619"/>
      <c r="M56" s="1221"/>
      <c r="N56" s="1303" t="s">
        <v>1473</v>
      </c>
      <c r="O56" s="400"/>
      <c r="P56" s="400"/>
      <c r="Q56" s="400"/>
      <c r="R56" s="400"/>
      <c r="S56" s="400"/>
      <c r="T56" s="400"/>
      <c r="U56" s="400"/>
      <c r="V56" s="400"/>
      <c r="W56" s="400"/>
      <c r="X56" s="400"/>
      <c r="Y56" s="400"/>
      <c r="Z56" s="400"/>
      <c r="AA56" s="400"/>
      <c r="AB56" s="400"/>
      <c r="AC56" s="400"/>
      <c r="AD56" s="400"/>
      <c r="AE56" s="400"/>
      <c r="AF56" s="400"/>
      <c r="AG56" s="400"/>
      <c r="AH56" s="400"/>
      <c r="AI56" s="400"/>
      <c r="AJ56" s="400"/>
      <c r="AK56" s="400"/>
      <c r="AL56" s="400"/>
      <c r="AM56" s="400"/>
      <c r="AN56" s="400"/>
      <c r="AO56" s="400"/>
      <c r="AP56" s="400"/>
      <c r="AQ56" s="400"/>
      <c r="AR56" s="400"/>
      <c r="AS56" s="400"/>
    </row>
    <row r="57" spans="1:45" s="95" customFormat="1" ht="15.75" customHeight="1">
      <c r="A57" s="400"/>
      <c r="C57" s="96" t="s">
        <v>518</v>
      </c>
      <c r="D57" s="123">
        <f>0.6*fy</f>
        <v>36</v>
      </c>
      <c r="E57" s="116" t="s">
        <v>196</v>
      </c>
      <c r="F57" s="98" t="s">
        <v>1245</v>
      </c>
      <c r="G57" s="90"/>
      <c r="I57" s="90"/>
      <c r="M57" s="616"/>
      <c r="N57" s="400"/>
      <c r="O57" s="400"/>
      <c r="P57" s="400"/>
      <c r="Q57" s="400"/>
      <c r="R57" s="400"/>
      <c r="S57" s="400"/>
      <c r="T57" s="400"/>
      <c r="U57" s="400"/>
      <c r="V57" s="400"/>
      <c r="W57" s="400"/>
      <c r="X57" s="400"/>
      <c r="Y57" s="400"/>
      <c r="Z57" s="400"/>
      <c r="AA57" s="400"/>
      <c r="AB57" s="400"/>
      <c r="AC57" s="400"/>
      <c r="AD57" s="400"/>
      <c r="AE57" s="400"/>
      <c r="AF57" s="400"/>
      <c r="AG57" s="400"/>
      <c r="AH57" s="400"/>
      <c r="AI57" s="400"/>
      <c r="AJ57" s="400"/>
      <c r="AK57" s="400"/>
      <c r="AL57" s="400"/>
      <c r="AM57" s="400"/>
      <c r="AN57" s="400"/>
      <c r="AO57" s="400"/>
      <c r="AP57" s="400"/>
      <c r="AQ57" s="400"/>
      <c r="AR57" s="400"/>
      <c r="AS57" s="400"/>
    </row>
    <row r="58" spans="1:45" s="95" customFormat="1" ht="15.75" customHeight="1">
      <c r="A58" s="400"/>
      <c r="C58" s="39" t="s">
        <v>1246</v>
      </c>
      <c r="D58" s="64" t="e">
        <f>D11*12</f>
        <v>#VALUE!</v>
      </c>
      <c r="E58" s="41" t="s">
        <v>403</v>
      </c>
      <c r="F58" s="118"/>
      <c r="G58" s="90"/>
      <c r="I58" s="90"/>
      <c r="M58" s="616"/>
      <c r="N58" s="400"/>
      <c r="O58" s="400"/>
      <c r="P58" s="400"/>
      <c r="Q58" s="400"/>
      <c r="R58" s="400"/>
      <c r="S58" s="400"/>
      <c r="T58" s="400"/>
      <c r="U58" s="400"/>
      <c r="V58" s="400"/>
      <c r="W58" s="400"/>
      <c r="X58" s="400"/>
      <c r="Y58" s="400"/>
      <c r="Z58" s="400"/>
      <c r="AA58" s="400"/>
      <c r="AB58" s="400"/>
      <c r="AC58" s="400"/>
      <c r="AD58" s="400"/>
      <c r="AE58" s="400"/>
      <c r="AF58" s="400"/>
      <c r="AG58" s="400"/>
      <c r="AH58" s="400"/>
      <c r="AI58" s="400"/>
      <c r="AJ58" s="400"/>
      <c r="AK58" s="400"/>
      <c r="AL58" s="400"/>
      <c r="AM58" s="400"/>
      <c r="AN58" s="400"/>
      <c r="AO58" s="400"/>
      <c r="AP58" s="400"/>
      <c r="AQ58" s="400"/>
      <c r="AR58" s="400"/>
      <c r="AS58" s="400"/>
    </row>
    <row r="59" spans="1:45" s="95" customFormat="1" ht="15.75" customHeight="1">
      <c r="A59" s="400"/>
      <c r="C59" s="96" t="s">
        <v>481</v>
      </c>
      <c r="D59" s="106">
        <f>Ec</f>
        <v>3850.3222213758031</v>
      </c>
      <c r="E59" s="116" t="s">
        <v>196</v>
      </c>
      <c r="F59" s="1034" t="s">
        <v>487</v>
      </c>
      <c r="G59" s="90"/>
      <c r="I59" s="90"/>
      <c r="M59" s="1221"/>
      <c r="N59" s="400"/>
      <c r="O59" s="400"/>
      <c r="P59" s="400"/>
      <c r="Q59" s="400"/>
      <c r="R59" s="400"/>
      <c r="S59" s="400"/>
      <c r="T59" s="400"/>
      <c r="U59" s="400"/>
      <c r="V59" s="400"/>
      <c r="W59" s="400"/>
      <c r="X59" s="400"/>
      <c r="Y59" s="400"/>
      <c r="Z59" s="400"/>
      <c r="AA59" s="400"/>
      <c r="AB59" s="400"/>
      <c r="AC59" s="400"/>
      <c r="AD59" s="400"/>
      <c r="AE59" s="400"/>
      <c r="AF59" s="400"/>
      <c r="AG59" s="400"/>
      <c r="AH59" s="400"/>
      <c r="AI59" s="400"/>
      <c r="AJ59" s="400"/>
      <c r="AK59" s="400"/>
      <c r="AL59" s="400"/>
      <c r="AM59" s="400"/>
      <c r="AN59" s="400"/>
      <c r="AO59" s="400"/>
      <c r="AP59" s="400"/>
      <c r="AQ59" s="400"/>
      <c r="AR59" s="400"/>
      <c r="AS59" s="400"/>
    </row>
    <row r="60" spans="1:45" s="95" customFormat="1" ht="15.75" customHeight="1">
      <c r="A60" s="400"/>
      <c r="C60" s="124" t="s">
        <v>519</v>
      </c>
      <c r="D60" s="125">
        <f>I13/(F13*capstemWidth)</f>
        <v>5.1075426935670446E-3</v>
      </c>
      <c r="F60" s="91" t="str">
        <f>"{"&amp;I13&amp;" sqin / ("&amp;ROUND(F13,2)&amp;" in x "&amp;capstemWidth&amp;" in)}"</f>
        <v>{15.63 sqin / (56.67 in x 54 in)}</v>
      </c>
      <c r="I60" s="90"/>
      <c r="M60" s="616"/>
      <c r="N60" s="400"/>
      <c r="O60" s="400"/>
      <c r="P60" s="400"/>
      <c r="Q60" s="400"/>
      <c r="R60" s="400"/>
      <c r="S60" s="400"/>
      <c r="T60" s="400"/>
      <c r="U60" s="400"/>
      <c r="V60" s="400"/>
      <c r="W60" s="400"/>
      <c r="X60" s="400"/>
      <c r="Y60" s="400"/>
      <c r="Z60" s="400"/>
      <c r="AA60" s="400"/>
      <c r="AB60" s="400"/>
      <c r="AC60" s="400"/>
      <c r="AD60" s="400"/>
      <c r="AE60" s="400"/>
      <c r="AF60" s="400"/>
      <c r="AG60" s="400"/>
      <c r="AH60" s="400"/>
      <c r="AI60" s="400"/>
      <c r="AJ60" s="400"/>
      <c r="AK60" s="400"/>
      <c r="AL60" s="400"/>
      <c r="AM60" s="400"/>
      <c r="AN60" s="400"/>
      <c r="AO60" s="400"/>
      <c r="AP60" s="400"/>
      <c r="AQ60" s="400"/>
      <c r="AR60" s="400"/>
      <c r="AS60" s="400"/>
    </row>
    <row r="61" spans="1:45" s="95" customFormat="1" ht="15.75" customHeight="1">
      <c r="A61" s="400"/>
      <c r="C61" s="124" t="s">
        <v>517</v>
      </c>
      <c r="D61" s="96">
        <f>ROUND(29000/D59,2)</f>
        <v>7.53</v>
      </c>
      <c r="E61" s="63"/>
      <c r="F61" s="98" t="s">
        <v>1415</v>
      </c>
      <c r="L61" s="1037" t="s">
        <v>1588</v>
      </c>
      <c r="M61" s="1221"/>
      <c r="N61" s="400"/>
      <c r="O61" s="400"/>
      <c r="P61" s="400"/>
      <c r="Q61" s="400"/>
      <c r="R61" s="400"/>
      <c r="S61" s="400"/>
      <c r="T61" s="400"/>
      <c r="U61" s="400"/>
      <c r="V61" s="400"/>
      <c r="W61" s="400"/>
      <c r="X61" s="400"/>
      <c r="Y61" s="400"/>
      <c r="Z61" s="400"/>
      <c r="AA61" s="400"/>
      <c r="AB61" s="400"/>
      <c r="AC61" s="400"/>
      <c r="AD61" s="400"/>
      <c r="AE61" s="400"/>
      <c r="AF61" s="400"/>
      <c r="AG61" s="400"/>
      <c r="AH61" s="400"/>
      <c r="AI61" s="400"/>
      <c r="AJ61" s="400"/>
      <c r="AK61" s="400"/>
      <c r="AL61" s="400"/>
      <c r="AM61" s="400"/>
      <c r="AN61" s="400"/>
      <c r="AO61" s="400"/>
      <c r="AP61" s="400"/>
      <c r="AQ61" s="400"/>
      <c r="AR61" s="400"/>
      <c r="AS61" s="400"/>
    </row>
    <row r="62" spans="1:45" s="95" customFormat="1" ht="15.75" customHeight="1">
      <c r="A62" s="400"/>
      <c r="C62" s="124" t="s">
        <v>516</v>
      </c>
      <c r="D62" s="125">
        <f>D60*D61</f>
        <v>3.8459796482559844E-2</v>
      </c>
      <c r="E62" s="126"/>
      <c r="G62" s="96"/>
      <c r="I62" s="108"/>
      <c r="J62" s="108"/>
      <c r="M62" s="616"/>
      <c r="N62" s="400"/>
      <c r="O62" s="400"/>
      <c r="P62" s="400"/>
      <c r="Q62" s="400"/>
      <c r="R62" s="400"/>
      <c r="S62" s="400"/>
      <c r="T62" s="400"/>
      <c r="U62" s="400"/>
      <c r="V62" s="400"/>
      <c r="W62" s="400"/>
      <c r="X62" s="400"/>
      <c r="Y62" s="400"/>
      <c r="Z62" s="400"/>
      <c r="AA62" s="400"/>
      <c r="AB62" s="400"/>
      <c r="AC62" s="400"/>
      <c r="AD62" s="400"/>
      <c r="AE62" s="400"/>
      <c r="AF62" s="400"/>
      <c r="AG62" s="400"/>
      <c r="AH62" s="400"/>
      <c r="AI62" s="400"/>
      <c r="AJ62" s="400"/>
      <c r="AK62" s="400"/>
      <c r="AL62" s="400"/>
      <c r="AM62" s="400"/>
      <c r="AN62" s="400"/>
      <c r="AO62" s="400"/>
      <c r="AP62" s="400"/>
      <c r="AQ62" s="400"/>
      <c r="AR62" s="400"/>
      <c r="AS62" s="400"/>
    </row>
    <row r="63" spans="1:45" s="95" customFormat="1" ht="15.75" customHeight="1">
      <c r="A63" s="400"/>
      <c r="C63" s="96" t="s">
        <v>515</v>
      </c>
      <c r="D63" s="127">
        <f>SQRT(2*D62+D62^2)-D62</f>
        <v>0.24153796942031233</v>
      </c>
      <c r="F63" s="1033" t="s">
        <v>1269</v>
      </c>
      <c r="G63" s="96"/>
      <c r="H63" s="128"/>
      <c r="J63" s="99"/>
      <c r="K63" s="99"/>
      <c r="M63" s="616"/>
      <c r="N63" s="400"/>
      <c r="O63" s="400"/>
      <c r="P63" s="400"/>
      <c r="Q63" s="400"/>
      <c r="R63" s="400"/>
      <c r="S63" s="400"/>
      <c r="T63" s="400"/>
      <c r="U63" s="400"/>
      <c r="V63" s="400"/>
      <c r="W63" s="400"/>
      <c r="X63" s="400"/>
      <c r="Y63" s="400"/>
      <c r="Z63" s="400"/>
      <c r="AA63" s="400"/>
      <c r="AB63" s="400"/>
      <c r="AC63" s="400"/>
      <c r="AD63" s="400"/>
      <c r="AE63" s="400"/>
      <c r="AF63" s="400"/>
      <c r="AG63" s="400"/>
      <c r="AH63" s="400"/>
      <c r="AI63" s="400"/>
      <c r="AJ63" s="400"/>
      <c r="AK63" s="400"/>
      <c r="AL63" s="400"/>
      <c r="AM63" s="400"/>
      <c r="AN63" s="400"/>
      <c r="AO63" s="400"/>
      <c r="AP63" s="400"/>
      <c r="AQ63" s="400"/>
      <c r="AR63" s="400"/>
      <c r="AS63" s="400"/>
    </row>
    <row r="64" spans="1:45" s="95" customFormat="1" ht="15.75" customHeight="1">
      <c r="A64" s="400"/>
      <c r="C64" s="96" t="s">
        <v>514</v>
      </c>
      <c r="D64" s="127">
        <f>1-D63/3</f>
        <v>0.91948734352656258</v>
      </c>
      <c r="F64" s="1033" t="s">
        <v>404</v>
      </c>
      <c r="H64" s="96"/>
      <c r="K64" s="129"/>
      <c r="M64" s="616"/>
      <c r="N64" s="400"/>
      <c r="O64" s="400"/>
      <c r="P64" s="400"/>
      <c r="Q64" s="400"/>
      <c r="R64" s="400"/>
      <c r="S64" s="400"/>
      <c r="T64" s="400"/>
      <c r="U64" s="400"/>
      <c r="V64" s="400"/>
      <c r="W64" s="400"/>
      <c r="X64" s="400"/>
      <c r="Y64" s="400"/>
      <c r="Z64" s="400"/>
      <c r="AA64" s="400"/>
      <c r="AB64" s="400"/>
      <c r="AC64" s="400"/>
      <c r="AD64" s="400"/>
      <c r="AE64" s="400"/>
      <c r="AF64" s="400"/>
      <c r="AG64" s="400"/>
      <c r="AH64" s="400"/>
      <c r="AI64" s="400"/>
      <c r="AJ64" s="400"/>
      <c r="AK64" s="400"/>
      <c r="AL64" s="400"/>
      <c r="AM64" s="400"/>
      <c r="AN64" s="400"/>
      <c r="AO64" s="400"/>
      <c r="AP64" s="400"/>
      <c r="AQ64" s="400"/>
      <c r="AR64" s="400"/>
      <c r="AS64" s="400"/>
    </row>
    <row r="65" spans="1:45" s="95" customFormat="1" ht="15.75" customHeight="1">
      <c r="A65" s="400"/>
      <c r="C65" s="93" t="s">
        <v>513</v>
      </c>
      <c r="D65" s="123" t="e">
        <f>D58/I13/D64/F13</f>
        <v>#VALUE!</v>
      </c>
      <c r="E65" s="41" t="s">
        <v>196</v>
      </c>
      <c r="F65" s="91" t="s">
        <v>1350</v>
      </c>
      <c r="H65" s="1621" t="e">
        <f>D65/D57</f>
        <v>#VALUE!</v>
      </c>
      <c r="I65" s="1621"/>
      <c r="L65" s="1044" t="e">
        <f>IF(D65&lt;=D57,"Service Load Stress - OK","Service Load Stress - NG")</f>
        <v>#VALUE!</v>
      </c>
      <c r="M65" s="616"/>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00"/>
      <c r="AK65" s="400"/>
      <c r="AL65" s="400"/>
      <c r="AM65" s="400"/>
      <c r="AN65" s="400"/>
      <c r="AO65" s="400"/>
      <c r="AP65" s="400"/>
      <c r="AQ65" s="400"/>
      <c r="AR65" s="400"/>
      <c r="AS65" s="400"/>
    </row>
    <row r="66" spans="1:45" s="95" customFormat="1" ht="4.5" customHeight="1">
      <c r="A66" s="400"/>
      <c r="C66" s="96"/>
      <c r="D66" s="121"/>
      <c r="E66" s="116"/>
      <c r="F66" s="77"/>
      <c r="G66" s="120"/>
      <c r="I66" s="58"/>
      <c r="J66" s="58"/>
      <c r="K66" s="58"/>
      <c r="L66" s="113"/>
      <c r="M66" s="616"/>
      <c r="N66" s="400"/>
      <c r="O66" s="400"/>
      <c r="P66" s="400"/>
      <c r="Q66" s="400"/>
      <c r="R66" s="400"/>
      <c r="S66" s="400"/>
      <c r="T66" s="400"/>
      <c r="U66" s="400"/>
      <c r="V66" s="400"/>
      <c r="W66" s="400"/>
      <c r="X66" s="400"/>
      <c r="Y66" s="400"/>
      <c r="Z66" s="400"/>
      <c r="AA66" s="400"/>
      <c r="AB66" s="400"/>
      <c r="AC66" s="400"/>
      <c r="AD66" s="400"/>
      <c r="AE66" s="400"/>
      <c r="AF66" s="400"/>
      <c r="AG66" s="400"/>
      <c r="AH66" s="400"/>
      <c r="AI66" s="400"/>
      <c r="AJ66" s="400"/>
      <c r="AK66" s="400"/>
      <c r="AL66" s="400"/>
      <c r="AM66" s="400"/>
      <c r="AN66" s="400"/>
      <c r="AO66" s="400"/>
      <c r="AP66" s="400"/>
      <c r="AQ66" s="400"/>
      <c r="AR66" s="400"/>
      <c r="AS66" s="400"/>
    </row>
    <row r="67" spans="1:45" s="95" customFormat="1" ht="15.75" customHeight="1" thickBot="1">
      <c r="A67" s="400"/>
      <c r="B67" s="1619" t="s">
        <v>1582</v>
      </c>
      <c r="C67" s="1619"/>
      <c r="D67" s="1619"/>
      <c r="E67" s="1619"/>
      <c r="F67" s="1619"/>
      <c r="G67" s="1619"/>
      <c r="H67" s="1619"/>
      <c r="I67" s="1619"/>
      <c r="J67" s="1619"/>
      <c r="K67" s="1619"/>
      <c r="L67" s="1619"/>
      <c r="M67" s="1221"/>
      <c r="N67" s="400"/>
      <c r="O67" s="400"/>
      <c r="P67" s="400"/>
      <c r="Q67" s="400"/>
      <c r="R67" s="400"/>
      <c r="S67" s="400"/>
      <c r="T67" s="400"/>
      <c r="U67" s="400"/>
      <c r="V67" s="400"/>
      <c r="W67" s="400"/>
      <c r="X67" s="400"/>
      <c r="Y67" s="400"/>
      <c r="Z67" s="400"/>
      <c r="AA67" s="400"/>
      <c r="AB67" s="400"/>
      <c r="AC67" s="400"/>
      <c r="AD67" s="400"/>
      <c r="AE67" s="400"/>
      <c r="AF67" s="400"/>
      <c r="AG67" s="400"/>
      <c r="AH67" s="400"/>
      <c r="AI67" s="400"/>
      <c r="AJ67" s="400"/>
      <c r="AK67" s="400"/>
      <c r="AL67" s="400"/>
      <c r="AM67" s="400"/>
      <c r="AN67" s="400"/>
      <c r="AO67" s="400"/>
      <c r="AP67" s="400"/>
      <c r="AQ67" s="400"/>
      <c r="AR67" s="400"/>
      <c r="AS67" s="400"/>
    </row>
    <row r="68" spans="1:45" s="95" customFormat="1" ht="15.75" customHeight="1">
      <c r="A68" s="400"/>
      <c r="C68" s="64"/>
      <c r="D68" s="121"/>
      <c r="E68" s="96" t="s">
        <v>509</v>
      </c>
      <c r="F68" s="237" t="str">
        <f>Geometry!G64</f>
        <v>Class 2</v>
      </c>
      <c r="G68" s="130" t="s">
        <v>510</v>
      </c>
      <c r="H68" s="131">
        <f>IF(F68="Class 1",1,0.75)</f>
        <v>0.75</v>
      </c>
      <c r="I68" s="58"/>
      <c r="M68" s="616"/>
      <c r="N68" s="400"/>
      <c r="O68" s="400"/>
      <c r="P68" s="400"/>
      <c r="Q68" s="400"/>
      <c r="R68" s="400"/>
      <c r="S68" s="400"/>
      <c r="T68" s="400"/>
      <c r="U68" s="400"/>
      <c r="V68" s="400"/>
      <c r="W68" s="400"/>
      <c r="X68" s="400"/>
      <c r="Y68" s="400"/>
      <c r="Z68" s="400"/>
      <c r="AA68" s="400"/>
      <c r="AB68" s="400"/>
      <c r="AC68" s="400"/>
      <c r="AD68" s="400"/>
      <c r="AE68" s="400"/>
      <c r="AF68" s="400"/>
      <c r="AG68" s="400"/>
      <c r="AH68" s="400"/>
      <c r="AI68" s="400"/>
      <c r="AJ68" s="400"/>
      <c r="AK68" s="400"/>
      <c r="AL68" s="400"/>
      <c r="AM68" s="400"/>
      <c r="AN68" s="400"/>
      <c r="AO68" s="400"/>
      <c r="AP68" s="400"/>
      <c r="AQ68" s="400"/>
      <c r="AR68" s="400"/>
      <c r="AS68" s="400"/>
    </row>
    <row r="69" spans="1:45" s="95" customFormat="1" ht="15.75" customHeight="1">
      <c r="A69" s="400"/>
      <c r="C69" s="96" t="s">
        <v>526</v>
      </c>
      <c r="D69" s="114">
        <f>capheight-D23</f>
        <v>3.3299999999999983</v>
      </c>
      <c r="E69" s="90" t="s">
        <v>409</v>
      </c>
      <c r="F69" s="91" t="s">
        <v>1268</v>
      </c>
      <c r="H69" s="96"/>
      <c r="I69" s="58"/>
      <c r="M69" s="616"/>
      <c r="N69" s="400"/>
      <c r="O69" s="400"/>
      <c r="P69" s="400"/>
      <c r="Q69" s="400"/>
      <c r="R69" s="400"/>
      <c r="S69" s="400"/>
      <c r="T69" s="400"/>
      <c r="U69" s="400"/>
      <c r="V69" s="400"/>
      <c r="W69" s="400"/>
      <c r="X69" s="400"/>
      <c r="Y69" s="400"/>
      <c r="Z69" s="400"/>
      <c r="AA69" s="400"/>
      <c r="AB69" s="400"/>
      <c r="AC69" s="400"/>
      <c r="AD69" s="400"/>
      <c r="AE69" s="400"/>
      <c r="AF69" s="400"/>
      <c r="AG69" s="400"/>
      <c r="AH69" s="400"/>
      <c r="AI69" s="400"/>
      <c r="AJ69" s="400"/>
      <c r="AK69" s="400"/>
      <c r="AL69" s="400"/>
      <c r="AM69" s="400"/>
      <c r="AN69" s="400"/>
      <c r="AO69" s="400"/>
      <c r="AP69" s="400"/>
      <c r="AQ69" s="400"/>
      <c r="AR69" s="400"/>
      <c r="AS69" s="400"/>
    </row>
    <row r="70" spans="1:45" s="95" customFormat="1" ht="15.75" customHeight="1">
      <c r="A70" s="400"/>
      <c r="C70" s="64" t="s">
        <v>511</v>
      </c>
      <c r="D70" s="114">
        <f>capheight</f>
        <v>60</v>
      </c>
      <c r="E70" s="90" t="s">
        <v>409</v>
      </c>
      <c r="F70" s="1036"/>
      <c r="I70" s="58"/>
      <c r="M70" s="616"/>
      <c r="N70" s="400"/>
      <c r="O70" s="400"/>
      <c r="P70" s="400"/>
      <c r="Q70" s="400"/>
      <c r="R70" s="400"/>
      <c r="S70" s="400"/>
      <c r="T70" s="400"/>
      <c r="U70" s="400"/>
      <c r="V70" s="400"/>
      <c r="W70" s="400"/>
      <c r="X70" s="400"/>
      <c r="Y70" s="400"/>
      <c r="Z70" s="400"/>
      <c r="AA70" s="400"/>
      <c r="AB70" s="400"/>
      <c r="AC70" s="400"/>
      <c r="AD70" s="400"/>
      <c r="AE70" s="400"/>
      <c r="AF70" s="400"/>
      <c r="AG70" s="400"/>
      <c r="AH70" s="400"/>
      <c r="AI70" s="400"/>
      <c r="AJ70" s="400"/>
      <c r="AK70" s="400"/>
      <c r="AL70" s="400"/>
      <c r="AM70" s="400"/>
      <c r="AN70" s="400"/>
      <c r="AO70" s="400"/>
      <c r="AP70" s="400"/>
      <c r="AQ70" s="400"/>
      <c r="AR70" s="400"/>
      <c r="AS70" s="400"/>
    </row>
    <row r="71" spans="1:45" s="95" customFormat="1" ht="15.75" customHeight="1">
      <c r="A71" s="400"/>
      <c r="C71" s="64" t="s">
        <v>528</v>
      </c>
      <c r="D71" s="133">
        <f>1+D69/(0.7*(D70-D69))</f>
        <v>1.0839446419118204</v>
      </c>
      <c r="E71" s="90"/>
      <c r="F71" s="91" t="str">
        <f>"{1+dc/(0.7(h-dc)) = 1+"&amp;ROUND(D69,2)&amp;" in / (0.7 x ("&amp;ROUND(D70,2)&amp;" in - "&amp;ROUND(D69,2)&amp;" in))}"</f>
        <v>{1+dc/(0.7(h-dc)) = 1+3.33 in / (0.7 x (60 in - 3.33 in))}</v>
      </c>
      <c r="I71" s="58"/>
      <c r="M71" s="616"/>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00"/>
      <c r="AK71" s="400"/>
      <c r="AL71" s="400"/>
      <c r="AM71" s="400"/>
      <c r="AN71" s="400"/>
      <c r="AO71" s="400"/>
      <c r="AP71" s="400"/>
      <c r="AQ71" s="400"/>
      <c r="AR71" s="400"/>
      <c r="AS71" s="400"/>
    </row>
    <row r="72" spans="1:45" s="95" customFormat="1" ht="15.75" customHeight="1">
      <c r="A72" s="400"/>
      <c r="C72" s="96" t="s">
        <v>482</v>
      </c>
      <c r="D72" s="64" t="e">
        <f>D11*12</f>
        <v>#VALUE!</v>
      </c>
      <c r="E72" s="41" t="s">
        <v>403</v>
      </c>
      <c r="F72" s="1035"/>
      <c r="I72" s="58"/>
      <c r="M72" s="616"/>
      <c r="N72" s="400"/>
      <c r="O72" s="400"/>
      <c r="P72" s="400"/>
      <c r="Q72" s="400"/>
      <c r="R72" s="400"/>
      <c r="S72" s="400"/>
      <c r="T72" s="400"/>
      <c r="U72" s="400"/>
      <c r="V72" s="400"/>
      <c r="W72" s="400"/>
      <c r="X72" s="400"/>
      <c r="Y72" s="400"/>
      <c r="Z72" s="400"/>
      <c r="AA72" s="400"/>
      <c r="AB72" s="400"/>
      <c r="AC72" s="400"/>
      <c r="AD72" s="400"/>
      <c r="AE72" s="400"/>
      <c r="AF72" s="400"/>
      <c r="AG72" s="400"/>
      <c r="AH72" s="400"/>
      <c r="AI72" s="400"/>
      <c r="AJ72" s="400"/>
      <c r="AK72" s="400"/>
      <c r="AL72" s="400"/>
      <c r="AM72" s="400"/>
      <c r="AN72" s="400"/>
      <c r="AO72" s="400"/>
      <c r="AP72" s="400"/>
      <c r="AQ72" s="400"/>
      <c r="AR72" s="400"/>
      <c r="AS72" s="400"/>
    </row>
    <row r="73" spans="1:45" s="95" customFormat="1" ht="15.75" customHeight="1">
      <c r="A73" s="400"/>
      <c r="C73" s="93" t="s">
        <v>512</v>
      </c>
      <c r="D73" s="135" t="e">
        <f>D72/I13/D64/F13</f>
        <v>#VALUE!</v>
      </c>
      <c r="E73" s="41" t="s">
        <v>196</v>
      </c>
      <c r="F73" s="91" t="s">
        <v>1267</v>
      </c>
      <c r="I73" s="58"/>
      <c r="M73" s="616"/>
      <c r="N73" s="400"/>
      <c r="O73" s="400"/>
      <c r="P73" s="400"/>
      <c r="Q73" s="400"/>
      <c r="R73" s="400"/>
      <c r="S73" s="400"/>
      <c r="T73" s="400"/>
      <c r="U73" s="400"/>
      <c r="V73" s="400"/>
      <c r="W73" s="400"/>
      <c r="X73" s="400"/>
      <c r="Y73" s="400"/>
      <c r="Z73" s="400"/>
      <c r="AA73" s="400"/>
      <c r="AB73" s="400"/>
      <c r="AC73" s="400"/>
      <c r="AD73" s="400"/>
      <c r="AE73" s="400"/>
      <c r="AF73" s="400"/>
      <c r="AG73" s="400"/>
      <c r="AH73" s="400"/>
      <c r="AI73" s="400"/>
      <c r="AJ73" s="400"/>
      <c r="AK73" s="400"/>
      <c r="AL73" s="400"/>
      <c r="AM73" s="400"/>
      <c r="AN73" s="400"/>
      <c r="AO73" s="400"/>
      <c r="AP73" s="400"/>
      <c r="AQ73" s="400"/>
      <c r="AR73" s="400"/>
      <c r="AS73" s="400"/>
    </row>
    <row r="74" spans="1:45" s="95" customFormat="1" ht="15.75" customHeight="1">
      <c r="A74" s="400"/>
      <c r="C74" s="93" t="s">
        <v>527</v>
      </c>
      <c r="D74" s="135">
        <f>IF(ISERROR(((700*H68)/(D71*D73))-2*D69),12,((700*H68)/(D71*D73))-2*D69)</f>
        <v>12</v>
      </c>
      <c r="E74" s="90" t="s">
        <v>409</v>
      </c>
      <c r="F74" s="77" t="e">
        <f>"{700γe/βsfs - 2dc = ((700 x "&amp;H68&amp;") / ("&amp;ROUND(D71,2)&amp;" x "&amp;ROUND(D73,2)&amp; ")) - 2 x "&amp;ROUND(D69,2)&amp;"}"</f>
        <v>#VALUE!</v>
      </c>
      <c r="I74" s="58"/>
      <c r="L74" s="92" t="s">
        <v>1583</v>
      </c>
      <c r="M74" s="1221"/>
      <c r="N74" s="400"/>
      <c r="O74" s="400"/>
      <c r="P74" s="400"/>
      <c r="Q74" s="400"/>
      <c r="R74" s="400"/>
      <c r="S74" s="400"/>
      <c r="T74" s="400"/>
      <c r="U74" s="400"/>
      <c r="V74" s="400"/>
      <c r="W74" s="400"/>
      <c r="X74" s="400"/>
      <c r="Y74" s="400"/>
      <c r="Z74" s="400"/>
      <c r="AA74" s="400"/>
      <c r="AB74" s="400"/>
      <c r="AC74" s="400"/>
      <c r="AD74" s="400"/>
      <c r="AE74" s="400"/>
      <c r="AF74" s="400"/>
      <c r="AG74" s="400"/>
      <c r="AH74" s="400"/>
      <c r="AI74" s="400"/>
      <c r="AJ74" s="400"/>
      <c r="AK74" s="400"/>
      <c r="AL74" s="400"/>
      <c r="AM74" s="400"/>
      <c r="AN74" s="400"/>
      <c r="AO74" s="400"/>
      <c r="AP74" s="400"/>
      <c r="AQ74" s="400"/>
      <c r="AR74" s="400"/>
      <c r="AS74" s="400"/>
    </row>
    <row r="75" spans="1:45" s="95" customFormat="1" ht="15.75" customHeight="1">
      <c r="A75" s="400"/>
      <c r="C75" s="93" t="s">
        <v>529</v>
      </c>
      <c r="D75" s="133">
        <f>((IF(CapType="Interted-Tee",Geometry!K68,capstemWidth)-2*cover-VLOOKUP(BarS,BarTable,2)-IF(L43="Spacing - OK",VLOOKUP(F10,BarTable,2,FALSE),2*VLOOKUP(F10,BarTable,2,FALSE)))/(IF(L43="Spacing - OK",MAX(H10:H12),ROUNDUP(MAX(H10:H12)/2,0))-1))</f>
        <v>5.2600000000000007</v>
      </c>
      <c r="E75" s="90" t="s">
        <v>409</v>
      </c>
      <c r="F75" s="91" t="str">
        <f>"{(("&amp;IF(CapType="Inverted-Tee",Geometry!K68,capstemWidth)&amp;" in - 2 x " &amp; cover &amp;" in - "&amp;VLOOKUP(BarS,BarTable,2) &amp;" in - "&amp;IF(L43="Spacing - OK",VLOOKUP(F10,BarTable,2,FALSE),2*VLOOKUP(F10,BarTable,2,FALSE))&amp;" in)/("&amp;IF(L43="Spacing - OK",MAX(H10:H12),ROUNDUP(MAX(H10:H12)/2,0))&amp;" - 1)) }"</f>
        <v>{((54 in - 2 x 2.3125 in - 0.625 in - 1.41 in)/(10 - 1)) }</v>
      </c>
      <c r="H75" s="96"/>
      <c r="I75" s="64"/>
      <c r="J75" s="94"/>
      <c r="L75" s="1044" t="str">
        <f>IF(D74&gt;=D75,"Spacing - OK","Spacing - NG")</f>
        <v>Spacing - OK</v>
      </c>
      <c r="M75" s="616"/>
      <c r="N75" s="400"/>
      <c r="O75" s="400"/>
      <c r="P75" s="400"/>
      <c r="Q75" s="400"/>
      <c r="R75" s="400"/>
      <c r="S75" s="400"/>
      <c r="T75" s="400"/>
      <c r="U75" s="400"/>
      <c r="V75" s="400"/>
      <c r="W75" s="400"/>
      <c r="X75" s="400"/>
      <c r="Y75" s="400"/>
      <c r="Z75" s="400"/>
      <c r="AA75" s="400"/>
      <c r="AB75" s="400"/>
      <c r="AC75" s="400"/>
      <c r="AD75" s="400"/>
      <c r="AE75" s="400"/>
      <c r="AF75" s="400"/>
      <c r="AG75" s="400"/>
      <c r="AH75" s="400"/>
      <c r="AI75" s="400"/>
      <c r="AJ75" s="400"/>
      <c r="AK75" s="400"/>
      <c r="AL75" s="400"/>
      <c r="AM75" s="400"/>
      <c r="AN75" s="400"/>
      <c r="AO75" s="400"/>
      <c r="AP75" s="400"/>
      <c r="AQ75" s="400"/>
      <c r="AR75" s="400"/>
      <c r="AS75" s="400"/>
    </row>
    <row r="76" spans="1:45" ht="15.75" customHeight="1">
      <c r="B76" s="1222" t="s">
        <v>577</v>
      </c>
      <c r="F76" s="1043"/>
      <c r="M76" s="616"/>
    </row>
    <row r="77" spans="1:45" ht="15.75" customHeight="1">
      <c r="B77" s="87"/>
      <c r="C77" s="88" t="s">
        <v>531</v>
      </c>
      <c r="D77" s="87">
        <f>F13</f>
        <v>56.67</v>
      </c>
      <c r="E77" s="61" t="s">
        <v>155</v>
      </c>
      <c r="F77" s="1036" t="str">
        <f>IF(D77&gt;36,"&gt; 36 in","&lt; 36 in")</f>
        <v>&gt; 36 in</v>
      </c>
      <c r="H77" s="37"/>
      <c r="I77" s="76"/>
      <c r="L77" s="70" t="str">
        <f>IF(D77&gt;36,"Longitudinal Skin Reinforcement IS Required","Longitudinal Skin Reinforcement Is NOT Required")</f>
        <v>Longitudinal Skin Reinforcement IS Required</v>
      </c>
      <c r="M77" s="616"/>
    </row>
    <row r="78" spans="1:45" ht="15.75" customHeight="1">
      <c r="B78" s="95"/>
      <c r="C78" s="93" t="s">
        <v>1395</v>
      </c>
      <c r="D78" s="1305">
        <f>Geometry!$K$91</f>
        <v>8.89</v>
      </c>
      <c r="E78" s="95" t="s">
        <v>155</v>
      </c>
      <c r="F78" s="91" t="s">
        <v>1396</v>
      </c>
      <c r="G78" s="88"/>
      <c r="H78" s="88"/>
      <c r="I78" s="88"/>
      <c r="J78" s="88"/>
      <c r="K78" s="88"/>
      <c r="L78" s="88"/>
      <c r="M78" s="616"/>
      <c r="N78" s="1303" t="s">
        <v>1482</v>
      </c>
    </row>
    <row r="79" spans="1:45" ht="15.75" customHeight="1">
      <c r="C79" s="88" t="s">
        <v>534</v>
      </c>
      <c r="D79" s="87">
        <f>MIN(D77/6,12)</f>
        <v>9.4450000000000003</v>
      </c>
      <c r="E79" s="37" t="s">
        <v>155</v>
      </c>
      <c r="F79" s="1036" t="str">
        <f>IF(L77="Longitudinal Skin Reinforcement IS Required",IF(D79&gt;Geometry!K91,"&gt; "&amp;ROUND(Geometry!K91,2)&amp;" in"," &lt; "&amp;ROUND(Geometry!K91,2)&amp;" in"),"")</f>
        <v>&gt; 8.89 in</v>
      </c>
      <c r="G79" s="95"/>
      <c r="H79" s="95"/>
      <c r="I79" s="58"/>
      <c r="J79" s="95"/>
      <c r="K79" s="95"/>
      <c r="L79" s="1044" t="str">
        <f>IF(L77="Longitudinal Skin Reinforcement IS Required",IF(D79&gt;Geometry!K91,"Ask - OK","Add more skin reinfocing bars to decrease spacing"),"Provide 2- #5 bars on each face per TxDOT BDM 4-4 - OK")</f>
        <v>Ask - OK</v>
      </c>
      <c r="M79" s="616"/>
    </row>
    <row r="80" spans="1:45" ht="15.75">
      <c r="C80" s="93" t="s">
        <v>579</v>
      </c>
      <c r="D80" s="89">
        <f>0.012*(D77-30)</f>
        <v>0.32004000000000005</v>
      </c>
      <c r="E80" s="61" t="s">
        <v>533</v>
      </c>
      <c r="F80" s="91" t="s">
        <v>1513</v>
      </c>
      <c r="I80" s="76"/>
    </row>
    <row r="81" spans="3:14" ht="15.75">
      <c r="C81" s="88" t="s">
        <v>532</v>
      </c>
      <c r="D81" s="89">
        <f>MIN(D80,I13/4)</f>
        <v>0.32004000000000005</v>
      </c>
      <c r="E81" s="61" t="s">
        <v>533</v>
      </c>
      <c r="F81" s="91" t="s">
        <v>1514</v>
      </c>
      <c r="H81" s="37"/>
      <c r="L81" s="183" t="s">
        <v>1584</v>
      </c>
      <c r="M81" s="1223"/>
    </row>
    <row r="82" spans="3:14" ht="15.75">
      <c r="C82" s="88" t="s">
        <v>580</v>
      </c>
      <c r="D82" s="89">
        <f>VLOOKUP(Geometry!K89,BarTable,3,FALSE)/(Geometry!K91/12)</f>
        <v>0.41439820022497187</v>
      </c>
      <c r="E82" s="61" t="s">
        <v>533</v>
      </c>
      <c r="F82" s="176" t="str">
        <f>"{"&amp;Geometry!K89&amp;" @ "&amp;FIXED(Geometry!K91,3)&amp;" in = "&amp;VLOOKUP(Geometry!K89,BarTable,3,FALSE)&amp;" sqin / "&amp;FIXED(Geometry!K91/12,3)&amp;" ft}"</f>
        <v>{#5 @ 8.890 in = 0.307 sqin / 0.741 ft}</v>
      </c>
      <c r="L82" s="1044" t="str">
        <f>IF(L79="Provide 2- #5 bars on each face per TxDOT BDM 4-4 - OK","Provide 2- #5 bars on each face per TxDOT BDM 4-4 - OK",IF(D82&gt;=D81,"Ask - OK","Ask - NG"))</f>
        <v>Ask - OK</v>
      </c>
    </row>
    <row r="83" spans="3:14">
      <c r="C83" s="37"/>
      <c r="N83" s="1303"/>
    </row>
    <row r="85" spans="3:14">
      <c r="C85" s="487"/>
      <c r="D85" s="400"/>
      <c r="E85" s="400"/>
      <c r="F85" s="400"/>
      <c r="G85" s="400"/>
      <c r="H85" s="487"/>
      <c r="I85" s="400"/>
      <c r="J85" s="400"/>
      <c r="K85" s="400"/>
      <c r="L85" s="400"/>
    </row>
    <row r="86" spans="3:14">
      <c r="C86" s="487"/>
      <c r="D86" s="400"/>
      <c r="E86" s="400"/>
      <c r="F86" s="400"/>
      <c r="G86" s="400"/>
      <c r="H86" s="487"/>
      <c r="I86" s="400"/>
      <c r="J86" s="400"/>
      <c r="K86" s="400"/>
      <c r="L86" s="400"/>
    </row>
    <row r="87" spans="3:14">
      <c r="C87" s="487"/>
      <c r="D87" s="400"/>
      <c r="E87" s="400"/>
      <c r="F87" s="400"/>
      <c r="G87" s="400"/>
      <c r="H87" s="487"/>
      <c r="I87" s="400"/>
      <c r="J87" s="400"/>
      <c r="K87" s="400"/>
      <c r="L87" s="400"/>
    </row>
    <row r="88" spans="3:14">
      <c r="C88" s="487"/>
      <c r="D88" s="400"/>
      <c r="E88" s="400"/>
      <c r="F88" s="400"/>
      <c r="G88" s="400"/>
      <c r="H88" s="487"/>
      <c r="I88" s="400"/>
      <c r="J88" s="400"/>
      <c r="K88" s="400"/>
      <c r="L88" s="400"/>
    </row>
    <row r="89" spans="3:14">
      <c r="C89" s="487"/>
      <c r="D89" s="400"/>
      <c r="E89" s="400"/>
      <c r="F89" s="400"/>
      <c r="G89" s="400"/>
      <c r="H89" s="487"/>
      <c r="I89" s="400"/>
      <c r="J89" s="400"/>
      <c r="K89" s="400"/>
      <c r="L89" s="400"/>
    </row>
    <row r="90" spans="3:14">
      <c r="C90" s="487"/>
      <c r="D90" s="400"/>
      <c r="E90" s="400"/>
      <c r="F90" s="400"/>
      <c r="G90" s="400"/>
      <c r="H90" s="487"/>
      <c r="I90" s="400"/>
      <c r="J90" s="400"/>
      <c r="K90" s="400"/>
      <c r="L90" s="400"/>
    </row>
    <row r="91" spans="3:14">
      <c r="C91" s="487"/>
      <c r="D91" s="400"/>
      <c r="E91" s="400"/>
      <c r="F91" s="400"/>
      <c r="G91" s="400"/>
      <c r="H91" s="487"/>
      <c r="I91" s="400"/>
      <c r="J91" s="400"/>
      <c r="K91" s="400"/>
      <c r="L91" s="400"/>
    </row>
    <row r="92" spans="3:14">
      <c r="C92" s="487"/>
      <c r="D92" s="400"/>
      <c r="E92" s="400"/>
      <c r="F92" s="400"/>
      <c r="G92" s="400"/>
      <c r="H92" s="487"/>
      <c r="I92" s="400"/>
      <c r="J92" s="400"/>
      <c r="K92" s="400"/>
      <c r="L92" s="400"/>
    </row>
    <row r="93" spans="3:14">
      <c r="C93" s="487"/>
      <c r="D93" s="400"/>
      <c r="E93" s="400"/>
      <c r="F93" s="400"/>
      <c r="G93" s="400"/>
      <c r="H93" s="487"/>
      <c r="I93" s="400"/>
      <c r="J93" s="400"/>
      <c r="K93" s="400"/>
      <c r="L93" s="400"/>
    </row>
    <row r="94" spans="3:14">
      <c r="C94" s="487"/>
      <c r="D94" s="400"/>
      <c r="E94" s="400"/>
      <c r="F94" s="400"/>
      <c r="G94" s="400"/>
      <c r="H94" s="487"/>
      <c r="I94" s="400"/>
      <c r="J94" s="400"/>
      <c r="K94" s="400"/>
      <c r="L94" s="400"/>
    </row>
    <row r="95" spans="3:14">
      <c r="C95" s="487"/>
      <c r="D95" s="400"/>
      <c r="E95" s="400"/>
      <c r="F95" s="400"/>
      <c r="G95" s="400"/>
      <c r="H95" s="487"/>
      <c r="I95" s="400"/>
      <c r="J95" s="400"/>
      <c r="K95" s="400"/>
      <c r="L95" s="400"/>
    </row>
    <row r="96" spans="3:14" s="400" customFormat="1">
      <c r="C96" s="487"/>
      <c r="H96" s="487"/>
    </row>
    <row r="97" spans="3:8" s="400" customFormat="1">
      <c r="C97" s="487"/>
      <c r="H97" s="487"/>
    </row>
    <row r="98" spans="3:8" s="400" customFormat="1">
      <c r="C98" s="487"/>
      <c r="H98" s="487"/>
    </row>
    <row r="99" spans="3:8" s="400" customFormat="1">
      <c r="C99" s="487"/>
      <c r="H99" s="487"/>
    </row>
    <row r="100" spans="3:8" s="400" customFormat="1">
      <c r="C100" s="487"/>
      <c r="H100" s="487"/>
    </row>
    <row r="101" spans="3:8" s="400" customFormat="1">
      <c r="C101" s="487"/>
      <c r="H101" s="487"/>
    </row>
    <row r="102" spans="3:8" s="400" customFormat="1">
      <c r="C102" s="487"/>
      <c r="H102" s="487"/>
    </row>
    <row r="103" spans="3:8" s="400" customFormat="1">
      <c r="C103" s="487"/>
      <c r="H103" s="487"/>
    </row>
    <row r="104" spans="3:8" s="400" customFormat="1">
      <c r="C104" s="487"/>
      <c r="H104" s="487"/>
    </row>
    <row r="105" spans="3:8" s="400" customFormat="1">
      <c r="C105" s="487"/>
      <c r="H105" s="487"/>
    </row>
    <row r="106" spans="3:8" s="400" customFormat="1">
      <c r="C106" s="487"/>
      <c r="H106" s="487"/>
    </row>
    <row r="107" spans="3:8" s="400" customFormat="1">
      <c r="C107" s="487"/>
      <c r="H107" s="487"/>
    </row>
    <row r="108" spans="3:8" s="400" customFormat="1">
      <c r="C108" s="487"/>
      <c r="H108" s="487"/>
    </row>
    <row r="109" spans="3:8" s="400" customFormat="1">
      <c r="C109" s="487"/>
      <c r="H109" s="487"/>
    </row>
    <row r="110" spans="3:8" s="400" customFormat="1">
      <c r="C110" s="487"/>
      <c r="H110" s="487"/>
    </row>
    <row r="111" spans="3:8" s="400" customFormat="1">
      <c r="C111" s="487"/>
      <c r="H111" s="487"/>
    </row>
    <row r="112" spans="3:8" s="400" customFormat="1">
      <c r="C112" s="487"/>
      <c r="H112" s="487"/>
    </row>
    <row r="113" spans="3:8" s="400" customFormat="1">
      <c r="C113" s="487"/>
      <c r="H113" s="487"/>
    </row>
    <row r="114" spans="3:8" s="400" customFormat="1">
      <c r="C114" s="487"/>
      <c r="H114" s="487"/>
    </row>
    <row r="115" spans="3:8" s="400" customFormat="1">
      <c r="C115" s="487"/>
      <c r="H115" s="487"/>
    </row>
    <row r="116" spans="3:8" s="400" customFormat="1">
      <c r="C116" s="487"/>
      <c r="H116" s="487"/>
    </row>
    <row r="117" spans="3:8" s="400" customFormat="1">
      <c r="C117" s="487"/>
      <c r="H117" s="487"/>
    </row>
    <row r="118" spans="3:8" s="400" customFormat="1">
      <c r="C118" s="487"/>
      <c r="H118" s="487"/>
    </row>
    <row r="119" spans="3:8" s="400" customFormat="1">
      <c r="C119" s="487"/>
      <c r="H119" s="487"/>
    </row>
    <row r="120" spans="3:8" s="400" customFormat="1">
      <c r="C120" s="487"/>
      <c r="H120" s="487"/>
    </row>
    <row r="121" spans="3:8" s="400" customFormat="1">
      <c r="C121" s="487"/>
      <c r="H121" s="487"/>
    </row>
    <row r="122" spans="3:8" s="400" customFormat="1">
      <c r="C122" s="487"/>
      <c r="H122" s="487"/>
    </row>
    <row r="123" spans="3:8" s="400" customFormat="1">
      <c r="C123" s="487"/>
      <c r="H123" s="487"/>
    </row>
    <row r="124" spans="3:8" s="400" customFormat="1">
      <c r="C124" s="487"/>
      <c r="H124" s="487"/>
    </row>
    <row r="125" spans="3:8" s="400" customFormat="1">
      <c r="C125" s="487"/>
      <c r="H125" s="487"/>
    </row>
    <row r="126" spans="3:8" s="400" customFormat="1">
      <c r="C126" s="487"/>
      <c r="H126" s="487"/>
    </row>
    <row r="127" spans="3:8" s="400" customFormat="1">
      <c r="C127" s="487"/>
      <c r="H127" s="487"/>
    </row>
    <row r="128" spans="3:8" s="400" customFormat="1">
      <c r="C128" s="487"/>
      <c r="H128" s="487"/>
    </row>
    <row r="129" spans="3:8" s="400" customFormat="1">
      <c r="C129" s="487"/>
      <c r="H129" s="487"/>
    </row>
    <row r="130" spans="3:8" s="400" customFormat="1">
      <c r="C130" s="487"/>
      <c r="H130" s="487"/>
    </row>
    <row r="131" spans="3:8" s="400" customFormat="1">
      <c r="C131" s="487"/>
      <c r="H131" s="487"/>
    </row>
    <row r="132" spans="3:8" s="400" customFormat="1">
      <c r="C132" s="487"/>
      <c r="H132" s="487"/>
    </row>
    <row r="133" spans="3:8" s="400" customFormat="1">
      <c r="C133" s="487"/>
      <c r="H133" s="487"/>
    </row>
    <row r="134" spans="3:8" s="400" customFormat="1">
      <c r="C134" s="487"/>
      <c r="H134" s="487"/>
    </row>
    <row r="135" spans="3:8" s="400" customFormat="1">
      <c r="C135" s="487"/>
      <c r="H135" s="487"/>
    </row>
    <row r="136" spans="3:8" s="400" customFormat="1">
      <c r="C136" s="487"/>
      <c r="H136" s="487"/>
    </row>
    <row r="137" spans="3:8" s="400" customFormat="1">
      <c r="C137" s="487"/>
      <c r="H137" s="487"/>
    </row>
    <row r="138" spans="3:8" s="400" customFormat="1">
      <c r="C138" s="487"/>
      <c r="H138" s="487"/>
    </row>
    <row r="139" spans="3:8" s="400" customFormat="1">
      <c r="C139" s="487"/>
      <c r="H139" s="487"/>
    </row>
    <row r="140" spans="3:8" s="400" customFormat="1">
      <c r="C140" s="487"/>
      <c r="H140" s="487"/>
    </row>
    <row r="141" spans="3:8" s="400" customFormat="1">
      <c r="C141" s="487"/>
      <c r="H141" s="487"/>
    </row>
    <row r="142" spans="3:8" s="400" customFormat="1">
      <c r="C142" s="487"/>
      <c r="H142" s="487"/>
    </row>
    <row r="143" spans="3:8" s="400" customFormat="1">
      <c r="C143" s="487"/>
      <c r="H143" s="487"/>
    </row>
    <row r="144" spans="3:8" s="400" customFormat="1">
      <c r="C144" s="487"/>
      <c r="H144" s="487"/>
    </row>
    <row r="145" spans="3:8" s="400" customFormat="1">
      <c r="C145" s="487"/>
      <c r="H145" s="487"/>
    </row>
    <row r="146" spans="3:8" s="400" customFormat="1">
      <c r="C146" s="487"/>
      <c r="H146" s="487"/>
    </row>
    <row r="147" spans="3:8" s="400" customFormat="1">
      <c r="C147" s="487"/>
      <c r="H147" s="487"/>
    </row>
    <row r="148" spans="3:8" s="400" customFormat="1">
      <c r="C148" s="487"/>
      <c r="H148" s="487"/>
    </row>
    <row r="149" spans="3:8" s="400" customFormat="1">
      <c r="C149" s="487"/>
      <c r="H149" s="487"/>
    </row>
    <row r="150" spans="3:8" s="400" customFormat="1">
      <c r="C150" s="487"/>
      <c r="H150" s="487"/>
    </row>
    <row r="151" spans="3:8" s="400" customFormat="1">
      <c r="C151" s="487"/>
      <c r="H151" s="487"/>
    </row>
    <row r="152" spans="3:8" s="400" customFormat="1">
      <c r="C152" s="487"/>
      <c r="H152" s="487"/>
    </row>
    <row r="153" spans="3:8" s="400" customFormat="1">
      <c r="C153" s="487"/>
      <c r="H153" s="487"/>
    </row>
    <row r="154" spans="3:8" s="400" customFormat="1">
      <c r="C154" s="487"/>
      <c r="H154" s="487"/>
    </row>
    <row r="155" spans="3:8" s="400" customFormat="1">
      <c r="C155" s="487"/>
      <c r="H155" s="487"/>
    </row>
    <row r="156" spans="3:8" s="400" customFormat="1">
      <c r="C156" s="487"/>
      <c r="H156" s="487"/>
    </row>
  </sheetData>
  <sheetProtection algorithmName="SHA-512" hashValue="eH6ooKNGB1Rfq+FLL5rJ6Sulp7nFFMmZxDVkq7k1CLjHQpTOatr5Qo4EcubMt4SRijhYvOgEG2if5z5EAo9qhw==" saltValue="8KvrHJjxZX12CDTV3BrGbg==" spinCount="100000" sheet="1" objects="1" scenarios="1"/>
  <mergeCells count="11">
    <mergeCell ref="B9:D9"/>
    <mergeCell ref="B8:L8"/>
    <mergeCell ref="B42:L42"/>
    <mergeCell ref="H30:I30"/>
    <mergeCell ref="H40:I40"/>
    <mergeCell ref="B67:L67"/>
    <mergeCell ref="B14:L14"/>
    <mergeCell ref="J40:L40"/>
    <mergeCell ref="B32:L32"/>
    <mergeCell ref="B56:L56"/>
    <mergeCell ref="H65:I65"/>
  </mergeCells>
  <phoneticPr fontId="0" type="noConversion"/>
  <conditionalFormatting sqref="I75 L53 L47 H46 H44 H50 H54 H52">
    <cfRule type="cellIs" dxfId="26" priority="4" stopIfTrue="1" operator="equal">
      <formula>"OK"</formula>
    </cfRule>
  </conditionalFormatting>
  <conditionalFormatting sqref="L75 L46 Q45 L43 L54">
    <cfRule type="cellIs" dxfId="25" priority="5" stopIfTrue="1" operator="equal">
      <formula>"Spacing - OK"</formula>
    </cfRule>
  </conditionalFormatting>
  <conditionalFormatting sqref="I77 I68:I73 I66:K66 I41:K41 I55:K55 I79:I80">
    <cfRule type="cellIs" dxfId="24" priority="6" stopIfTrue="1" operator="equal">
      <formula>"As min OK"</formula>
    </cfRule>
  </conditionalFormatting>
  <conditionalFormatting sqref="L82 L79">
    <cfRule type="cellIs" dxfId="23" priority="7" stopIfTrue="1" operator="equal">
      <formula>"Ask - OK"</formula>
    </cfRule>
    <cfRule type="cellIs" dxfId="22" priority="8" stopIfTrue="1" operator="equal">
      <formula>"None Required - OK"</formula>
    </cfRule>
  </conditionalFormatting>
  <conditionalFormatting sqref="L65">
    <cfRule type="cellIs" dxfId="21" priority="9" stopIfTrue="1" operator="equal">
      <formula>"Service Load Stress - OK"</formula>
    </cfRule>
  </conditionalFormatting>
  <conditionalFormatting sqref="L52">
    <cfRule type="cellIs" dxfId="20" priority="10" stopIfTrue="1" operator="equal">
      <formula>"Bundled Spacing - OK"</formula>
    </cfRule>
    <cfRule type="cellIs" dxfId="19" priority="11" stopIfTrue="1" operator="equal">
      <formula>"Bundling Not Required - OK"</formula>
    </cfRule>
  </conditionalFormatting>
  <conditionalFormatting sqref="J63:K63">
    <cfRule type="cellIs" dxfId="18" priority="12" stopIfTrue="1" operator="equal">
      <formula>"Dead Load Capacity OK"</formula>
    </cfRule>
  </conditionalFormatting>
  <conditionalFormatting sqref="J40:L40">
    <cfRule type="cellIs" dxfId="17" priority="14" stopIfTrue="1" operator="equal">
      <formula>"As &gt; Asmin - OK"</formula>
    </cfRule>
  </conditionalFormatting>
  <conditionalFormatting sqref="L39">
    <cfRule type="cellIs" dxfId="16" priority="16" stopIfTrue="1" operator="equal">
      <formula>"ΦMn &gt; 1.33Mu - OK"</formula>
    </cfRule>
  </conditionalFormatting>
  <conditionalFormatting sqref="K21:K23">
    <cfRule type="cellIs" dxfId="15" priority="17" stopIfTrue="1" operator="equal">
      <formula>"Ultimate Capacity OK"</formula>
    </cfRule>
  </conditionalFormatting>
  <conditionalFormatting sqref="L24">
    <cfRule type="cellIs" dxfId="14" priority="18" stopIfTrue="1" operator="equal">
      <formula>"Yes-Steel has yielded at Mn"</formula>
    </cfRule>
  </conditionalFormatting>
  <conditionalFormatting sqref="L30">
    <cfRule type="cellIs" dxfId="13" priority="19" stopIfTrue="1" operator="equal">
      <formula>"ΦMn &gt; Mu - OK"</formula>
    </cfRule>
  </conditionalFormatting>
  <conditionalFormatting sqref="L17">
    <cfRule type="cellIs" dxfId="12" priority="20" stopIfTrue="1" operator="equal">
      <formula>"c &lt; top flange - OK"</formula>
    </cfRule>
  </conditionalFormatting>
  <conditionalFormatting sqref="I74">
    <cfRule type="cellIs" dxfId="11" priority="3" stopIfTrue="1" operator="equal">
      <formula>"As min OK"</formula>
    </cfRule>
  </conditionalFormatting>
  <conditionalFormatting sqref="L19">
    <cfRule type="cellIs" dxfId="10" priority="2" stopIfTrue="1" operator="equal">
      <formula>"c &gt; ledge depth - NG"</formula>
    </cfRule>
  </conditionalFormatting>
  <conditionalFormatting sqref="H51">
    <cfRule type="cellIs" dxfId="9" priority="1" stopIfTrue="1" operator="equal">
      <formula>"OK"</formula>
    </cfRule>
  </conditionalFormatting>
  <dataValidations count="2">
    <dataValidation type="list" allowBlank="1" showInputMessage="1" showErrorMessage="1" sqref="F68" xr:uid="{00000000-0002-0000-0E00-000000000000}">
      <formula1>"Class 1, Class 2"</formula1>
    </dataValidation>
    <dataValidation allowBlank="1" showInputMessage="1" showErrorMessage="1" prompt="Modify Reinforcing In Geometry Tab" sqref="F10 H10:H12" xr:uid="{00000000-0002-0000-0E00-000001000000}"/>
  </dataValidations>
  <hyperlinks>
    <hyperlink ref="A13" location="Geometry!K79" display="Edit Flexural Reinforcing" xr:uid="{00000000-0004-0000-0E00-000000000000}"/>
  </hyperlinks>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53"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9855" r:id="rId4" name="Button 159">
              <controlPr defaultSize="0" print="0" autoFill="0" autoPict="0" macro="[0]!BReinf">
                <anchor moveWithCells="1" sizeWithCells="1">
                  <from>
                    <xdr:col>0</xdr:col>
                    <xdr:colOff>209550</xdr:colOff>
                    <xdr:row>8</xdr:row>
                    <xdr:rowOff>180975</xdr:rowOff>
                  </from>
                  <to>
                    <xdr:col>0</xdr:col>
                    <xdr:colOff>1447800</xdr:colOff>
                    <xdr:row>11</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3">
    <tabColor indexed="47"/>
  </sheetPr>
  <dimension ref="A8:X726"/>
  <sheetViews>
    <sheetView showGridLines="0" view="pageBreakPreview" topLeftCell="A345" zoomScaleSheetLayoutView="100" workbookViewId="0"/>
  </sheetViews>
  <sheetFormatPr defaultRowHeight="12.75"/>
  <cols>
    <col min="1" max="1" width="4.28515625" customWidth="1"/>
    <col min="2" max="2" width="20.42578125" style="347" customWidth="1"/>
    <col min="3" max="3" width="8.85546875" customWidth="1"/>
    <col min="4" max="5" width="8.42578125" customWidth="1"/>
    <col min="6" max="6" width="8.85546875" customWidth="1"/>
    <col min="7" max="8" width="8.42578125" customWidth="1"/>
    <col min="9" max="10" width="8.85546875" customWidth="1"/>
    <col min="11" max="11" width="9.28515625" customWidth="1"/>
    <col min="12" max="13" width="8.85546875" customWidth="1"/>
    <col min="14" max="14" width="10.7109375" style="337" customWidth="1"/>
    <col min="15" max="15" width="8" style="337" customWidth="1"/>
    <col min="16" max="22" width="9.7109375" style="337" customWidth="1"/>
    <col min="23" max="24" width="9.7109375" customWidth="1"/>
    <col min="25" max="25" width="8" customWidth="1"/>
    <col min="26" max="33" width="9.7109375" customWidth="1"/>
  </cols>
  <sheetData>
    <row r="8" spans="2:22" ht="19.5" customHeight="1" thickBot="1">
      <c r="C8" s="1598" t="s">
        <v>766</v>
      </c>
      <c r="D8" s="1598"/>
      <c r="E8" s="1598"/>
      <c r="F8" s="1598"/>
      <c r="G8" s="1598"/>
      <c r="H8" s="1598"/>
      <c r="I8" s="1598"/>
      <c r="J8" s="1598"/>
      <c r="K8" s="1598"/>
      <c r="L8" s="1598"/>
      <c r="M8" s="1598"/>
    </row>
    <row r="9" spans="2:22" ht="12" customHeight="1" thickTop="1">
      <c r="B9" s="16"/>
      <c r="C9" s="888"/>
      <c r="N9"/>
      <c r="O9"/>
      <c r="P9"/>
      <c r="Q9"/>
      <c r="R9"/>
      <c r="S9"/>
      <c r="T9"/>
      <c r="U9"/>
      <c r="V9"/>
    </row>
    <row r="10" spans="2:22" ht="12" customHeight="1">
      <c r="B10" s="16"/>
      <c r="C10" s="25" t="s">
        <v>800</v>
      </c>
      <c r="N10"/>
      <c r="O10"/>
      <c r="P10"/>
      <c r="Q10"/>
      <c r="R10"/>
      <c r="S10"/>
      <c r="T10"/>
      <c r="U10"/>
      <c r="V10"/>
    </row>
    <row r="11" spans="2:22" ht="12" customHeight="1">
      <c r="B11" s="16"/>
      <c r="C11" s="25" t="s">
        <v>799</v>
      </c>
      <c r="N11"/>
      <c r="O11"/>
      <c r="P11"/>
      <c r="Q11"/>
      <c r="R11"/>
      <c r="S11"/>
      <c r="T11"/>
      <c r="U11"/>
      <c r="V11"/>
    </row>
    <row r="12" spans="2:22" ht="6" customHeight="1">
      <c r="B12" s="16"/>
      <c r="C12" s="230"/>
      <c r="N12"/>
      <c r="O12"/>
      <c r="P12"/>
      <c r="Q12"/>
      <c r="R12"/>
      <c r="S12"/>
      <c r="T12"/>
      <c r="U12"/>
      <c r="V12"/>
    </row>
    <row r="13" spans="2:22" ht="15" customHeight="1" thickBot="1">
      <c r="B13" s="16"/>
      <c r="C13" s="1644" t="s">
        <v>792</v>
      </c>
      <c r="D13" s="1644"/>
      <c r="E13" s="1644"/>
      <c r="F13" s="1644"/>
      <c r="G13" s="1644"/>
      <c r="H13" s="1644"/>
      <c r="I13" s="1644"/>
      <c r="J13" s="1644"/>
      <c r="K13" s="1644"/>
      <c r="L13" s="1644"/>
      <c r="M13" s="1644"/>
      <c r="N13"/>
      <c r="O13"/>
      <c r="P13"/>
      <c r="Q13"/>
      <c r="R13"/>
      <c r="S13"/>
      <c r="T13"/>
      <c r="U13"/>
      <c r="V13"/>
    </row>
    <row r="14" spans="2:22" ht="6" customHeight="1">
      <c r="B14" s="16"/>
      <c r="C14" s="46"/>
      <c r="I14" s="44"/>
      <c r="K14" s="44"/>
      <c r="N14"/>
      <c r="O14"/>
      <c r="P14"/>
      <c r="Q14"/>
      <c r="R14"/>
      <c r="S14"/>
      <c r="T14"/>
      <c r="U14"/>
      <c r="V14"/>
    </row>
    <row r="15" spans="2:22" ht="15" customHeight="1">
      <c r="B15" s="16"/>
      <c r="C15" s="44" t="s">
        <v>1012</v>
      </c>
      <c r="I15" s="44" t="s">
        <v>1009</v>
      </c>
      <c r="J15" s="44"/>
      <c r="N15"/>
      <c r="O15"/>
      <c r="P15"/>
      <c r="Q15"/>
      <c r="R15"/>
      <c r="S15"/>
      <c r="T15"/>
      <c r="U15"/>
      <c r="V15"/>
    </row>
    <row r="16" spans="2:22" ht="15" customHeight="1">
      <c r="B16" s="16"/>
      <c r="C16" s="980"/>
      <c r="D16" s="854"/>
      <c r="E16" s="984" t="s">
        <v>243</v>
      </c>
      <c r="F16" s="1639" t="s">
        <v>244</v>
      </c>
      <c r="G16" s="1640"/>
      <c r="I16" s="980"/>
      <c r="J16" s="854"/>
      <c r="K16" s="984" t="s">
        <v>243</v>
      </c>
      <c r="L16" s="1639" t="s">
        <v>244</v>
      </c>
      <c r="M16" s="1640"/>
      <c r="N16"/>
      <c r="O16"/>
      <c r="P16"/>
      <c r="Q16"/>
      <c r="R16"/>
      <c r="S16"/>
      <c r="T16"/>
      <c r="U16"/>
      <c r="V16"/>
    </row>
    <row r="17" spans="1:22" ht="15" customHeight="1">
      <c r="B17" s="16"/>
      <c r="C17" s="1091"/>
      <c r="D17" s="18"/>
      <c r="E17" s="671" t="s">
        <v>769</v>
      </c>
      <c r="F17" s="1637" t="s">
        <v>770</v>
      </c>
      <c r="G17" s="1638"/>
      <c r="I17" s="1091"/>
      <c r="J17" s="18"/>
      <c r="K17" s="671" t="s">
        <v>769</v>
      </c>
      <c r="L17" s="1637" t="s">
        <v>770</v>
      </c>
      <c r="M17" s="1638"/>
      <c r="N17"/>
      <c r="O17"/>
      <c r="P17"/>
      <c r="Q17"/>
      <c r="R17"/>
      <c r="S17"/>
      <c r="T17"/>
      <c r="U17"/>
      <c r="V17"/>
    </row>
    <row r="18" spans="1:22" ht="15" customHeight="1">
      <c r="B18" s="16"/>
      <c r="C18" s="926"/>
      <c r="D18" s="32"/>
      <c r="E18" s="985" t="s">
        <v>768</v>
      </c>
      <c r="F18" s="1629" t="s">
        <v>768</v>
      </c>
      <c r="G18" s="1630"/>
      <c r="I18" s="926"/>
      <c r="J18" s="32"/>
      <c r="K18" s="985" t="s">
        <v>768</v>
      </c>
      <c r="L18" s="1629" t="s">
        <v>768</v>
      </c>
      <c r="M18" s="1630"/>
      <c r="N18"/>
      <c r="O18"/>
      <c r="P18"/>
      <c r="Q18"/>
      <c r="R18"/>
      <c r="S18"/>
      <c r="T18"/>
      <c r="U18"/>
      <c r="V18"/>
    </row>
    <row r="19" spans="1:22" ht="15" customHeight="1">
      <c r="A19" t="str">
        <f t="shared" ref="A19:A38" si="0">IF(AND(D19="",J19=""),"*","")</f>
        <v/>
      </c>
      <c r="C19" s="923"/>
      <c r="D19" s="981">
        <v>1</v>
      </c>
      <c r="E19" s="855">
        <f>Geometry!I128-ColSpa1</f>
        <v>-22</v>
      </c>
      <c r="F19" s="1635">
        <f t="shared" ref="F19:F38" si="1">IF(D19="","",IF(ABS(E19)&lt;(halfeffectiveface/12),"--",E19-SIGN(E19)*halfeffectiveface/12))</f>
        <v>-19</v>
      </c>
      <c r="G19" s="1636"/>
      <c r="I19" s="923"/>
      <c r="J19" s="981">
        <v>1</v>
      </c>
      <c r="K19" s="855">
        <f>Geometry!I156-ColSpa1</f>
        <v>-22</v>
      </c>
      <c r="L19" s="1635">
        <f t="shared" ref="L19:L38" si="2">IF(J19="","",IF(ABS(K19)&lt;(halfeffectiveface/12),"--",K19-SIGN(K19)*halfeffectiveface/12))</f>
        <v>-19</v>
      </c>
      <c r="M19" s="1636"/>
      <c r="N19"/>
      <c r="O19"/>
      <c r="P19"/>
      <c r="Q19"/>
      <c r="R19"/>
      <c r="S19"/>
      <c r="T19"/>
      <c r="U19"/>
      <c r="V19"/>
    </row>
    <row r="20" spans="1:22" ht="15" customHeight="1">
      <c r="A20" t="str">
        <f t="shared" si="0"/>
        <v/>
      </c>
      <c r="C20" s="19"/>
      <c r="D20" s="979">
        <f>IF(Geometry!$G$123&gt;D19,1+D19,"")</f>
        <v>2</v>
      </c>
      <c r="E20" s="856">
        <f>IF(D20="","",Geometry!I129-ColSpa1)</f>
        <v>-7.3333333333333357</v>
      </c>
      <c r="F20" s="1622">
        <f t="shared" si="1"/>
        <v>-4.3333333333333357</v>
      </c>
      <c r="G20" s="1623"/>
      <c r="I20" s="19"/>
      <c r="J20" s="979">
        <f>IF(Geometry!$G$151&gt;J19,J19+1,"")</f>
        <v>2</v>
      </c>
      <c r="K20" s="856">
        <f>IF(J20="","",Geometry!I157-ColSpa1)</f>
        <v>-7.3333333333333357</v>
      </c>
      <c r="L20" s="1622">
        <f t="shared" si="2"/>
        <v>-4.3333333333333357</v>
      </c>
      <c r="M20" s="1623"/>
      <c r="N20"/>
      <c r="O20"/>
      <c r="P20"/>
      <c r="Q20"/>
      <c r="R20"/>
      <c r="S20"/>
      <c r="T20"/>
      <c r="U20"/>
      <c r="V20"/>
    </row>
    <row r="21" spans="1:22" ht="15" customHeight="1">
      <c r="A21" t="str">
        <f t="shared" si="0"/>
        <v/>
      </c>
      <c r="C21" s="19"/>
      <c r="D21" s="979">
        <f>IF(Geometry!$G$123&gt;D20,1+D20,"")</f>
        <v>3</v>
      </c>
      <c r="E21" s="856">
        <f>IF(D21="","",Geometry!I130-ColSpa1)</f>
        <v>7.3333333333333286</v>
      </c>
      <c r="F21" s="1622">
        <f t="shared" si="1"/>
        <v>4.3333333333333286</v>
      </c>
      <c r="G21" s="1623"/>
      <c r="I21" s="19"/>
      <c r="J21" s="979">
        <f>IF(Geometry!$G$151&gt;J20,J20+1,"")</f>
        <v>3</v>
      </c>
      <c r="K21" s="856">
        <f>IF(J21="","",Geometry!I158-ColSpa1)</f>
        <v>7.3333333333333286</v>
      </c>
      <c r="L21" s="1622">
        <f t="shared" si="2"/>
        <v>4.3333333333333286</v>
      </c>
      <c r="M21" s="1623"/>
      <c r="N21"/>
      <c r="O21"/>
      <c r="P21"/>
      <c r="Q21"/>
      <c r="R21"/>
      <c r="S21"/>
      <c r="T21"/>
      <c r="U21"/>
      <c r="V21"/>
    </row>
    <row r="22" spans="1:22" ht="15" customHeight="1">
      <c r="A22" t="str">
        <f t="shared" si="0"/>
        <v/>
      </c>
      <c r="C22" s="19"/>
      <c r="D22" s="979">
        <f>IF(Geometry!$G$123&gt;D21,1+D21,"")</f>
        <v>4</v>
      </c>
      <c r="E22" s="856">
        <f>IF(D22="","",Geometry!I131-ColSpa1)</f>
        <v>21.999999999999993</v>
      </c>
      <c r="F22" s="1622">
        <f t="shared" si="1"/>
        <v>18.999999999999993</v>
      </c>
      <c r="G22" s="1623"/>
      <c r="I22" s="19"/>
      <c r="J22" s="979">
        <f>IF(Geometry!$G$151&gt;J21,J21+1,"")</f>
        <v>4</v>
      </c>
      <c r="K22" s="856">
        <f>IF(J22="","",Geometry!I159-ColSpa1)</f>
        <v>21.999999999999993</v>
      </c>
      <c r="L22" s="1622">
        <f t="shared" si="2"/>
        <v>18.999999999999993</v>
      </c>
      <c r="M22" s="1623"/>
      <c r="N22"/>
      <c r="O22"/>
      <c r="P22"/>
      <c r="Q22"/>
      <c r="R22"/>
      <c r="S22"/>
      <c r="T22"/>
      <c r="U22"/>
      <c r="V22"/>
    </row>
    <row r="23" spans="1:22" ht="15" customHeight="1">
      <c r="A23" t="str">
        <f t="shared" si="0"/>
        <v>*</v>
      </c>
      <c r="C23" s="19"/>
      <c r="D23" s="979" t="str">
        <f>IF(Geometry!$G$123&gt;D22,1+D22,"")</f>
        <v/>
      </c>
      <c r="E23" s="856" t="str">
        <f>IF(D23="","",Geometry!I132-ColSpa1)</f>
        <v/>
      </c>
      <c r="F23" s="1622" t="str">
        <f t="shared" si="1"/>
        <v/>
      </c>
      <c r="G23" s="1623"/>
      <c r="I23" s="19"/>
      <c r="J23" s="979" t="str">
        <f>IF(Geometry!$G$151&gt;J22,J22+1,"")</f>
        <v/>
      </c>
      <c r="K23" s="856" t="str">
        <f>IF(J23="","",Geometry!I160-ColSpa1)</f>
        <v/>
      </c>
      <c r="L23" s="1622" t="str">
        <f t="shared" si="2"/>
        <v/>
      </c>
      <c r="M23" s="1623"/>
      <c r="N23"/>
      <c r="O23"/>
      <c r="P23"/>
      <c r="Q23"/>
      <c r="R23"/>
      <c r="S23"/>
      <c r="T23"/>
      <c r="U23"/>
      <c r="V23"/>
    </row>
    <row r="24" spans="1:22" ht="15" hidden="1" customHeight="1">
      <c r="A24" t="str">
        <f t="shared" si="0"/>
        <v>*</v>
      </c>
      <c r="C24" s="19"/>
      <c r="D24" s="979" t="str">
        <f>IF(Geometry!$G$123&gt;D23,1+D23,"")</f>
        <v/>
      </c>
      <c r="E24" s="856" t="str">
        <f>IF(D24="","",Geometry!I133-ColSpa1)</f>
        <v/>
      </c>
      <c r="F24" s="1622" t="str">
        <f t="shared" si="1"/>
        <v/>
      </c>
      <c r="G24" s="1623"/>
      <c r="I24" s="19"/>
      <c r="J24" s="979" t="str">
        <f>IF(Geometry!$G$151&gt;J23,J23+1,"")</f>
        <v/>
      </c>
      <c r="K24" s="856" t="str">
        <f>IF(J24="","",Geometry!I161-ColSpa1)</f>
        <v/>
      </c>
      <c r="L24" s="1622" t="str">
        <f t="shared" si="2"/>
        <v/>
      </c>
      <c r="M24" s="1623"/>
      <c r="N24"/>
      <c r="O24"/>
      <c r="P24"/>
      <c r="Q24"/>
      <c r="R24"/>
      <c r="S24"/>
      <c r="T24"/>
      <c r="U24"/>
      <c r="V24"/>
    </row>
    <row r="25" spans="1:22" ht="15" hidden="1" customHeight="1">
      <c r="A25" t="str">
        <f t="shared" si="0"/>
        <v>*</v>
      </c>
      <c r="C25" s="19"/>
      <c r="D25" s="979" t="str">
        <f>IF(Geometry!$G$123&gt;D24,1+D24,"")</f>
        <v/>
      </c>
      <c r="E25" s="856" t="str">
        <f>IF(D25="","",Geometry!I134-ColSpa1)</f>
        <v/>
      </c>
      <c r="F25" s="1622" t="str">
        <f t="shared" si="1"/>
        <v/>
      </c>
      <c r="G25" s="1623"/>
      <c r="I25" s="19"/>
      <c r="J25" s="979" t="str">
        <f>IF(Geometry!$G$151&gt;J24,J24+1,"")</f>
        <v/>
      </c>
      <c r="K25" s="856" t="str">
        <f>IF(J25="","",Geometry!I162-ColSpa1)</f>
        <v/>
      </c>
      <c r="L25" s="1622" t="str">
        <f t="shared" si="2"/>
        <v/>
      </c>
      <c r="M25" s="1623"/>
      <c r="N25"/>
      <c r="O25"/>
      <c r="P25"/>
      <c r="Q25"/>
      <c r="R25"/>
      <c r="S25"/>
      <c r="T25"/>
      <c r="U25"/>
      <c r="V25"/>
    </row>
    <row r="26" spans="1:22" ht="15" hidden="1" customHeight="1">
      <c r="A26" t="str">
        <f t="shared" si="0"/>
        <v>*</v>
      </c>
      <c r="C26" s="19"/>
      <c r="D26" s="979" t="str">
        <f>IF(Geometry!$G$123&gt;D25,1+D25,"")</f>
        <v/>
      </c>
      <c r="E26" s="856" t="str">
        <f>IF(D26="","",Geometry!I135-ColSpa1)</f>
        <v/>
      </c>
      <c r="F26" s="1622" t="str">
        <f t="shared" si="1"/>
        <v/>
      </c>
      <c r="G26" s="1623"/>
      <c r="I26" s="19"/>
      <c r="J26" s="979" t="str">
        <f>IF(Geometry!$G$151&gt;J25,J25+1,"")</f>
        <v/>
      </c>
      <c r="K26" s="856" t="str">
        <f>IF(J26="","",Geometry!I163-ColSpa1)</f>
        <v/>
      </c>
      <c r="L26" s="1622" t="str">
        <f t="shared" si="2"/>
        <v/>
      </c>
      <c r="M26" s="1623"/>
      <c r="N26"/>
      <c r="O26"/>
      <c r="P26"/>
      <c r="Q26"/>
      <c r="R26"/>
      <c r="S26"/>
      <c r="T26"/>
      <c r="U26"/>
      <c r="V26"/>
    </row>
    <row r="27" spans="1:22" ht="15" hidden="1" customHeight="1">
      <c r="A27" t="str">
        <f t="shared" si="0"/>
        <v>*</v>
      </c>
      <c r="C27" s="19"/>
      <c r="D27" s="979" t="str">
        <f>IF(Geometry!$G$123&gt;D26,1+D26,"")</f>
        <v/>
      </c>
      <c r="E27" s="856" t="str">
        <f>IF(D27="","",Geometry!I136-ColSpa1)</f>
        <v/>
      </c>
      <c r="F27" s="1622" t="str">
        <f t="shared" si="1"/>
        <v/>
      </c>
      <c r="G27" s="1623"/>
      <c r="I27" s="19"/>
      <c r="J27" s="979" t="str">
        <f>IF(Geometry!$G$151&gt;J26,J26+1,"")</f>
        <v/>
      </c>
      <c r="K27" s="856" t="str">
        <f>IF(J27="","",Geometry!I164-ColSpa1)</f>
        <v/>
      </c>
      <c r="L27" s="1622" t="str">
        <f t="shared" si="2"/>
        <v/>
      </c>
      <c r="M27" s="1623"/>
      <c r="N27"/>
      <c r="O27"/>
      <c r="P27"/>
      <c r="Q27"/>
      <c r="R27"/>
      <c r="S27"/>
      <c r="T27"/>
      <c r="U27"/>
      <c r="V27"/>
    </row>
    <row r="28" spans="1:22" ht="15" hidden="1" customHeight="1">
      <c r="A28" t="str">
        <f t="shared" si="0"/>
        <v>*</v>
      </c>
      <c r="C28" s="19"/>
      <c r="D28" s="979" t="str">
        <f>IF(Geometry!$G$123&gt;D27,1+D27,"")</f>
        <v/>
      </c>
      <c r="E28" s="856" t="str">
        <f>IF(D28="","",Geometry!I137-ColSpa1)</f>
        <v/>
      </c>
      <c r="F28" s="1622" t="str">
        <f t="shared" si="1"/>
        <v/>
      </c>
      <c r="G28" s="1623"/>
      <c r="I28" s="19"/>
      <c r="J28" s="979" t="str">
        <f>IF(Geometry!$G$151&gt;J27,J27+1,"")</f>
        <v/>
      </c>
      <c r="K28" s="856" t="str">
        <f>IF(J28="","",Geometry!I165-ColSpa1)</f>
        <v/>
      </c>
      <c r="L28" s="1622" t="str">
        <f t="shared" si="2"/>
        <v/>
      </c>
      <c r="M28" s="1623"/>
      <c r="N28"/>
      <c r="O28"/>
      <c r="P28"/>
      <c r="Q28"/>
      <c r="R28"/>
      <c r="S28"/>
      <c r="T28"/>
      <c r="U28"/>
      <c r="V28"/>
    </row>
    <row r="29" spans="1:22" ht="15" hidden="1" customHeight="1">
      <c r="A29" t="str">
        <f t="shared" si="0"/>
        <v>*</v>
      </c>
      <c r="C29" s="19"/>
      <c r="D29" s="979" t="str">
        <f>IF(Geometry!$G$123&gt;D28,1+D28,"")</f>
        <v/>
      </c>
      <c r="E29" s="856" t="str">
        <f>IF(D29="","",Geometry!I138-ColSpa1)</f>
        <v/>
      </c>
      <c r="F29" s="1622" t="str">
        <f t="shared" si="1"/>
        <v/>
      </c>
      <c r="G29" s="1623"/>
      <c r="I29" s="19"/>
      <c r="J29" s="979" t="str">
        <f>IF(Geometry!$G$151&gt;J28,J28+1,"")</f>
        <v/>
      </c>
      <c r="K29" s="856" t="str">
        <f>IF(J29="","",Geometry!I166-ColSpa1)</f>
        <v/>
      </c>
      <c r="L29" s="1622" t="str">
        <f t="shared" si="2"/>
        <v/>
      </c>
      <c r="M29" s="1623"/>
      <c r="N29"/>
      <c r="O29"/>
      <c r="P29"/>
      <c r="Q29"/>
      <c r="R29"/>
      <c r="S29"/>
      <c r="T29"/>
      <c r="U29"/>
      <c r="V29"/>
    </row>
    <row r="30" spans="1:22" ht="15" hidden="1" customHeight="1">
      <c r="A30" t="str">
        <f t="shared" si="0"/>
        <v>*</v>
      </c>
      <c r="C30" s="19"/>
      <c r="D30" s="979" t="str">
        <f>IF(Geometry!$G$123&gt;D29,1+D29,"")</f>
        <v/>
      </c>
      <c r="E30" s="856" t="str">
        <f>IF(D30="","",Geometry!I139-ColSpa1)</f>
        <v/>
      </c>
      <c r="F30" s="1622" t="str">
        <f t="shared" si="1"/>
        <v/>
      </c>
      <c r="G30" s="1623"/>
      <c r="I30" s="19"/>
      <c r="J30" s="979" t="str">
        <f>IF(Geometry!$G$151&gt;J29,J29+1,"")</f>
        <v/>
      </c>
      <c r="K30" s="856" t="str">
        <f>IF(J30="","",Geometry!I167-ColSpa1)</f>
        <v/>
      </c>
      <c r="L30" s="1622" t="str">
        <f t="shared" si="2"/>
        <v/>
      </c>
      <c r="M30" s="1623"/>
      <c r="N30"/>
      <c r="O30"/>
      <c r="P30"/>
      <c r="Q30"/>
      <c r="R30"/>
      <c r="S30"/>
      <c r="T30"/>
      <c r="U30"/>
      <c r="V30"/>
    </row>
    <row r="31" spans="1:22" ht="15" hidden="1" customHeight="1">
      <c r="A31" t="str">
        <f t="shared" si="0"/>
        <v>*</v>
      </c>
      <c r="C31" s="19"/>
      <c r="D31" s="979" t="str">
        <f>IF(Geometry!$G$123&gt;D30,1+D30,"")</f>
        <v/>
      </c>
      <c r="E31" s="856" t="str">
        <f>IF(D31="","",Geometry!I140-ColSpa1)</f>
        <v/>
      </c>
      <c r="F31" s="1622" t="str">
        <f t="shared" si="1"/>
        <v/>
      </c>
      <c r="G31" s="1623"/>
      <c r="I31" s="19"/>
      <c r="J31" s="979" t="str">
        <f>IF(Geometry!$G$151&gt;J30,J30+1,"")</f>
        <v/>
      </c>
      <c r="K31" s="856" t="str">
        <f>IF(J31="","",Geometry!I168-ColSpa1)</f>
        <v/>
      </c>
      <c r="L31" s="1622" t="str">
        <f t="shared" si="2"/>
        <v/>
      </c>
      <c r="M31" s="1623"/>
      <c r="N31"/>
      <c r="O31"/>
      <c r="P31"/>
      <c r="Q31"/>
      <c r="R31"/>
      <c r="S31"/>
      <c r="T31"/>
      <c r="U31"/>
      <c r="V31"/>
    </row>
    <row r="32" spans="1:22" ht="15" hidden="1" customHeight="1">
      <c r="A32" t="str">
        <f t="shared" si="0"/>
        <v>*</v>
      </c>
      <c r="C32" s="19"/>
      <c r="D32" s="979" t="str">
        <f>IF(Geometry!$G$123&gt;D31,1+D31,"")</f>
        <v/>
      </c>
      <c r="E32" s="856" t="str">
        <f>IF(D32="","",Geometry!I141-ColSpa1)</f>
        <v/>
      </c>
      <c r="F32" s="1622" t="str">
        <f t="shared" si="1"/>
        <v/>
      </c>
      <c r="G32" s="1623"/>
      <c r="I32" s="19"/>
      <c r="J32" s="979" t="str">
        <f>IF(Geometry!$G$151&gt;J31,J31+1,"")</f>
        <v/>
      </c>
      <c r="K32" s="856" t="str">
        <f>IF(J32="","",Geometry!I169-ColSpa1)</f>
        <v/>
      </c>
      <c r="L32" s="1622" t="str">
        <f t="shared" si="2"/>
        <v/>
      </c>
      <c r="M32" s="1623"/>
      <c r="N32"/>
      <c r="O32"/>
      <c r="P32"/>
      <c r="Q32"/>
      <c r="R32"/>
      <c r="S32"/>
      <c r="T32"/>
      <c r="U32"/>
      <c r="V32"/>
    </row>
    <row r="33" spans="1:22" ht="15" hidden="1" customHeight="1">
      <c r="A33" t="str">
        <f t="shared" si="0"/>
        <v>*</v>
      </c>
      <c r="C33" s="19"/>
      <c r="D33" s="979" t="str">
        <f>IF(Geometry!$G$123&gt;D32,1+D32,"")</f>
        <v/>
      </c>
      <c r="E33" s="856" t="str">
        <f>IF(D33="","",Geometry!I142-ColSpa1)</f>
        <v/>
      </c>
      <c r="F33" s="1622" t="str">
        <f t="shared" si="1"/>
        <v/>
      </c>
      <c r="G33" s="1623"/>
      <c r="I33" s="19"/>
      <c r="J33" s="979" t="str">
        <f>IF(Geometry!$G$151&gt;J32,J32+1,"")</f>
        <v/>
      </c>
      <c r="K33" s="856" t="str">
        <f>IF(J33="","",Geometry!I170-ColSpa1)</f>
        <v/>
      </c>
      <c r="L33" s="1622" t="str">
        <f t="shared" si="2"/>
        <v/>
      </c>
      <c r="M33" s="1623"/>
      <c r="N33"/>
      <c r="O33"/>
      <c r="P33"/>
      <c r="Q33"/>
      <c r="R33"/>
      <c r="S33"/>
      <c r="T33"/>
      <c r="U33"/>
      <c r="V33"/>
    </row>
    <row r="34" spans="1:22" ht="15" hidden="1" customHeight="1">
      <c r="A34" t="str">
        <f t="shared" si="0"/>
        <v>*</v>
      </c>
      <c r="C34" s="19"/>
      <c r="D34" s="979" t="str">
        <f>IF(Geometry!$G$123&gt;D33,1+D33,"")</f>
        <v/>
      </c>
      <c r="E34" s="856" t="str">
        <f>IF(D34="","",Geometry!I143-ColSpa1)</f>
        <v/>
      </c>
      <c r="F34" s="1622" t="str">
        <f t="shared" si="1"/>
        <v/>
      </c>
      <c r="G34" s="1623"/>
      <c r="I34" s="19"/>
      <c r="J34" s="979" t="str">
        <f>IF(Geometry!$G$151&gt;J33,J33+1,"")</f>
        <v/>
      </c>
      <c r="K34" s="856" t="str">
        <f>IF(J34="","",Geometry!I171-ColSpa1)</f>
        <v/>
      </c>
      <c r="L34" s="1622" t="str">
        <f t="shared" si="2"/>
        <v/>
      </c>
      <c r="M34" s="1623"/>
      <c r="N34"/>
      <c r="O34"/>
      <c r="P34"/>
      <c r="Q34"/>
      <c r="R34"/>
      <c r="S34"/>
      <c r="T34"/>
      <c r="U34"/>
      <c r="V34"/>
    </row>
    <row r="35" spans="1:22" ht="15" hidden="1" customHeight="1">
      <c r="A35" t="str">
        <f t="shared" si="0"/>
        <v>*</v>
      </c>
      <c r="C35" s="19"/>
      <c r="D35" s="979" t="str">
        <f>IF(Geometry!$G$123&gt;D34,1+D34,"")</f>
        <v/>
      </c>
      <c r="E35" s="856" t="str">
        <f>IF(D35="","",Geometry!I144-ColSpa1)</f>
        <v/>
      </c>
      <c r="F35" s="1622" t="str">
        <f t="shared" si="1"/>
        <v/>
      </c>
      <c r="G35" s="1623"/>
      <c r="I35" s="19"/>
      <c r="J35" s="979" t="str">
        <f>IF(Geometry!$G$151&gt;J34,J34+1,"")</f>
        <v/>
      </c>
      <c r="K35" s="856" t="str">
        <f>IF(J35="","",Geometry!I172-ColSpa1)</f>
        <v/>
      </c>
      <c r="L35" s="1622" t="str">
        <f t="shared" si="2"/>
        <v/>
      </c>
      <c r="M35" s="1623"/>
      <c r="N35"/>
      <c r="O35"/>
      <c r="P35"/>
      <c r="Q35"/>
      <c r="R35"/>
      <c r="S35"/>
      <c r="T35"/>
      <c r="U35"/>
      <c r="V35"/>
    </row>
    <row r="36" spans="1:22" ht="15" hidden="1" customHeight="1">
      <c r="A36" t="str">
        <f t="shared" si="0"/>
        <v>*</v>
      </c>
      <c r="C36" s="19"/>
      <c r="D36" s="979" t="str">
        <f>IF(Geometry!$G$123&gt;D35,1+D35,"")</f>
        <v/>
      </c>
      <c r="E36" s="856" t="str">
        <f>IF(D36="","",Geometry!I145-ColSpa1)</f>
        <v/>
      </c>
      <c r="F36" s="1622" t="str">
        <f t="shared" si="1"/>
        <v/>
      </c>
      <c r="G36" s="1623"/>
      <c r="I36" s="19"/>
      <c r="J36" s="979" t="str">
        <f>IF(Geometry!$G$151&gt;J35,J35+1,"")</f>
        <v/>
      </c>
      <c r="K36" s="856" t="str">
        <f>IF(J36="","",Geometry!I173-ColSpa1)</f>
        <v/>
      </c>
      <c r="L36" s="1622" t="str">
        <f t="shared" si="2"/>
        <v/>
      </c>
      <c r="M36" s="1623"/>
      <c r="N36"/>
      <c r="O36"/>
      <c r="P36"/>
      <c r="Q36"/>
      <c r="R36"/>
      <c r="S36"/>
      <c r="T36"/>
      <c r="U36"/>
      <c r="V36"/>
    </row>
    <row r="37" spans="1:22" ht="15" hidden="1" customHeight="1">
      <c r="A37" t="str">
        <f t="shared" si="0"/>
        <v>*</v>
      </c>
      <c r="C37" s="19"/>
      <c r="D37" s="979" t="str">
        <f>IF(Geometry!$G$123&gt;D36,1+D36,"")</f>
        <v/>
      </c>
      <c r="E37" s="856" t="str">
        <f>IF(D37="","",Geometry!I146-ColSpa1)</f>
        <v/>
      </c>
      <c r="F37" s="1622" t="str">
        <f t="shared" si="1"/>
        <v/>
      </c>
      <c r="G37" s="1623"/>
      <c r="I37" s="19"/>
      <c r="J37" s="979" t="str">
        <f>IF(Geometry!$G$151&gt;J36,J36+1,"")</f>
        <v/>
      </c>
      <c r="K37" s="856" t="str">
        <f>IF(J37="","",Geometry!I174-ColSpa1)</f>
        <v/>
      </c>
      <c r="L37" s="1622" t="str">
        <f t="shared" si="2"/>
        <v/>
      </c>
      <c r="M37" s="1623"/>
      <c r="N37"/>
      <c r="O37"/>
      <c r="P37"/>
      <c r="Q37"/>
      <c r="R37"/>
      <c r="S37"/>
      <c r="T37"/>
      <c r="U37"/>
      <c r="V37"/>
    </row>
    <row r="38" spans="1:22" ht="15" hidden="1" customHeight="1">
      <c r="A38" t="str">
        <f t="shared" si="0"/>
        <v>*</v>
      </c>
      <c r="C38" s="926"/>
      <c r="D38" s="982" t="str">
        <f>IF(Geometry!$G$123&gt;D37,1+D37,"")</f>
        <v/>
      </c>
      <c r="E38" s="941" t="str">
        <f>IF(D38="","",Geometry!I147-ColSpa1)</f>
        <v/>
      </c>
      <c r="F38" s="1631" t="str">
        <f t="shared" si="1"/>
        <v/>
      </c>
      <c r="G38" s="1632"/>
      <c r="I38" s="926"/>
      <c r="J38" s="979" t="str">
        <f>IF(Geometry!$G$151&gt;J37,J37+1,"")</f>
        <v/>
      </c>
      <c r="K38" s="941" t="str">
        <f>IF(J38="","",Geometry!I175-ColSpa1)</f>
        <v/>
      </c>
      <c r="L38" s="1631" t="str">
        <f t="shared" si="2"/>
        <v/>
      </c>
      <c r="M38" s="1632"/>
      <c r="N38"/>
      <c r="O38"/>
      <c r="P38"/>
      <c r="Q38"/>
      <c r="R38"/>
      <c r="S38"/>
      <c r="T38"/>
      <c r="U38"/>
      <c r="V38"/>
    </row>
    <row r="39" spans="1:22" ht="15" customHeight="1">
      <c r="B39" s="16"/>
      <c r="C39" s="854"/>
      <c r="D39" s="931"/>
      <c r="E39" s="967"/>
      <c r="F39" s="854"/>
      <c r="G39" s="967"/>
      <c r="H39" s="862"/>
      <c r="I39" s="931"/>
      <c r="J39" s="892"/>
      <c r="K39" s="892"/>
      <c r="L39" s="854"/>
      <c r="M39" s="854"/>
      <c r="N39"/>
      <c r="O39"/>
      <c r="P39"/>
      <c r="Q39"/>
      <c r="R39"/>
      <c r="S39"/>
      <c r="T39"/>
      <c r="U39"/>
      <c r="V39"/>
    </row>
    <row r="40" spans="1:22" ht="15" customHeight="1" thickBot="1">
      <c r="B40" s="16"/>
      <c r="C40" s="1644" t="s">
        <v>883</v>
      </c>
      <c r="D40" s="1644"/>
      <c r="E40" s="1644"/>
      <c r="F40" s="1644"/>
      <c r="G40" s="1644"/>
      <c r="H40" s="1644"/>
      <c r="I40" s="1644"/>
      <c r="J40" s="1644"/>
      <c r="K40" s="1644"/>
      <c r="L40" s="1644"/>
      <c r="M40" s="1644"/>
      <c r="N40"/>
      <c r="O40"/>
      <c r="P40"/>
      <c r="Q40"/>
      <c r="R40"/>
      <c r="S40"/>
      <c r="T40"/>
      <c r="U40"/>
      <c r="V40"/>
    </row>
    <row r="41" spans="1:22" ht="6" customHeight="1">
      <c r="B41" s="16"/>
      <c r="C41" s="863"/>
      <c r="D41" s="18"/>
      <c r="E41" s="40"/>
      <c r="F41" s="862"/>
      <c r="H41" s="862"/>
      <c r="I41" s="862"/>
      <c r="K41" s="16"/>
      <c r="L41" s="858"/>
      <c r="M41" s="858"/>
      <c r="N41"/>
      <c r="O41"/>
      <c r="P41"/>
      <c r="Q41"/>
      <c r="R41"/>
      <c r="S41"/>
      <c r="T41"/>
      <c r="U41"/>
      <c r="V41"/>
    </row>
    <row r="42" spans="1:22" ht="15" customHeight="1">
      <c r="B42" s="16"/>
      <c r="C42" s="44" t="s">
        <v>1012</v>
      </c>
      <c r="I42" s="44" t="s">
        <v>1009</v>
      </c>
      <c r="K42" s="16"/>
      <c r="L42" s="858"/>
      <c r="M42" s="858"/>
      <c r="N42"/>
      <c r="O42"/>
      <c r="P42"/>
      <c r="Q42"/>
      <c r="R42"/>
      <c r="S42"/>
      <c r="T42"/>
      <c r="U42"/>
      <c r="V42"/>
    </row>
    <row r="43" spans="1:22" ht="3.75" customHeight="1">
      <c r="B43" s="16"/>
      <c r="C43" s="44"/>
      <c r="I43" s="44"/>
      <c r="K43" s="16"/>
      <c r="L43" s="858"/>
      <c r="M43" s="858"/>
      <c r="N43"/>
      <c r="O43"/>
      <c r="P43"/>
      <c r="Q43"/>
      <c r="R43"/>
      <c r="S43"/>
      <c r="T43"/>
      <c r="U43"/>
      <c r="V43"/>
    </row>
    <row r="44" spans="1:22" ht="15" customHeight="1">
      <c r="B44" s="16"/>
      <c r="C44" s="940"/>
      <c r="D44" s="916" t="s">
        <v>721</v>
      </c>
      <c r="E44" s="242" t="s">
        <v>890</v>
      </c>
      <c r="F44" s="1633" t="s">
        <v>550</v>
      </c>
      <c r="G44" s="1634"/>
      <c r="I44" s="940"/>
      <c r="J44" s="916" t="s">
        <v>721</v>
      </c>
      <c r="K44" s="242" t="s">
        <v>890</v>
      </c>
      <c r="L44" s="1633" t="s">
        <v>550</v>
      </c>
      <c r="M44" s="1634"/>
      <c r="N44"/>
      <c r="O44"/>
      <c r="P44"/>
      <c r="Q44"/>
      <c r="R44"/>
      <c r="S44"/>
      <c r="T44"/>
      <c r="U44"/>
      <c r="V44"/>
    </row>
    <row r="45" spans="1:22" ht="15" customHeight="1">
      <c r="A45" t="str">
        <f t="shared" ref="A45:A64" si="3">IF(AND(C45="",I45=""),"*","")</f>
        <v/>
      </c>
      <c r="B45" s="894">
        <v>1</v>
      </c>
      <c r="C45" s="963" t="s">
        <v>1080</v>
      </c>
      <c r="D45" s="857">
        <f>'Conc DL'!D24</f>
        <v>110.82062499999999</v>
      </c>
      <c r="E45" s="857">
        <f>'Conc DL'!D26</f>
        <v>1.875</v>
      </c>
      <c r="F45" s="1624">
        <f>D45+E45</f>
        <v>112.69562499999999</v>
      </c>
      <c r="G45" s="1625"/>
      <c r="H45" s="894">
        <v>1</v>
      </c>
      <c r="I45" s="963" t="s">
        <v>1080</v>
      </c>
      <c r="J45" s="857">
        <f>'Conc DL'!D74</f>
        <v>133.02875</v>
      </c>
      <c r="K45" s="857">
        <f>'Conc DL'!D76</f>
        <v>2.25</v>
      </c>
      <c r="L45" s="1624">
        <f>SUM(J45:K45)</f>
        <v>135.27875</v>
      </c>
      <c r="M45" s="1625"/>
      <c r="N45"/>
      <c r="O45"/>
      <c r="P45"/>
      <c r="Q45"/>
      <c r="R45"/>
      <c r="S45"/>
      <c r="T45"/>
      <c r="U45"/>
      <c r="V45"/>
    </row>
    <row r="46" spans="1:22" ht="15" customHeight="1">
      <c r="A46" t="str">
        <f t="shared" si="3"/>
        <v/>
      </c>
      <c r="B46" s="894">
        <f t="shared" ref="B46:B64" si="4">B45+1</f>
        <v>2</v>
      </c>
      <c r="C46" s="963" t="str">
        <f>IF(D20="","","Beam 2")</f>
        <v>Beam 2</v>
      </c>
      <c r="D46" s="857">
        <f>IF(C46="","",IF(Geometry!$G$123=B46,'Conc DL'!$D$25,'Conc DL'!K32))</f>
        <v>146.9425</v>
      </c>
      <c r="E46" s="857">
        <f>IF(C46="","",IF(Geometry!$G$123=B46,'Conc DL'!$D$27,'Conc DL'!L32))</f>
        <v>1.875</v>
      </c>
      <c r="F46" s="1624">
        <f t="shared" ref="F46:F64" si="5">IF(C46="","",D46+E46)</f>
        <v>148.8175</v>
      </c>
      <c r="G46" s="1625"/>
      <c r="H46" s="894">
        <f t="shared" ref="H46:H64" si="6">H45+1</f>
        <v>2</v>
      </c>
      <c r="I46" s="963" t="str">
        <f>IF(J20="","","Beam 2")</f>
        <v>Beam 2</v>
      </c>
      <c r="J46" s="857">
        <f>IF(I46="","",IF(Geometry!$G$151=B46,'Conc DL'!$D$75,'Conc DL'!K83))</f>
        <v>172.79</v>
      </c>
      <c r="K46" s="857">
        <f>IF(I46="","",IF(Geometry!$G$151=B46,'Conc DL'!$D$77,'Conc DL'!L83))</f>
        <v>2.25</v>
      </c>
      <c r="L46" s="1624">
        <f t="shared" ref="L46:L64" si="7">IF(I46="","",SUM(J46:K46))</f>
        <v>175.04</v>
      </c>
      <c r="M46" s="1625"/>
      <c r="N46"/>
      <c r="O46"/>
      <c r="P46"/>
      <c r="Q46"/>
      <c r="R46"/>
      <c r="S46"/>
      <c r="T46"/>
      <c r="U46"/>
      <c r="V46"/>
    </row>
    <row r="47" spans="1:22" ht="15" customHeight="1">
      <c r="A47" t="str">
        <f>IF(AND(C47="",I47=""),"*","")</f>
        <v/>
      </c>
      <c r="B47" s="894">
        <f t="shared" si="4"/>
        <v>3</v>
      </c>
      <c r="C47" s="963" t="str">
        <f>IF(D21="","","Beam 3")</f>
        <v>Beam 3</v>
      </c>
      <c r="D47" s="857">
        <f>IF(C47="","",IF(Geometry!$G$123=B47,'Conc DL'!$D$25,'Conc DL'!K33))</f>
        <v>146.9425</v>
      </c>
      <c r="E47" s="857">
        <f>IF(C47="","",IF(Geometry!$G$123=B47,'Conc DL'!$D$27,'Conc DL'!L33))</f>
        <v>1.875</v>
      </c>
      <c r="F47" s="1624">
        <f t="shared" si="5"/>
        <v>148.8175</v>
      </c>
      <c r="G47" s="1625"/>
      <c r="H47" s="894">
        <f t="shared" si="6"/>
        <v>3</v>
      </c>
      <c r="I47" s="963" t="str">
        <f>IF(J21="","","Beam 3")</f>
        <v>Beam 3</v>
      </c>
      <c r="J47" s="857">
        <f>IF(I47="","",IF(Geometry!$G$151=B47,'Conc DL'!$D$75,'Conc DL'!K84))</f>
        <v>172.79</v>
      </c>
      <c r="K47" s="857">
        <f>IF(I47="","",IF(Geometry!$G$151=B47,'Conc DL'!$D$77,'Conc DL'!L84))</f>
        <v>2.25</v>
      </c>
      <c r="L47" s="1624">
        <f t="shared" si="7"/>
        <v>175.04</v>
      </c>
      <c r="M47" s="1625"/>
      <c r="N47"/>
      <c r="O47"/>
      <c r="P47"/>
      <c r="Q47"/>
      <c r="R47"/>
      <c r="S47"/>
      <c r="T47"/>
      <c r="U47"/>
      <c r="V47"/>
    </row>
    <row r="48" spans="1:22" ht="15" customHeight="1">
      <c r="A48" t="str">
        <f t="shared" si="3"/>
        <v/>
      </c>
      <c r="B48" s="894">
        <f t="shared" si="4"/>
        <v>4</v>
      </c>
      <c r="C48" s="963" t="str">
        <f>IF(D22="","","Beam 4")</f>
        <v>Beam 4</v>
      </c>
      <c r="D48" s="857">
        <f>IF(C48="","",IF(Geometry!$G$123=B48,'Conc DL'!$D$25,'Conc DL'!K34))</f>
        <v>122.77062500000001</v>
      </c>
      <c r="E48" s="857">
        <f>IF(C48="","",IF(Geometry!$G$123=B48,'Conc DL'!$D$27,'Conc DL'!L34))</f>
        <v>1.875</v>
      </c>
      <c r="F48" s="1624">
        <f t="shared" si="5"/>
        <v>124.64562500000001</v>
      </c>
      <c r="G48" s="1625"/>
      <c r="H48" s="894">
        <f t="shared" si="6"/>
        <v>4</v>
      </c>
      <c r="I48" s="963" t="str">
        <f>IF(J22="","","Beam 4")</f>
        <v>Beam 4</v>
      </c>
      <c r="J48" s="857">
        <f>IF(I48="","",IF(Geometry!$G$151=B48,'Conc DL'!$D$75,'Conc DL'!K85))</f>
        <v>143.78375</v>
      </c>
      <c r="K48" s="857">
        <f>IF(I48="","",IF(Geometry!$G$151=B48,'Conc DL'!$D$77,'Conc DL'!L85))</f>
        <v>2.25</v>
      </c>
      <c r="L48" s="1624">
        <f t="shared" si="7"/>
        <v>146.03375</v>
      </c>
      <c r="M48" s="1625"/>
      <c r="N48"/>
      <c r="O48"/>
      <c r="P48"/>
      <c r="Q48"/>
      <c r="R48"/>
      <c r="S48"/>
      <c r="T48"/>
      <c r="U48"/>
      <c r="V48"/>
    </row>
    <row r="49" spans="1:22" ht="15" customHeight="1">
      <c r="A49" t="str">
        <f t="shared" si="3"/>
        <v>*</v>
      </c>
      <c r="B49" s="894">
        <f t="shared" si="4"/>
        <v>5</v>
      </c>
      <c r="C49" s="963" t="str">
        <f>IF(D23="","","Beam 5")</f>
        <v/>
      </c>
      <c r="D49" s="857" t="str">
        <f>IF(C49="","",IF(Geometry!$G$123=B49,'Conc DL'!$D$25,'Conc DL'!K35))</f>
        <v/>
      </c>
      <c r="E49" s="857" t="str">
        <f>IF(C49="","",IF(Geometry!$G$123=B49,'Conc DL'!$D$27,'Conc DL'!L35))</f>
        <v/>
      </c>
      <c r="F49" s="1624" t="str">
        <f t="shared" si="5"/>
        <v/>
      </c>
      <c r="G49" s="1625"/>
      <c r="H49" s="983">
        <f t="shared" si="6"/>
        <v>5</v>
      </c>
      <c r="I49" s="965" t="str">
        <f>IF(J23="","","Beam 5")</f>
        <v/>
      </c>
      <c r="J49" s="857" t="str">
        <f>IF(I49="","",IF(Geometry!$G$151=B49,'Conc DL'!$D$75,'Conc DL'!K86))</f>
        <v/>
      </c>
      <c r="K49" s="857" t="str">
        <f>IF(I49="","",IF(Geometry!$G$151=B49,'Conc DL'!$D$77,'Conc DL'!L86))</f>
        <v/>
      </c>
      <c r="L49" s="1624" t="str">
        <f t="shared" si="7"/>
        <v/>
      </c>
      <c r="M49" s="1625"/>
      <c r="N49"/>
      <c r="O49"/>
      <c r="P49"/>
      <c r="Q49"/>
      <c r="R49"/>
      <c r="S49"/>
      <c r="T49"/>
      <c r="U49"/>
      <c r="V49"/>
    </row>
    <row r="50" spans="1:22" ht="15" hidden="1" customHeight="1">
      <c r="A50" t="str">
        <f t="shared" si="3"/>
        <v>*</v>
      </c>
      <c r="B50" s="894">
        <f t="shared" si="4"/>
        <v>6</v>
      </c>
      <c r="C50" s="963" t="str">
        <f>IF(D24="","","Beam 6")</f>
        <v/>
      </c>
      <c r="D50" s="857" t="str">
        <f>IF(C50="","",IF(Geometry!$G$123=B50,'Conc DL'!$D$25,'Conc DL'!K36))</f>
        <v/>
      </c>
      <c r="E50" s="857" t="str">
        <f>IF(C50="","",IF(Geometry!$G$123=B50,'Conc DL'!$D$27,'Conc DL'!L36))</f>
        <v/>
      </c>
      <c r="F50" s="1624" t="str">
        <f t="shared" si="5"/>
        <v/>
      </c>
      <c r="G50" s="1625"/>
      <c r="H50" s="894">
        <f t="shared" si="6"/>
        <v>6</v>
      </c>
      <c r="I50" s="965" t="str">
        <f>IF(J24="","","Beam 6")</f>
        <v/>
      </c>
      <c r="J50" s="857" t="str">
        <f>IF(I50="","",IF(Geometry!$G$151=B50,'Conc DL'!$D$75,'Conc DL'!K87))</f>
        <v/>
      </c>
      <c r="K50" s="857" t="str">
        <f>IF(I50="","",IF(Geometry!$G$151=B50,'Conc DL'!$D$77,'Conc DL'!L87))</f>
        <v/>
      </c>
      <c r="L50" s="1624" t="str">
        <f t="shared" si="7"/>
        <v/>
      </c>
      <c r="M50" s="1625"/>
      <c r="N50"/>
      <c r="O50"/>
      <c r="P50"/>
      <c r="Q50"/>
      <c r="R50"/>
      <c r="S50"/>
      <c r="T50"/>
      <c r="U50"/>
      <c r="V50"/>
    </row>
    <row r="51" spans="1:22" ht="15" hidden="1" customHeight="1">
      <c r="A51" t="str">
        <f t="shared" si="3"/>
        <v>*</v>
      </c>
      <c r="B51" s="894">
        <f t="shared" si="4"/>
        <v>7</v>
      </c>
      <c r="C51" s="963" t="str">
        <f>IF(D25="","","Beam 7")</f>
        <v/>
      </c>
      <c r="D51" s="857" t="str">
        <f>IF(C51="","",IF(Geometry!$G$123=B51,'Conc DL'!$D$25,'Conc DL'!K37))</f>
        <v/>
      </c>
      <c r="E51" s="857" t="str">
        <f>IF(C51="","",IF(Geometry!$G$123=B51,'Conc DL'!$D$27,'Conc DL'!L37))</f>
        <v/>
      </c>
      <c r="F51" s="1624" t="str">
        <f t="shared" si="5"/>
        <v/>
      </c>
      <c r="G51" s="1625"/>
      <c r="H51" s="894">
        <f t="shared" si="6"/>
        <v>7</v>
      </c>
      <c r="I51" s="965" t="str">
        <f>IF(J25="","","Beam 7")</f>
        <v/>
      </c>
      <c r="J51" s="857" t="str">
        <f>IF(I51="","",IF(Geometry!$G$151=B51,'Conc DL'!$D$75,'Conc DL'!K88))</f>
        <v/>
      </c>
      <c r="K51" s="857" t="str">
        <f>IF(I51="","",IF(Geometry!$G$151=B51,'Conc DL'!$D$77,'Conc DL'!L88))</f>
        <v/>
      </c>
      <c r="L51" s="1624" t="str">
        <f t="shared" si="7"/>
        <v/>
      </c>
      <c r="M51" s="1625"/>
      <c r="N51"/>
      <c r="O51"/>
      <c r="P51"/>
      <c r="Q51"/>
      <c r="R51"/>
      <c r="S51"/>
      <c r="T51"/>
      <c r="U51"/>
      <c r="V51"/>
    </row>
    <row r="52" spans="1:22" ht="15" hidden="1" customHeight="1">
      <c r="A52" t="str">
        <f t="shared" si="3"/>
        <v>*</v>
      </c>
      <c r="B52" s="894">
        <f t="shared" si="4"/>
        <v>8</v>
      </c>
      <c r="C52" s="963" t="str">
        <f>IF(D26="","","Beam 8")</f>
        <v/>
      </c>
      <c r="D52" s="857" t="str">
        <f>IF(C52="","",IF(Geometry!$G$123=B52,'Conc DL'!$D$25,'Conc DL'!K38))</f>
        <v/>
      </c>
      <c r="E52" s="857" t="str">
        <f>IF(C52="","",IF(Geometry!$G$123=B52,'Conc DL'!$D$27,'Conc DL'!L38))</f>
        <v/>
      </c>
      <c r="F52" s="1624" t="str">
        <f t="shared" si="5"/>
        <v/>
      </c>
      <c r="G52" s="1625"/>
      <c r="H52" s="894">
        <f t="shared" si="6"/>
        <v>8</v>
      </c>
      <c r="I52" s="965" t="str">
        <f>IF(J26="","","Beam 8")</f>
        <v/>
      </c>
      <c r="J52" s="857" t="str">
        <f>IF(I52="","",IF(Geometry!$G$151=B52,'Conc DL'!$D$75,'Conc DL'!K89))</f>
        <v/>
      </c>
      <c r="K52" s="857" t="str">
        <f>IF(I52="","",IF(Geometry!$G$151=B52,'Conc DL'!$D$77,'Conc DL'!L89))</f>
        <v/>
      </c>
      <c r="L52" s="1624" t="str">
        <f t="shared" si="7"/>
        <v/>
      </c>
      <c r="M52" s="1625"/>
      <c r="N52"/>
      <c r="O52"/>
      <c r="P52"/>
      <c r="Q52"/>
      <c r="R52"/>
      <c r="S52"/>
      <c r="T52"/>
      <c r="U52"/>
      <c r="V52"/>
    </row>
    <row r="53" spans="1:22" ht="15" hidden="1" customHeight="1">
      <c r="A53" t="str">
        <f t="shared" si="3"/>
        <v>*</v>
      </c>
      <c r="B53" s="894">
        <f t="shared" si="4"/>
        <v>9</v>
      </c>
      <c r="C53" s="963" t="str">
        <f>IF(D27="","","Beam 9")</f>
        <v/>
      </c>
      <c r="D53" s="857" t="str">
        <f>IF(C53="","",IF(Geometry!$G$123=B53,'Conc DL'!$D$25,'Conc DL'!K39))</f>
        <v/>
      </c>
      <c r="E53" s="857" t="str">
        <f>IF(C53="","",IF(Geometry!$G$123=B53,'Conc DL'!$D$27,'Conc DL'!L39))</f>
        <v/>
      </c>
      <c r="F53" s="1624" t="str">
        <f t="shared" si="5"/>
        <v/>
      </c>
      <c r="G53" s="1625"/>
      <c r="H53" s="894">
        <f t="shared" si="6"/>
        <v>9</v>
      </c>
      <c r="I53" s="965" t="str">
        <f>IF(J27="","","Beam 9")</f>
        <v/>
      </c>
      <c r="J53" s="857" t="str">
        <f>IF(I53="","",IF(Geometry!$G$151=B53,'Conc DL'!$D$75,'Conc DL'!K90))</f>
        <v/>
      </c>
      <c r="K53" s="857" t="str">
        <f>IF(I53="","",IF(Geometry!$G$151=B53,'Conc DL'!$D$77,'Conc DL'!L90))</f>
        <v/>
      </c>
      <c r="L53" s="1624" t="str">
        <f t="shared" si="7"/>
        <v/>
      </c>
      <c r="M53" s="1625"/>
      <c r="N53"/>
      <c r="O53"/>
      <c r="P53"/>
      <c r="Q53"/>
      <c r="R53"/>
      <c r="S53"/>
      <c r="T53"/>
      <c r="U53"/>
      <c r="V53"/>
    </row>
    <row r="54" spans="1:22" ht="15" hidden="1" customHeight="1">
      <c r="A54" t="str">
        <f t="shared" si="3"/>
        <v>*</v>
      </c>
      <c r="B54" s="894">
        <f t="shared" si="4"/>
        <v>10</v>
      </c>
      <c r="C54" s="963" t="str">
        <f>IF(D28="","","Beam 10")</f>
        <v/>
      </c>
      <c r="D54" s="857" t="str">
        <f>IF(C54="","",IF(Geometry!$G$123=B54,'Conc DL'!$D$25,'Conc DL'!K40))</f>
        <v/>
      </c>
      <c r="E54" s="857" t="str">
        <f>IF(C54="","",IF(Geometry!$G$123=B54,'Conc DL'!$D$27,'Conc DL'!L40))</f>
        <v/>
      </c>
      <c r="F54" s="1624" t="str">
        <f t="shared" si="5"/>
        <v/>
      </c>
      <c r="G54" s="1625"/>
      <c r="H54" s="894">
        <f t="shared" si="6"/>
        <v>10</v>
      </c>
      <c r="I54" s="965" t="str">
        <f>IF(J28="","","Beam 10")</f>
        <v/>
      </c>
      <c r="J54" s="857" t="str">
        <f>IF(I54="","",IF(Geometry!$G$151=B54,'Conc DL'!$D$75,'Conc DL'!K91))</f>
        <v/>
      </c>
      <c r="K54" s="857" t="str">
        <f>IF(I54="","",IF(Geometry!$G$151=B54,'Conc DL'!$D$77,'Conc DL'!L91))</f>
        <v/>
      </c>
      <c r="L54" s="1624" t="str">
        <f t="shared" si="7"/>
        <v/>
      </c>
      <c r="M54" s="1625"/>
      <c r="N54"/>
      <c r="O54"/>
      <c r="P54"/>
      <c r="Q54"/>
      <c r="R54"/>
      <c r="S54"/>
      <c r="T54"/>
      <c r="U54"/>
      <c r="V54"/>
    </row>
    <row r="55" spans="1:22" ht="15" hidden="1" customHeight="1">
      <c r="A55" t="str">
        <f t="shared" si="3"/>
        <v>*</v>
      </c>
      <c r="B55" s="894">
        <f t="shared" si="4"/>
        <v>11</v>
      </c>
      <c r="C55" s="963" t="str">
        <f>IF(D29="","","Beam 11")</f>
        <v/>
      </c>
      <c r="D55" s="857" t="str">
        <f>IF(C55="","",IF(Geometry!$G$123=B55,'Conc DL'!$D$25,'Conc DL'!K41))</f>
        <v/>
      </c>
      <c r="E55" s="857" t="str">
        <f>IF(C55="","",IF(Geometry!$G$123=B55,'Conc DL'!$D$27,'Conc DL'!L41))</f>
        <v/>
      </c>
      <c r="F55" s="1624" t="str">
        <f t="shared" si="5"/>
        <v/>
      </c>
      <c r="G55" s="1625"/>
      <c r="H55" s="894">
        <f t="shared" si="6"/>
        <v>11</v>
      </c>
      <c r="I55" s="965" t="str">
        <f>IF(J29="","","Beam 11")</f>
        <v/>
      </c>
      <c r="J55" s="857" t="str">
        <f>IF(I55="","",IF(Geometry!$G$151=B55,'Conc DL'!$D$75,'Conc DL'!K92))</f>
        <v/>
      </c>
      <c r="K55" s="857" t="str">
        <f>IF(I55="","",IF(Geometry!$G$151=B55,'Conc DL'!$D$77,'Conc DL'!L92))</f>
        <v/>
      </c>
      <c r="L55" s="1624" t="str">
        <f t="shared" si="7"/>
        <v/>
      </c>
      <c r="M55" s="1625"/>
      <c r="N55"/>
      <c r="O55"/>
      <c r="P55"/>
      <c r="Q55"/>
      <c r="R55"/>
      <c r="S55"/>
      <c r="T55"/>
      <c r="U55"/>
      <c r="V55"/>
    </row>
    <row r="56" spans="1:22" ht="15" hidden="1" customHeight="1">
      <c r="A56" t="str">
        <f t="shared" si="3"/>
        <v>*</v>
      </c>
      <c r="B56" s="894">
        <f t="shared" si="4"/>
        <v>12</v>
      </c>
      <c r="C56" s="963" t="str">
        <f>IF(D30="","","Beam 12")</f>
        <v/>
      </c>
      <c r="D56" s="857" t="str">
        <f>IF(C56="","",IF(Geometry!$G$123=B56,'Conc DL'!$D$25,'Conc DL'!K42))</f>
        <v/>
      </c>
      <c r="E56" s="857" t="str">
        <f>IF(C56="","",IF(Geometry!$G$123=B56,'Conc DL'!$D$27,'Conc DL'!L42))</f>
        <v/>
      </c>
      <c r="F56" s="1624" t="str">
        <f t="shared" si="5"/>
        <v/>
      </c>
      <c r="G56" s="1625"/>
      <c r="H56" s="894">
        <f t="shared" si="6"/>
        <v>12</v>
      </c>
      <c r="I56" s="965" t="str">
        <f>IF(J30="","","Beam 12")</f>
        <v/>
      </c>
      <c r="J56" s="857" t="str">
        <f>IF(I56="","",IF(Geometry!$G$151=B56,'Conc DL'!$D$75,'Conc DL'!K93))</f>
        <v/>
      </c>
      <c r="K56" s="857" t="str">
        <f>IF(I56="","",IF(Geometry!$G$151=B56,'Conc DL'!$D$77,'Conc DL'!L93))</f>
        <v/>
      </c>
      <c r="L56" s="1624" t="str">
        <f t="shared" si="7"/>
        <v/>
      </c>
      <c r="M56" s="1625"/>
      <c r="N56"/>
      <c r="O56"/>
      <c r="P56"/>
      <c r="Q56"/>
      <c r="R56"/>
      <c r="S56"/>
      <c r="T56"/>
      <c r="U56"/>
      <c r="V56"/>
    </row>
    <row r="57" spans="1:22" ht="15" hidden="1" customHeight="1">
      <c r="A57" t="str">
        <f t="shared" si="3"/>
        <v>*</v>
      </c>
      <c r="B57" s="894">
        <f t="shared" si="4"/>
        <v>13</v>
      </c>
      <c r="C57" s="963" t="str">
        <f>IF(D31="","","Beam 13")</f>
        <v/>
      </c>
      <c r="D57" s="857" t="str">
        <f>IF(C57="","",IF(Geometry!$G$123=B57,'Conc DL'!$D$25,'Conc DL'!K43))</f>
        <v/>
      </c>
      <c r="E57" s="857" t="str">
        <f>IF(C57="","",IF(Geometry!$G$123=B57,'Conc DL'!$D$27,'Conc DL'!L43))</f>
        <v/>
      </c>
      <c r="F57" s="1624" t="str">
        <f t="shared" si="5"/>
        <v/>
      </c>
      <c r="G57" s="1625"/>
      <c r="H57" s="894">
        <f t="shared" si="6"/>
        <v>13</v>
      </c>
      <c r="I57" s="965" t="str">
        <f>IF(J31="","","Beam 13")</f>
        <v/>
      </c>
      <c r="J57" s="857" t="str">
        <f>IF(I57="","",IF(Geometry!$G$151=B57,'Conc DL'!$D$75,'Conc DL'!K94))</f>
        <v/>
      </c>
      <c r="K57" s="857" t="str">
        <f>IF(I57="","",IF(Geometry!$G$151=B57,'Conc DL'!$D$77,'Conc DL'!L94))</f>
        <v/>
      </c>
      <c r="L57" s="1624" t="str">
        <f t="shared" si="7"/>
        <v/>
      </c>
      <c r="M57" s="1625"/>
      <c r="N57"/>
      <c r="O57"/>
      <c r="P57"/>
      <c r="Q57"/>
      <c r="R57"/>
      <c r="S57"/>
      <c r="T57"/>
      <c r="U57"/>
      <c r="V57"/>
    </row>
    <row r="58" spans="1:22" ht="15" hidden="1" customHeight="1">
      <c r="A58" t="str">
        <f t="shared" si="3"/>
        <v>*</v>
      </c>
      <c r="B58" s="894">
        <f t="shared" si="4"/>
        <v>14</v>
      </c>
      <c r="C58" s="963" t="str">
        <f>IF(D32="","","Beam 14")</f>
        <v/>
      </c>
      <c r="D58" s="857" t="str">
        <f>IF(C58="","",IF(Geometry!$G$123=B58,'Conc DL'!$D$25,'Conc DL'!K44))</f>
        <v/>
      </c>
      <c r="E58" s="857" t="str">
        <f>IF(C58="","",IF(Geometry!$G$123=B58,'Conc DL'!$D$27,'Conc DL'!L44))</f>
        <v/>
      </c>
      <c r="F58" s="1624" t="str">
        <f t="shared" si="5"/>
        <v/>
      </c>
      <c r="G58" s="1625"/>
      <c r="H58" s="894">
        <f t="shared" si="6"/>
        <v>14</v>
      </c>
      <c r="I58" s="965" t="str">
        <f>IF(J32="","","Beam 14")</f>
        <v/>
      </c>
      <c r="J58" s="857" t="str">
        <f>IF(I58="","",IF(Geometry!$G$151=B58,'Conc DL'!$D$75,'Conc DL'!K95))</f>
        <v/>
      </c>
      <c r="K58" s="857" t="str">
        <f>IF(I58="","",IF(Geometry!$G$151=B58,'Conc DL'!$D$77,'Conc DL'!L95))</f>
        <v/>
      </c>
      <c r="L58" s="1624" t="str">
        <f t="shared" si="7"/>
        <v/>
      </c>
      <c r="M58" s="1625"/>
      <c r="N58"/>
      <c r="O58"/>
      <c r="P58"/>
      <c r="Q58"/>
      <c r="R58"/>
      <c r="S58"/>
      <c r="T58"/>
      <c r="U58"/>
      <c r="V58"/>
    </row>
    <row r="59" spans="1:22" ht="15" hidden="1" customHeight="1">
      <c r="A59" t="str">
        <f t="shared" si="3"/>
        <v>*</v>
      </c>
      <c r="B59" s="894">
        <f t="shared" si="4"/>
        <v>15</v>
      </c>
      <c r="C59" s="963" t="str">
        <f>IF(D33="","","Beam 15")</f>
        <v/>
      </c>
      <c r="D59" s="857" t="str">
        <f>IF(C59="","",IF(Geometry!$G$123=B59,'Conc DL'!$D$25,'Conc DL'!K45))</f>
        <v/>
      </c>
      <c r="E59" s="857" t="str">
        <f>IF(C59="","",IF(Geometry!$G$123=B59,'Conc DL'!$D$27,'Conc DL'!L45))</f>
        <v/>
      </c>
      <c r="F59" s="1624" t="str">
        <f t="shared" si="5"/>
        <v/>
      </c>
      <c r="G59" s="1625"/>
      <c r="H59" s="894">
        <f t="shared" si="6"/>
        <v>15</v>
      </c>
      <c r="I59" s="965" t="str">
        <f>IF(J33="","","Beam 15")</f>
        <v/>
      </c>
      <c r="J59" s="857" t="str">
        <f>IF(I59="","",IF(Geometry!$G$151=B59,'Conc DL'!$D$75,'Conc DL'!K96))</f>
        <v/>
      </c>
      <c r="K59" s="857" t="str">
        <f>IF(I59="","",IF(Geometry!$G$151=B59,'Conc DL'!$D$77,'Conc DL'!L96))</f>
        <v/>
      </c>
      <c r="L59" s="1624" t="str">
        <f t="shared" si="7"/>
        <v/>
      </c>
      <c r="M59" s="1625"/>
      <c r="N59"/>
      <c r="O59"/>
      <c r="P59"/>
      <c r="Q59"/>
      <c r="R59"/>
      <c r="S59"/>
      <c r="T59"/>
      <c r="U59"/>
      <c r="V59"/>
    </row>
    <row r="60" spans="1:22" ht="15" hidden="1" customHeight="1">
      <c r="A60" t="str">
        <f t="shared" si="3"/>
        <v>*</v>
      </c>
      <c r="B60" s="894">
        <f t="shared" si="4"/>
        <v>16</v>
      </c>
      <c r="C60" s="963" t="str">
        <f>IF(D34="","","Beam 16")</f>
        <v/>
      </c>
      <c r="D60" s="857" t="str">
        <f>IF(C60="","",IF(Geometry!$G$123=B60,'Conc DL'!$D$25,'Conc DL'!K46))</f>
        <v/>
      </c>
      <c r="E60" s="857" t="str">
        <f>IF(C60="","",IF(Geometry!$G$123=B60,'Conc DL'!$D$27,'Conc DL'!L46))</f>
        <v/>
      </c>
      <c r="F60" s="1624" t="str">
        <f t="shared" si="5"/>
        <v/>
      </c>
      <c r="G60" s="1625"/>
      <c r="H60" s="894">
        <f t="shared" si="6"/>
        <v>16</v>
      </c>
      <c r="I60" s="965" t="str">
        <f>IF(J34="","","Beam 16")</f>
        <v/>
      </c>
      <c r="J60" s="857" t="str">
        <f>IF(I60="","",IF(Geometry!$G$151=B60,'Conc DL'!$D$75,'Conc DL'!K97))</f>
        <v/>
      </c>
      <c r="K60" s="857" t="str">
        <f>IF(I60="","",IF(Geometry!$G$151=B60,'Conc DL'!$D$77,'Conc DL'!L97))</f>
        <v/>
      </c>
      <c r="L60" s="1624" t="str">
        <f t="shared" si="7"/>
        <v/>
      </c>
      <c r="M60" s="1625"/>
      <c r="N60"/>
      <c r="O60"/>
      <c r="P60"/>
      <c r="Q60"/>
      <c r="R60"/>
      <c r="S60"/>
      <c r="T60"/>
      <c r="U60"/>
      <c r="V60"/>
    </row>
    <row r="61" spans="1:22" ht="15" hidden="1" customHeight="1">
      <c r="A61" t="str">
        <f t="shared" si="3"/>
        <v>*</v>
      </c>
      <c r="B61" s="894">
        <f t="shared" si="4"/>
        <v>17</v>
      </c>
      <c r="C61" s="963" t="str">
        <f>IF(D35="","","Beam 17")</f>
        <v/>
      </c>
      <c r="D61" s="857" t="str">
        <f>IF(C61="","",IF(Geometry!$G$123=B61,'Conc DL'!$D$25,'Conc DL'!K47))</f>
        <v/>
      </c>
      <c r="E61" s="857" t="str">
        <f>IF(C61="","",IF(Geometry!$G$123=B61,'Conc DL'!$D$27,'Conc DL'!L47))</f>
        <v/>
      </c>
      <c r="F61" s="1624" t="str">
        <f t="shared" si="5"/>
        <v/>
      </c>
      <c r="G61" s="1625"/>
      <c r="H61" s="894">
        <f t="shared" si="6"/>
        <v>17</v>
      </c>
      <c r="I61" s="965" t="str">
        <f>IF(J35="","","Beam 17")</f>
        <v/>
      </c>
      <c r="J61" s="857" t="str">
        <f>IF(I61="","",IF(Geometry!$G$151=B61,'Conc DL'!$D$75,'Conc DL'!K98))</f>
        <v/>
      </c>
      <c r="K61" s="857" t="str">
        <f>IF(I61="","",IF(Geometry!$G$151=B61,'Conc DL'!$D$77,'Conc DL'!L98))</f>
        <v/>
      </c>
      <c r="L61" s="1624" t="str">
        <f t="shared" si="7"/>
        <v/>
      </c>
      <c r="M61" s="1625"/>
      <c r="N61"/>
      <c r="O61"/>
      <c r="P61"/>
      <c r="Q61"/>
      <c r="R61"/>
      <c r="S61"/>
      <c r="T61"/>
      <c r="U61"/>
      <c r="V61"/>
    </row>
    <row r="62" spans="1:22" ht="15" hidden="1" customHeight="1">
      <c r="A62" t="str">
        <f t="shared" si="3"/>
        <v>*</v>
      </c>
      <c r="B62" s="894">
        <f t="shared" si="4"/>
        <v>18</v>
      </c>
      <c r="C62" s="963" t="str">
        <f>IF(D36="","","Beam 18")</f>
        <v/>
      </c>
      <c r="D62" s="857" t="str">
        <f>IF(C62="","",IF(Geometry!$G$123=B62,'Conc DL'!$D$25,'Conc DL'!K48))</f>
        <v/>
      </c>
      <c r="E62" s="857" t="str">
        <f>IF(C62="","",IF(Geometry!$G$123=B62,'Conc DL'!$D$27,'Conc DL'!L48))</f>
        <v/>
      </c>
      <c r="F62" s="1624" t="str">
        <f t="shared" si="5"/>
        <v/>
      </c>
      <c r="G62" s="1625"/>
      <c r="H62" s="894">
        <f t="shared" si="6"/>
        <v>18</v>
      </c>
      <c r="I62" s="965" t="str">
        <f>IF(J36="","","Beam 18")</f>
        <v/>
      </c>
      <c r="J62" s="857" t="str">
        <f>IF(I62="","",IF(Geometry!$G$151=B62,'Conc DL'!$D$75,'Conc DL'!K99))</f>
        <v/>
      </c>
      <c r="K62" s="857" t="str">
        <f>IF(I62="","",IF(Geometry!$G$151=B62,'Conc DL'!$D$77,'Conc DL'!L99))</f>
        <v/>
      </c>
      <c r="L62" s="1624" t="str">
        <f t="shared" si="7"/>
        <v/>
      </c>
      <c r="M62" s="1625"/>
      <c r="N62"/>
      <c r="O62"/>
      <c r="P62"/>
      <c r="Q62"/>
      <c r="R62"/>
      <c r="S62"/>
      <c r="T62"/>
      <c r="U62"/>
      <c r="V62"/>
    </row>
    <row r="63" spans="1:22" ht="15" hidden="1" customHeight="1">
      <c r="A63" t="str">
        <f t="shared" si="3"/>
        <v>*</v>
      </c>
      <c r="B63" s="894">
        <f t="shared" si="4"/>
        <v>19</v>
      </c>
      <c r="C63" s="963" t="str">
        <f>IF(D37="","","Beam 19")</f>
        <v/>
      </c>
      <c r="D63" s="857" t="str">
        <f>IF(C63="","",IF(Geometry!$G$123=B63,'Conc DL'!$D$25,'Conc DL'!K49))</f>
        <v/>
      </c>
      <c r="E63" s="857" t="str">
        <f>IF(C63="","",IF(Geometry!$G$123=B63,'Conc DL'!$D$27,'Conc DL'!L49))</f>
        <v/>
      </c>
      <c r="F63" s="1624" t="str">
        <f t="shared" si="5"/>
        <v/>
      </c>
      <c r="G63" s="1625"/>
      <c r="H63" s="894">
        <f t="shared" si="6"/>
        <v>19</v>
      </c>
      <c r="I63" s="965" t="str">
        <f>IF(J37="","","Beam 19")</f>
        <v/>
      </c>
      <c r="J63" s="857" t="str">
        <f>IF(I63="","",IF(Geometry!$G$151=B63,'Conc DL'!$D$75,'Conc DL'!K100))</f>
        <v/>
      </c>
      <c r="K63" s="857" t="str">
        <f>IF(I63="","",IF(Geometry!$G$151=B63,'Conc DL'!$D$77,'Conc DL'!L100))</f>
        <v/>
      </c>
      <c r="L63" s="1624" t="str">
        <f t="shared" si="7"/>
        <v/>
      </c>
      <c r="M63" s="1625"/>
      <c r="N63"/>
      <c r="O63"/>
      <c r="P63"/>
      <c r="Q63"/>
      <c r="R63"/>
      <c r="S63"/>
      <c r="T63"/>
      <c r="U63"/>
      <c r="V63"/>
    </row>
    <row r="64" spans="1:22" ht="15" hidden="1" customHeight="1">
      <c r="A64" t="str">
        <f t="shared" si="3"/>
        <v>*</v>
      </c>
      <c r="B64" s="894">
        <f t="shared" si="4"/>
        <v>20</v>
      </c>
      <c r="C64" s="964" t="str">
        <f>IF(D38="","","Beam 20")</f>
        <v/>
      </c>
      <c r="D64" s="962" t="str">
        <f>IF(C64="","",IF(Geometry!$G$123=B64,'Conc DL'!$D$25,'Conc DL'!K50))</f>
        <v/>
      </c>
      <c r="E64" s="962" t="str">
        <f>IF(C64="","",IF(Geometry!$G$123=B64,'Conc DL'!$D$27,'Conc DL'!L50))</f>
        <v/>
      </c>
      <c r="F64" s="1626" t="str">
        <f t="shared" si="5"/>
        <v/>
      </c>
      <c r="G64" s="1627"/>
      <c r="H64" s="894">
        <f t="shared" si="6"/>
        <v>20</v>
      </c>
      <c r="I64" s="966" t="str">
        <f>IF(J38="","","Beam 20")</f>
        <v/>
      </c>
      <c r="J64" s="962" t="str">
        <f>IF(I64="","",IF(Geometry!$G$151=B64,'Conc DL'!$D$75,'Conc DL'!K101))</f>
        <v/>
      </c>
      <c r="K64" s="962" t="str">
        <f>IF(I64="","",IF(Geometry!$G$151=B64,'Conc DL'!$D$77,'Conc DL'!L101))</f>
        <v/>
      </c>
      <c r="L64" s="1626" t="str">
        <f t="shared" si="7"/>
        <v/>
      </c>
      <c r="M64" s="1627"/>
      <c r="N64"/>
      <c r="O64"/>
      <c r="P64"/>
      <c r="Q64"/>
      <c r="R64"/>
      <c r="S64"/>
      <c r="T64"/>
      <c r="U64"/>
      <c r="V64"/>
    </row>
    <row r="65" spans="1:22" ht="15" customHeight="1">
      <c r="B65" s="894"/>
      <c r="C65" s="859" t="s">
        <v>551</v>
      </c>
      <c r="D65" s="892">
        <f>SUM(D45:D64)</f>
        <v>527.47625000000005</v>
      </c>
      <c r="E65" s="892">
        <f>SUM(E45:E64)</f>
        <v>7.5</v>
      </c>
      <c r="F65" s="1628">
        <f>SUM(F45:F64)</f>
        <v>534.97625000000005</v>
      </c>
      <c r="G65" s="1628"/>
      <c r="I65" s="859" t="s">
        <v>551</v>
      </c>
      <c r="J65" s="892">
        <f>SUM(J45:J64)</f>
        <v>622.39249999999993</v>
      </c>
      <c r="K65" s="892">
        <f>SUM(K45:K64)</f>
        <v>9</v>
      </c>
      <c r="L65" s="1628">
        <f>SUM(L45:L64)</f>
        <v>631.39249999999993</v>
      </c>
      <c r="M65" s="1628"/>
      <c r="N65"/>
      <c r="O65"/>
      <c r="P65"/>
      <c r="Q65"/>
      <c r="R65"/>
      <c r="S65"/>
      <c r="T65"/>
      <c r="U65"/>
      <c r="V65"/>
    </row>
    <row r="66" spans="1:22" ht="15" customHeight="1">
      <c r="B66" s="16"/>
      <c r="N66"/>
      <c r="O66"/>
      <c r="P66"/>
      <c r="Q66"/>
      <c r="R66"/>
      <c r="S66"/>
      <c r="T66"/>
      <c r="U66"/>
      <c r="V66"/>
    </row>
    <row r="67" spans="1:22" s="290" customFormat="1" ht="15" customHeight="1" thickBot="1">
      <c r="B67" s="100"/>
      <c r="C67" s="1619" t="s">
        <v>242</v>
      </c>
      <c r="D67" s="1619"/>
      <c r="E67" s="1619"/>
      <c r="F67" s="1619"/>
      <c r="G67" s="1619"/>
      <c r="H67" s="1619"/>
      <c r="I67" s="1619"/>
      <c r="J67" s="1619"/>
      <c r="K67" s="1619"/>
      <c r="L67" s="1619"/>
      <c r="M67" s="1619"/>
    </row>
    <row r="68" spans="1:22" s="290" customFormat="1" ht="6" customHeight="1">
      <c r="B68" s="100"/>
      <c r="C68" s="678"/>
    </row>
    <row r="69" spans="1:22" s="290" customFormat="1" ht="15" customHeight="1">
      <c r="B69" s="100"/>
      <c r="C69" s="60" t="s">
        <v>1012</v>
      </c>
      <c r="H69" s="100"/>
      <c r="I69" s="60" t="s">
        <v>1009</v>
      </c>
    </row>
    <row r="70" spans="1:22" s="290" customFormat="1" ht="3.75" customHeight="1">
      <c r="B70" s="100"/>
      <c r="C70" s="60"/>
      <c r="H70" s="100"/>
      <c r="I70" s="678"/>
    </row>
    <row r="71" spans="1:22" s="290" customFormat="1" ht="15" customHeight="1">
      <c r="B71" s="100"/>
      <c r="C71" s="794"/>
      <c r="D71" s="1652" t="s">
        <v>771</v>
      </c>
      <c r="E71" s="1653"/>
      <c r="F71" s="1652" t="s">
        <v>772</v>
      </c>
      <c r="G71" s="1655"/>
      <c r="H71" s="100"/>
      <c r="I71" s="794"/>
      <c r="J71" s="1652" t="s">
        <v>771</v>
      </c>
      <c r="K71" s="1653"/>
      <c r="L71" s="1652" t="s">
        <v>772</v>
      </c>
      <c r="M71" s="1655"/>
    </row>
    <row r="72" spans="1:22" s="290" customFormat="1" ht="15" customHeight="1">
      <c r="B72" s="100"/>
      <c r="C72" s="876"/>
      <c r="D72" s="932" t="s">
        <v>721</v>
      </c>
      <c r="E72" s="902" t="s">
        <v>890</v>
      </c>
      <c r="F72" s="932" t="s">
        <v>721</v>
      </c>
      <c r="G72" s="902" t="s">
        <v>890</v>
      </c>
      <c r="H72" s="100"/>
      <c r="I72" s="876"/>
      <c r="J72" s="932" t="s">
        <v>721</v>
      </c>
      <c r="K72" s="902" t="s">
        <v>890</v>
      </c>
      <c r="L72" s="932" t="s">
        <v>721</v>
      </c>
      <c r="M72" s="902" t="s">
        <v>890</v>
      </c>
    </row>
    <row r="73" spans="1:22" s="290" customFormat="1" ht="15" customHeight="1">
      <c r="A73" t="str">
        <f t="shared" ref="A73:A92" si="8">IF(AND(C73="",I73=""),"*","")</f>
        <v/>
      </c>
      <c r="B73" s="898"/>
      <c r="C73" s="1092" t="str">
        <f t="shared" ref="C73:C92" si="9">C45</f>
        <v>Beam 1</v>
      </c>
      <c r="D73" s="942">
        <f t="shared" ref="D73:E92" si="10">IF(AND($F19&lt;&gt;"--",$F19&lt;0),D45,"")</f>
        <v>110.82062499999999</v>
      </c>
      <c r="E73" s="942">
        <f t="shared" si="10"/>
        <v>1.875</v>
      </c>
      <c r="F73" s="942" t="str">
        <f t="shared" ref="F73:F92" si="11">IF(AND($F19&lt;&gt;"--",$F19&gt;0),D45,"")</f>
        <v/>
      </c>
      <c r="G73" s="942" t="str">
        <f t="shared" ref="G73:G92" si="12">IF(AND($F19&lt;&gt;"--",$F19&gt;0),E45,"")</f>
        <v/>
      </c>
      <c r="H73" s="100"/>
      <c r="I73" s="1092" t="str">
        <f t="shared" ref="I73:I92" si="13">I45</f>
        <v>Beam 1</v>
      </c>
      <c r="J73" s="942">
        <f t="shared" ref="J73:K92" si="14">IF(AND($L19&lt;&gt;"--",$L19&lt;0),J45,"")</f>
        <v>133.02875</v>
      </c>
      <c r="K73" s="942">
        <f t="shared" si="14"/>
        <v>2.25</v>
      </c>
      <c r="L73" s="942" t="str">
        <f t="shared" ref="L73:L92" si="15">IF(AND($L19&lt;&gt;"--",$L19&gt;0),J45,"")</f>
        <v/>
      </c>
      <c r="M73" s="942" t="str">
        <f t="shared" ref="M73:M92" si="16">IF(AND($L19&lt;&gt;"--",$L19&gt;0),K45,"")</f>
        <v/>
      </c>
    </row>
    <row r="74" spans="1:22" s="290" customFormat="1" ht="15" customHeight="1">
      <c r="A74" t="str">
        <f t="shared" si="8"/>
        <v/>
      </c>
      <c r="B74" s="898"/>
      <c r="C74" s="1093" t="str">
        <f t="shared" si="9"/>
        <v>Beam 2</v>
      </c>
      <c r="D74" s="943">
        <f t="shared" si="10"/>
        <v>146.9425</v>
      </c>
      <c r="E74" s="943">
        <f t="shared" si="10"/>
        <v>1.875</v>
      </c>
      <c r="F74" s="943" t="str">
        <f t="shared" si="11"/>
        <v/>
      </c>
      <c r="G74" s="943" t="str">
        <f t="shared" si="12"/>
        <v/>
      </c>
      <c r="H74" s="100"/>
      <c r="I74" s="1093" t="str">
        <f t="shared" si="13"/>
        <v>Beam 2</v>
      </c>
      <c r="J74" s="943">
        <f t="shared" si="14"/>
        <v>172.79</v>
      </c>
      <c r="K74" s="943">
        <f t="shared" si="14"/>
        <v>2.25</v>
      </c>
      <c r="L74" s="943" t="str">
        <f t="shared" si="15"/>
        <v/>
      </c>
      <c r="M74" s="943" t="str">
        <f t="shared" si="16"/>
        <v/>
      </c>
    </row>
    <row r="75" spans="1:22" s="290" customFormat="1" ht="15" customHeight="1">
      <c r="A75" t="str">
        <f t="shared" si="8"/>
        <v/>
      </c>
      <c r="B75" s="898"/>
      <c r="C75" s="1093" t="str">
        <f t="shared" si="9"/>
        <v>Beam 3</v>
      </c>
      <c r="D75" s="943" t="str">
        <f t="shared" si="10"/>
        <v/>
      </c>
      <c r="E75" s="943" t="str">
        <f t="shared" si="10"/>
        <v/>
      </c>
      <c r="F75" s="943">
        <f t="shared" si="11"/>
        <v>146.9425</v>
      </c>
      <c r="G75" s="943">
        <f t="shared" si="12"/>
        <v>1.875</v>
      </c>
      <c r="H75" s="100"/>
      <c r="I75" s="1093" t="str">
        <f t="shared" si="13"/>
        <v>Beam 3</v>
      </c>
      <c r="J75" s="943" t="str">
        <f t="shared" si="14"/>
        <v/>
      </c>
      <c r="K75" s="943" t="str">
        <f t="shared" si="14"/>
        <v/>
      </c>
      <c r="L75" s="943">
        <f t="shared" si="15"/>
        <v>172.79</v>
      </c>
      <c r="M75" s="943">
        <f t="shared" si="16"/>
        <v>2.25</v>
      </c>
    </row>
    <row r="76" spans="1:22" s="290" customFormat="1" ht="15" customHeight="1">
      <c r="A76" t="str">
        <f t="shared" si="8"/>
        <v/>
      </c>
      <c r="B76" s="898"/>
      <c r="C76" s="1093" t="str">
        <f t="shared" si="9"/>
        <v>Beam 4</v>
      </c>
      <c r="D76" s="943" t="str">
        <f t="shared" si="10"/>
        <v/>
      </c>
      <c r="E76" s="943" t="str">
        <f t="shared" si="10"/>
        <v/>
      </c>
      <c r="F76" s="943">
        <f t="shared" si="11"/>
        <v>122.77062500000001</v>
      </c>
      <c r="G76" s="943">
        <f t="shared" si="12"/>
        <v>1.875</v>
      </c>
      <c r="H76" s="100"/>
      <c r="I76" s="1093" t="str">
        <f t="shared" si="13"/>
        <v>Beam 4</v>
      </c>
      <c r="J76" s="943" t="str">
        <f t="shared" si="14"/>
        <v/>
      </c>
      <c r="K76" s="943" t="str">
        <f t="shared" si="14"/>
        <v/>
      </c>
      <c r="L76" s="943">
        <f t="shared" si="15"/>
        <v>143.78375</v>
      </c>
      <c r="M76" s="943">
        <f t="shared" si="16"/>
        <v>2.25</v>
      </c>
    </row>
    <row r="77" spans="1:22" s="290" customFormat="1" ht="15" customHeight="1">
      <c r="A77" t="str">
        <f t="shared" si="8"/>
        <v>*</v>
      </c>
      <c r="B77" s="898"/>
      <c r="C77" s="1093" t="str">
        <f t="shared" si="9"/>
        <v/>
      </c>
      <c r="D77" s="943" t="str">
        <f t="shared" si="10"/>
        <v/>
      </c>
      <c r="E77" s="943" t="str">
        <f t="shared" si="10"/>
        <v/>
      </c>
      <c r="F77" s="943" t="str">
        <f t="shared" si="11"/>
        <v/>
      </c>
      <c r="G77" s="943" t="str">
        <f t="shared" si="12"/>
        <v/>
      </c>
      <c r="H77" s="100"/>
      <c r="I77" s="1093" t="str">
        <f t="shared" si="13"/>
        <v/>
      </c>
      <c r="J77" s="943" t="str">
        <f t="shared" si="14"/>
        <v/>
      </c>
      <c r="K77" s="943" t="str">
        <f t="shared" si="14"/>
        <v/>
      </c>
      <c r="L77" s="943" t="str">
        <f t="shared" si="15"/>
        <v/>
      </c>
      <c r="M77" s="943" t="str">
        <f t="shared" si="16"/>
        <v/>
      </c>
    </row>
    <row r="78" spans="1:22" s="290" customFormat="1" ht="15" hidden="1" customHeight="1">
      <c r="A78" t="str">
        <f t="shared" si="8"/>
        <v>*</v>
      </c>
      <c r="B78" s="898"/>
      <c r="C78" s="1093" t="str">
        <f t="shared" si="9"/>
        <v/>
      </c>
      <c r="D78" s="943" t="str">
        <f t="shared" si="10"/>
        <v/>
      </c>
      <c r="E78" s="943" t="str">
        <f t="shared" si="10"/>
        <v/>
      </c>
      <c r="F78" s="943" t="str">
        <f t="shared" si="11"/>
        <v/>
      </c>
      <c r="G78" s="943" t="str">
        <f t="shared" si="12"/>
        <v/>
      </c>
      <c r="H78" s="100"/>
      <c r="I78" s="1093" t="str">
        <f t="shared" si="13"/>
        <v/>
      </c>
      <c r="J78" s="943" t="str">
        <f t="shared" si="14"/>
        <v/>
      </c>
      <c r="K78" s="943" t="str">
        <f t="shared" si="14"/>
        <v/>
      </c>
      <c r="L78" s="943" t="str">
        <f t="shared" si="15"/>
        <v/>
      </c>
      <c r="M78" s="943" t="str">
        <f t="shared" si="16"/>
        <v/>
      </c>
    </row>
    <row r="79" spans="1:22" s="290" customFormat="1" ht="15" hidden="1" customHeight="1">
      <c r="A79" t="str">
        <f t="shared" si="8"/>
        <v>*</v>
      </c>
      <c r="B79" s="898"/>
      <c r="C79" s="1093" t="str">
        <f t="shared" si="9"/>
        <v/>
      </c>
      <c r="D79" s="943" t="str">
        <f t="shared" si="10"/>
        <v/>
      </c>
      <c r="E79" s="943" t="str">
        <f t="shared" si="10"/>
        <v/>
      </c>
      <c r="F79" s="943" t="str">
        <f t="shared" si="11"/>
        <v/>
      </c>
      <c r="G79" s="943" t="str">
        <f t="shared" si="12"/>
        <v/>
      </c>
      <c r="H79" s="100"/>
      <c r="I79" s="1093" t="str">
        <f t="shared" si="13"/>
        <v/>
      </c>
      <c r="J79" s="943" t="str">
        <f t="shared" si="14"/>
        <v/>
      </c>
      <c r="K79" s="943" t="str">
        <f t="shared" si="14"/>
        <v/>
      </c>
      <c r="L79" s="943" t="str">
        <f t="shared" si="15"/>
        <v/>
      </c>
      <c r="M79" s="943" t="str">
        <f t="shared" si="16"/>
        <v/>
      </c>
    </row>
    <row r="80" spans="1:22" s="290" customFormat="1" ht="14.25" hidden="1" customHeight="1">
      <c r="A80" t="str">
        <f t="shared" si="8"/>
        <v>*</v>
      </c>
      <c r="B80" s="898"/>
      <c r="C80" s="1093" t="str">
        <f t="shared" si="9"/>
        <v/>
      </c>
      <c r="D80" s="943" t="str">
        <f t="shared" si="10"/>
        <v/>
      </c>
      <c r="E80" s="943" t="str">
        <f t="shared" si="10"/>
        <v/>
      </c>
      <c r="F80" s="943" t="str">
        <f t="shared" si="11"/>
        <v/>
      </c>
      <c r="G80" s="943" t="str">
        <f t="shared" si="12"/>
        <v/>
      </c>
      <c r="H80" s="100"/>
      <c r="I80" s="1093" t="str">
        <f t="shared" si="13"/>
        <v/>
      </c>
      <c r="J80" s="943" t="str">
        <f t="shared" si="14"/>
        <v/>
      </c>
      <c r="K80" s="943" t="str">
        <f t="shared" si="14"/>
        <v/>
      </c>
      <c r="L80" s="943" t="str">
        <f t="shared" si="15"/>
        <v/>
      </c>
      <c r="M80" s="943" t="str">
        <f t="shared" si="16"/>
        <v/>
      </c>
    </row>
    <row r="81" spans="1:24" s="290" customFormat="1" ht="15" hidden="1" customHeight="1">
      <c r="A81" t="str">
        <f t="shared" si="8"/>
        <v>*</v>
      </c>
      <c r="B81" s="898"/>
      <c r="C81" s="1093" t="str">
        <f t="shared" si="9"/>
        <v/>
      </c>
      <c r="D81" s="943" t="str">
        <f t="shared" si="10"/>
        <v/>
      </c>
      <c r="E81" s="943" t="str">
        <f t="shared" si="10"/>
        <v/>
      </c>
      <c r="F81" s="943" t="str">
        <f t="shared" si="11"/>
        <v/>
      </c>
      <c r="G81" s="943" t="str">
        <f t="shared" si="12"/>
        <v/>
      </c>
      <c r="H81" s="100"/>
      <c r="I81" s="1093" t="str">
        <f t="shared" si="13"/>
        <v/>
      </c>
      <c r="J81" s="943" t="str">
        <f t="shared" si="14"/>
        <v/>
      </c>
      <c r="K81" s="943" t="str">
        <f t="shared" si="14"/>
        <v/>
      </c>
      <c r="L81" s="943" t="str">
        <f t="shared" si="15"/>
        <v/>
      </c>
      <c r="M81" s="943" t="str">
        <f t="shared" si="16"/>
        <v/>
      </c>
    </row>
    <row r="82" spans="1:24" s="290" customFormat="1" ht="15" hidden="1" customHeight="1">
      <c r="A82" t="str">
        <f t="shared" si="8"/>
        <v>*</v>
      </c>
      <c r="B82" s="898"/>
      <c r="C82" s="1093" t="str">
        <f t="shared" si="9"/>
        <v/>
      </c>
      <c r="D82" s="943" t="str">
        <f t="shared" si="10"/>
        <v/>
      </c>
      <c r="E82" s="943" t="str">
        <f t="shared" si="10"/>
        <v/>
      </c>
      <c r="F82" s="943" t="str">
        <f t="shared" si="11"/>
        <v/>
      </c>
      <c r="G82" s="943" t="str">
        <f t="shared" si="12"/>
        <v/>
      </c>
      <c r="H82" s="100"/>
      <c r="I82" s="1093" t="str">
        <f t="shared" si="13"/>
        <v/>
      </c>
      <c r="J82" s="943" t="str">
        <f t="shared" si="14"/>
        <v/>
      </c>
      <c r="K82" s="943" t="str">
        <f t="shared" si="14"/>
        <v/>
      </c>
      <c r="L82" s="943" t="str">
        <f t="shared" si="15"/>
        <v/>
      </c>
      <c r="M82" s="943" t="str">
        <f t="shared" si="16"/>
        <v/>
      </c>
    </row>
    <row r="83" spans="1:24" s="290" customFormat="1" ht="15" hidden="1" customHeight="1">
      <c r="A83" t="str">
        <f t="shared" si="8"/>
        <v>*</v>
      </c>
      <c r="B83" s="898"/>
      <c r="C83" s="1093" t="str">
        <f t="shared" si="9"/>
        <v/>
      </c>
      <c r="D83" s="943" t="str">
        <f t="shared" si="10"/>
        <v/>
      </c>
      <c r="E83" s="943" t="str">
        <f t="shared" si="10"/>
        <v/>
      </c>
      <c r="F83" s="943" t="str">
        <f t="shared" si="11"/>
        <v/>
      </c>
      <c r="G83" s="943" t="str">
        <f t="shared" si="12"/>
        <v/>
      </c>
      <c r="H83" s="100"/>
      <c r="I83" s="1093" t="str">
        <f t="shared" si="13"/>
        <v/>
      </c>
      <c r="J83" s="943" t="str">
        <f t="shared" si="14"/>
        <v/>
      </c>
      <c r="K83" s="943" t="str">
        <f t="shared" si="14"/>
        <v/>
      </c>
      <c r="L83" s="943" t="str">
        <f t="shared" si="15"/>
        <v/>
      </c>
      <c r="M83" s="943" t="str">
        <f t="shared" si="16"/>
        <v/>
      </c>
    </row>
    <row r="84" spans="1:24" s="290" customFormat="1" ht="15" hidden="1" customHeight="1">
      <c r="A84" t="str">
        <f t="shared" si="8"/>
        <v>*</v>
      </c>
      <c r="B84" s="898"/>
      <c r="C84" s="1093" t="str">
        <f t="shared" si="9"/>
        <v/>
      </c>
      <c r="D84" s="943" t="str">
        <f t="shared" si="10"/>
        <v/>
      </c>
      <c r="E84" s="943" t="str">
        <f t="shared" si="10"/>
        <v/>
      </c>
      <c r="F84" s="943" t="str">
        <f t="shared" si="11"/>
        <v/>
      </c>
      <c r="G84" s="943" t="str">
        <f t="shared" si="12"/>
        <v/>
      </c>
      <c r="H84" s="100"/>
      <c r="I84" s="1093" t="str">
        <f t="shared" si="13"/>
        <v/>
      </c>
      <c r="J84" s="943" t="str">
        <f t="shared" si="14"/>
        <v/>
      </c>
      <c r="K84" s="943" t="str">
        <f t="shared" si="14"/>
        <v/>
      </c>
      <c r="L84" s="943" t="str">
        <f t="shared" si="15"/>
        <v/>
      </c>
      <c r="M84" s="943" t="str">
        <f t="shared" si="16"/>
        <v/>
      </c>
    </row>
    <row r="85" spans="1:24" s="290" customFormat="1" ht="15" hidden="1" customHeight="1">
      <c r="A85" t="str">
        <f t="shared" si="8"/>
        <v>*</v>
      </c>
      <c r="B85" s="898"/>
      <c r="C85" s="1093" t="str">
        <f t="shared" si="9"/>
        <v/>
      </c>
      <c r="D85" s="943" t="str">
        <f t="shared" si="10"/>
        <v/>
      </c>
      <c r="E85" s="943" t="str">
        <f t="shared" si="10"/>
        <v/>
      </c>
      <c r="F85" s="943" t="str">
        <f t="shared" si="11"/>
        <v/>
      </c>
      <c r="G85" s="943" t="str">
        <f t="shared" si="12"/>
        <v/>
      </c>
      <c r="H85" s="100"/>
      <c r="I85" s="1093" t="str">
        <f t="shared" si="13"/>
        <v/>
      </c>
      <c r="J85" s="943" t="str">
        <f t="shared" si="14"/>
        <v/>
      </c>
      <c r="K85" s="943" t="str">
        <f t="shared" si="14"/>
        <v/>
      </c>
      <c r="L85" s="943" t="str">
        <f t="shared" si="15"/>
        <v/>
      </c>
      <c r="M85" s="943" t="str">
        <f t="shared" si="16"/>
        <v/>
      </c>
    </row>
    <row r="86" spans="1:24" s="290" customFormat="1" ht="15" hidden="1" customHeight="1">
      <c r="A86" t="str">
        <f t="shared" si="8"/>
        <v>*</v>
      </c>
      <c r="B86" s="898"/>
      <c r="C86" s="1093" t="str">
        <f t="shared" si="9"/>
        <v/>
      </c>
      <c r="D86" s="943" t="str">
        <f t="shared" si="10"/>
        <v/>
      </c>
      <c r="E86" s="943" t="str">
        <f t="shared" si="10"/>
        <v/>
      </c>
      <c r="F86" s="943" t="str">
        <f t="shared" si="11"/>
        <v/>
      </c>
      <c r="G86" s="943" t="str">
        <f t="shared" si="12"/>
        <v/>
      </c>
      <c r="H86" s="100"/>
      <c r="I86" s="1093" t="str">
        <f t="shared" si="13"/>
        <v/>
      </c>
      <c r="J86" s="943" t="str">
        <f t="shared" si="14"/>
        <v/>
      </c>
      <c r="K86" s="943" t="str">
        <f t="shared" si="14"/>
        <v/>
      </c>
      <c r="L86" s="943" t="str">
        <f t="shared" si="15"/>
        <v/>
      </c>
      <c r="M86" s="943" t="str">
        <f t="shared" si="16"/>
        <v/>
      </c>
    </row>
    <row r="87" spans="1:24" s="290" customFormat="1" ht="15" hidden="1" customHeight="1">
      <c r="A87" t="str">
        <f t="shared" si="8"/>
        <v>*</v>
      </c>
      <c r="B87" s="898"/>
      <c r="C87" s="1093" t="str">
        <f t="shared" si="9"/>
        <v/>
      </c>
      <c r="D87" s="943" t="str">
        <f t="shared" si="10"/>
        <v/>
      </c>
      <c r="E87" s="943" t="str">
        <f t="shared" si="10"/>
        <v/>
      </c>
      <c r="F87" s="943" t="str">
        <f t="shared" si="11"/>
        <v/>
      </c>
      <c r="G87" s="943" t="str">
        <f t="shared" si="12"/>
        <v/>
      </c>
      <c r="H87" s="100"/>
      <c r="I87" s="1093" t="str">
        <f t="shared" si="13"/>
        <v/>
      </c>
      <c r="J87" s="943" t="str">
        <f t="shared" si="14"/>
        <v/>
      </c>
      <c r="K87" s="943" t="str">
        <f t="shared" si="14"/>
        <v/>
      </c>
      <c r="L87" s="943" t="str">
        <f t="shared" si="15"/>
        <v/>
      </c>
      <c r="M87" s="943" t="str">
        <f t="shared" si="16"/>
        <v/>
      </c>
    </row>
    <row r="88" spans="1:24" s="290" customFormat="1" ht="15" hidden="1" customHeight="1">
      <c r="A88" t="str">
        <f t="shared" si="8"/>
        <v>*</v>
      </c>
      <c r="B88" s="898"/>
      <c r="C88" s="1093" t="str">
        <f t="shared" si="9"/>
        <v/>
      </c>
      <c r="D88" s="943" t="str">
        <f t="shared" si="10"/>
        <v/>
      </c>
      <c r="E88" s="943" t="str">
        <f t="shared" si="10"/>
        <v/>
      </c>
      <c r="F88" s="943" t="str">
        <f t="shared" si="11"/>
        <v/>
      </c>
      <c r="G88" s="943" t="str">
        <f t="shared" si="12"/>
        <v/>
      </c>
      <c r="H88" s="100"/>
      <c r="I88" s="1093" t="str">
        <f t="shared" si="13"/>
        <v/>
      </c>
      <c r="J88" s="943" t="str">
        <f t="shared" si="14"/>
        <v/>
      </c>
      <c r="K88" s="943" t="str">
        <f t="shared" si="14"/>
        <v/>
      </c>
      <c r="L88" s="943" t="str">
        <f t="shared" si="15"/>
        <v/>
      </c>
      <c r="M88" s="943" t="str">
        <f t="shared" si="16"/>
        <v/>
      </c>
    </row>
    <row r="89" spans="1:24" s="290" customFormat="1" ht="15" hidden="1" customHeight="1">
      <c r="A89" t="str">
        <f t="shared" si="8"/>
        <v>*</v>
      </c>
      <c r="B89" s="898"/>
      <c r="C89" s="1093" t="str">
        <f t="shared" si="9"/>
        <v/>
      </c>
      <c r="D89" s="943" t="str">
        <f t="shared" si="10"/>
        <v/>
      </c>
      <c r="E89" s="943" t="str">
        <f t="shared" si="10"/>
        <v/>
      </c>
      <c r="F89" s="943" t="str">
        <f t="shared" si="11"/>
        <v/>
      </c>
      <c r="G89" s="943" t="str">
        <f t="shared" si="12"/>
        <v/>
      </c>
      <c r="H89" s="100"/>
      <c r="I89" s="1093" t="str">
        <f t="shared" si="13"/>
        <v/>
      </c>
      <c r="J89" s="943" t="str">
        <f t="shared" si="14"/>
        <v/>
      </c>
      <c r="K89" s="943" t="str">
        <f t="shared" si="14"/>
        <v/>
      </c>
      <c r="L89" s="943" t="str">
        <f t="shared" si="15"/>
        <v/>
      </c>
      <c r="M89" s="943" t="str">
        <f t="shared" si="16"/>
        <v/>
      </c>
    </row>
    <row r="90" spans="1:24" s="290" customFormat="1" ht="15" hidden="1" customHeight="1">
      <c r="A90" t="str">
        <f t="shared" si="8"/>
        <v>*</v>
      </c>
      <c r="B90" s="898"/>
      <c r="C90" s="1093" t="str">
        <f t="shared" si="9"/>
        <v/>
      </c>
      <c r="D90" s="943" t="str">
        <f t="shared" si="10"/>
        <v/>
      </c>
      <c r="E90" s="943" t="str">
        <f t="shared" si="10"/>
        <v/>
      </c>
      <c r="F90" s="943" t="str">
        <f t="shared" si="11"/>
        <v/>
      </c>
      <c r="G90" s="943" t="str">
        <f t="shared" si="12"/>
        <v/>
      </c>
      <c r="H90" s="100"/>
      <c r="I90" s="1093" t="str">
        <f t="shared" si="13"/>
        <v/>
      </c>
      <c r="J90" s="943" t="str">
        <f t="shared" si="14"/>
        <v/>
      </c>
      <c r="K90" s="943" t="str">
        <f t="shared" si="14"/>
        <v/>
      </c>
      <c r="L90" s="943" t="str">
        <f t="shared" si="15"/>
        <v/>
      </c>
      <c r="M90" s="943" t="str">
        <f t="shared" si="16"/>
        <v/>
      </c>
    </row>
    <row r="91" spans="1:24" s="290" customFormat="1" ht="15" hidden="1" customHeight="1">
      <c r="A91" t="str">
        <f t="shared" si="8"/>
        <v>*</v>
      </c>
      <c r="B91" s="898"/>
      <c r="C91" s="1093" t="str">
        <f t="shared" si="9"/>
        <v/>
      </c>
      <c r="D91" s="943" t="str">
        <f t="shared" si="10"/>
        <v/>
      </c>
      <c r="E91" s="943" t="str">
        <f t="shared" si="10"/>
        <v/>
      </c>
      <c r="F91" s="943" t="str">
        <f t="shared" si="11"/>
        <v/>
      </c>
      <c r="G91" s="943" t="str">
        <f t="shared" si="12"/>
        <v/>
      </c>
      <c r="H91" s="100"/>
      <c r="I91" s="1093" t="str">
        <f t="shared" si="13"/>
        <v/>
      </c>
      <c r="J91" s="943" t="str">
        <f t="shared" si="14"/>
        <v/>
      </c>
      <c r="K91" s="943" t="str">
        <f t="shared" si="14"/>
        <v/>
      </c>
      <c r="L91" s="943" t="str">
        <f t="shared" si="15"/>
        <v/>
      </c>
      <c r="M91" s="943" t="str">
        <f t="shared" si="16"/>
        <v/>
      </c>
    </row>
    <row r="92" spans="1:24" s="290" customFormat="1" ht="15" hidden="1" customHeight="1">
      <c r="A92" t="str">
        <f t="shared" si="8"/>
        <v>*</v>
      </c>
      <c r="B92" s="898"/>
      <c r="C92" s="1094" t="str">
        <f t="shared" si="9"/>
        <v/>
      </c>
      <c r="D92" s="944" t="str">
        <f t="shared" si="10"/>
        <v/>
      </c>
      <c r="E92" s="944" t="str">
        <f t="shared" si="10"/>
        <v/>
      </c>
      <c r="F92" s="944" t="str">
        <f t="shared" si="11"/>
        <v/>
      </c>
      <c r="G92" s="944" t="str">
        <f t="shared" si="12"/>
        <v/>
      </c>
      <c r="H92" s="100"/>
      <c r="I92" s="1094" t="str">
        <f t="shared" si="13"/>
        <v/>
      </c>
      <c r="J92" s="944" t="str">
        <f t="shared" si="14"/>
        <v/>
      </c>
      <c r="K92" s="944" t="str">
        <f t="shared" si="14"/>
        <v/>
      </c>
      <c r="L92" s="944" t="str">
        <f t="shared" si="15"/>
        <v/>
      </c>
      <c r="M92" s="944" t="str">
        <f t="shared" si="16"/>
        <v/>
      </c>
      <c r="X92" s="42"/>
    </row>
    <row r="93" spans="1:24" s="290" customFormat="1" ht="15" customHeight="1">
      <c r="A93" t="s">
        <v>477</v>
      </c>
      <c r="B93" s="100"/>
      <c r="C93" s="879" t="s">
        <v>885</v>
      </c>
      <c r="D93" s="938">
        <f>SUM(D73:D92)</f>
        <v>257.763125</v>
      </c>
      <c r="E93" s="938">
        <f>SUM(E73:E92)</f>
        <v>3.75</v>
      </c>
      <c r="F93" s="938">
        <f>SUM(F73:F92)</f>
        <v>269.71312499999999</v>
      </c>
      <c r="G93" s="938">
        <f>SUM(G73:G92)</f>
        <v>3.75</v>
      </c>
      <c r="H93" s="100"/>
      <c r="I93" s="879" t="s">
        <v>885</v>
      </c>
      <c r="J93" s="938">
        <f>SUM(J73:J92)</f>
        <v>305.81875000000002</v>
      </c>
      <c r="K93" s="938">
        <f>SUM(K73:K92)</f>
        <v>4.5</v>
      </c>
      <c r="L93" s="938">
        <f>SUM(L73:L92)</f>
        <v>316.57375000000002</v>
      </c>
      <c r="M93" s="938">
        <f>SUM(M73:M92)</f>
        <v>4.5</v>
      </c>
    </row>
    <row r="94" spans="1:24" s="290" customFormat="1" ht="6" customHeight="1">
      <c r="B94" s="100"/>
      <c r="C94" s="124"/>
      <c r="D94" s="878"/>
      <c r="E94" s="878"/>
      <c r="F94" s="878"/>
      <c r="G94" s="878"/>
      <c r="H94" s="878"/>
      <c r="I94" s="878"/>
    </row>
    <row r="95" spans="1:24" s="290" customFormat="1" ht="15" customHeight="1">
      <c r="B95" s="100"/>
      <c r="C95" s="124"/>
      <c r="D95" s="878"/>
      <c r="E95" s="878"/>
      <c r="F95" s="878"/>
      <c r="G95" s="878"/>
      <c r="H95" s="878"/>
      <c r="I95" s="878"/>
      <c r="J95" s="878"/>
      <c r="K95" s="878"/>
    </row>
    <row r="96" spans="1:24" s="25" customFormat="1" ht="15" customHeight="1">
      <c r="B96" s="27"/>
      <c r="C96" s="992" t="s">
        <v>567</v>
      </c>
      <c r="D96" s="878"/>
      <c r="E96" s="290"/>
      <c r="F96" s="290"/>
      <c r="I96" s="39"/>
    </row>
    <row r="97" spans="2:22" s="25" customFormat="1" ht="15" customHeight="1">
      <c r="B97" s="27"/>
      <c r="C97" s="290"/>
      <c r="F97" s="661" t="s">
        <v>476</v>
      </c>
      <c r="G97" s="905">
        <f>CapWeight+'Conc DL'!G117</f>
        <v>171.6</v>
      </c>
      <c r="H97" s="290"/>
      <c r="J97"/>
      <c r="K97"/>
      <c r="L97"/>
    </row>
    <row r="98" spans="2:22" s="25" customFormat="1" ht="15" customHeight="1">
      <c r="B98" s="27"/>
      <c r="C98" s="290"/>
      <c r="F98" s="1001" t="s">
        <v>475</v>
      </c>
      <c r="G98" s="1003">
        <f>caplength</f>
        <v>48</v>
      </c>
      <c r="H98" s="290"/>
      <c r="J98"/>
      <c r="K98"/>
      <c r="L98"/>
    </row>
    <row r="99" spans="2:22" s="25" customFormat="1" ht="15" customHeight="1">
      <c r="B99" s="27"/>
      <c r="C99" s="878"/>
      <c r="F99" s="1002" t="s">
        <v>773</v>
      </c>
      <c r="G99" s="1003">
        <f>ColSpa1-halfeffectiveface/12</f>
        <v>21</v>
      </c>
      <c r="H99" s="290"/>
      <c r="I99" s="34" t="str">
        <f>"{"&amp;FIXED(ColSpa1,2)&amp;" ft - "&amp;FIXED(halfeffectiveface*2/12,2)&amp;" ft / 2}"</f>
        <v>{24.00 ft - 6.00 ft / 2}</v>
      </c>
      <c r="J99"/>
      <c r="K99"/>
      <c r="L99"/>
    </row>
    <row r="100" spans="2:22" s="25" customFormat="1" ht="15" customHeight="1">
      <c r="B100" s="27"/>
      <c r="C100" s="878"/>
      <c r="F100" s="1002" t="s">
        <v>774</v>
      </c>
      <c r="G100" s="1003">
        <f>G98-G99-2*halfeffectiveface/12</f>
        <v>21</v>
      </c>
      <c r="H100" s="290"/>
      <c r="I100" s="34" t="str">
        <f>"{"&amp;FIXED(G98,1)&amp;" ft - "&amp;FIXED(G99,2)&amp;" ft - "&amp;FIXED(halfeffectiveface*2/12,2)&amp;" ft}"</f>
        <v>{48.0 ft - 21.00 ft - 6.00 ft}</v>
      </c>
      <c r="J100"/>
      <c r="K100"/>
      <c r="L100"/>
    </row>
    <row r="101" spans="2:22" s="25" customFormat="1" ht="15" customHeight="1">
      <c r="B101" s="27"/>
      <c r="F101" s="1095" t="s">
        <v>775</v>
      </c>
      <c r="G101" s="1096">
        <f>G97*G99/G98</f>
        <v>75.075000000000003</v>
      </c>
      <c r="H101" s="211"/>
      <c r="I101" s="679" t="str">
        <f>"{"&amp;FIXED(G97,1)&amp;"k x ("&amp;FIXED(G99,1)&amp;" ft / "&amp;FIXED(G98,1)&amp;" ft)}"</f>
        <v>{171.6k x (21.0 ft / 48.0 ft)}</v>
      </c>
      <c r="J101"/>
      <c r="K101"/>
      <c r="L101"/>
    </row>
    <row r="102" spans="2:22" s="25" customFormat="1" ht="15" customHeight="1">
      <c r="B102" s="27"/>
      <c r="F102" s="1095" t="s">
        <v>776</v>
      </c>
      <c r="G102" s="1096">
        <f>G97*G100/G98</f>
        <v>75.075000000000003</v>
      </c>
      <c r="H102" s="211"/>
      <c r="I102" s="679" t="str">
        <f>"{"&amp;FIXED(G97,1)&amp;"k x ("&amp;FIXED(G100,1)&amp;" ft / "&amp;FIXED(G98,1)&amp;" ft)}"</f>
        <v>{171.6k x (21.0 ft / 48.0 ft)}</v>
      </c>
      <c r="J102"/>
      <c r="K102"/>
      <c r="L102"/>
    </row>
    <row r="103" spans="2:22" s="25" customFormat="1" ht="15" customHeight="1">
      <c r="B103" s="27"/>
      <c r="C103" s="1004"/>
      <c r="E103" s="990"/>
      <c r="I103" s="39"/>
    </row>
    <row r="104" spans="2:22" s="25" customFormat="1" ht="15" customHeight="1">
      <c r="B104" s="27"/>
      <c r="C104" s="860" t="s">
        <v>413</v>
      </c>
      <c r="D104" s="947">
        <v>1.25</v>
      </c>
      <c r="E104" s="870"/>
      <c r="F104" s="860" t="s">
        <v>414</v>
      </c>
      <c r="G104" s="947">
        <v>1.5</v>
      </c>
      <c r="I104" s="880"/>
      <c r="J104" s="870"/>
      <c r="K104" s="870"/>
    </row>
    <row r="105" spans="2:22" s="25" customFormat="1" ht="15" customHeight="1">
      <c r="B105" s="27"/>
      <c r="C105" s="880" t="s">
        <v>777</v>
      </c>
      <c r="D105" s="870"/>
      <c r="E105" s="870"/>
      <c r="I105" s="880" t="s">
        <v>778</v>
      </c>
      <c r="J105" s="870"/>
      <c r="K105" s="870"/>
    </row>
    <row r="106" spans="2:22" s="25" customFormat="1" ht="15" customHeight="1">
      <c r="B106" s="27"/>
      <c r="C106" s="1109" t="s">
        <v>771</v>
      </c>
      <c r="D106" s="909"/>
      <c r="E106" s="909"/>
      <c r="F106" s="1110" t="s">
        <v>772</v>
      </c>
      <c r="G106" s="1111"/>
      <c r="H106" s="1111"/>
      <c r="I106" s="1109" t="s">
        <v>771</v>
      </c>
      <c r="J106" s="909"/>
      <c r="K106" s="909"/>
      <c r="L106" s="1110" t="s">
        <v>772</v>
      </c>
    </row>
    <row r="107" spans="2:22" ht="15" customHeight="1">
      <c r="B107" s="16"/>
      <c r="C107" t="s">
        <v>552</v>
      </c>
      <c r="D107" s="864">
        <f>(D93+J93+G101)*$D$104</f>
        <v>798.32109375000016</v>
      </c>
      <c r="F107" t="s">
        <v>552</v>
      </c>
      <c r="G107" s="864">
        <f>(F93+L93+G102)*$D$104</f>
        <v>826.70234375000007</v>
      </c>
      <c r="I107" s="44" t="s">
        <v>416</v>
      </c>
      <c r="J107" s="906">
        <f>(MAX(D93,J93)+G101)*$D$104</f>
        <v>476.1171875</v>
      </c>
      <c r="L107" s="44" t="s">
        <v>416</v>
      </c>
      <c r="M107" s="906">
        <f>(MAX(F93,L93)+G102)*$D$104</f>
        <v>489.56093750000002</v>
      </c>
      <c r="N107"/>
      <c r="O107"/>
      <c r="P107"/>
      <c r="Q107"/>
      <c r="R107"/>
      <c r="S107"/>
      <c r="T107"/>
      <c r="U107"/>
      <c r="V107"/>
    </row>
    <row r="108" spans="2:22" ht="15" customHeight="1">
      <c r="B108" s="16"/>
      <c r="C108" t="s">
        <v>553</v>
      </c>
      <c r="D108" s="864">
        <f>(E93+K93)*$G$104</f>
        <v>12.375</v>
      </c>
      <c r="F108" t="s">
        <v>553</v>
      </c>
      <c r="G108" s="864">
        <f>(G93+M93)*$G$104</f>
        <v>12.375</v>
      </c>
      <c r="I108" s="881" t="str">
        <f>IF(D93=J93,"",IF(D93&gt;J93,"Backward Span Controls","Forward Span Controls"))</f>
        <v>Forward Span Controls</v>
      </c>
      <c r="J108" s="864"/>
      <c r="L108" s="881" t="str">
        <f>IF(F93=L93,"",IF(F93&gt;L93,"Backward Span Controls","Forward Span Controls"))</f>
        <v>Forward Span Controls</v>
      </c>
      <c r="M108" s="864"/>
      <c r="N108"/>
      <c r="O108"/>
      <c r="P108"/>
      <c r="Q108"/>
      <c r="R108"/>
      <c r="S108"/>
      <c r="T108"/>
      <c r="U108"/>
      <c r="V108"/>
    </row>
    <row r="109" spans="2:22" ht="15" customHeight="1">
      <c r="B109" s="16"/>
      <c r="C109" s="44" t="s">
        <v>415</v>
      </c>
      <c r="D109" s="906">
        <f>D107+D108</f>
        <v>810.69609375000016</v>
      </c>
      <c r="F109" s="44" t="s">
        <v>415</v>
      </c>
      <c r="G109" s="906">
        <f>G107+G108</f>
        <v>839.07734375000007</v>
      </c>
      <c r="J109" s="864"/>
      <c r="M109" s="864"/>
      <c r="N109"/>
      <c r="O109"/>
      <c r="P109"/>
      <c r="Q109"/>
      <c r="R109"/>
      <c r="S109"/>
      <c r="T109"/>
      <c r="U109"/>
      <c r="V109"/>
    </row>
    <row r="110" spans="2:22" ht="12" customHeight="1">
      <c r="B110" s="16"/>
      <c r="D110" s="864"/>
      <c r="G110" s="864"/>
      <c r="J110" s="864"/>
      <c r="N110"/>
      <c r="O110"/>
      <c r="P110"/>
      <c r="Q110"/>
      <c r="R110"/>
      <c r="S110"/>
      <c r="T110"/>
      <c r="U110"/>
      <c r="V110"/>
    </row>
    <row r="111" spans="2:22" ht="15" customHeight="1" thickBot="1">
      <c r="B111" s="16"/>
      <c r="C111" s="1644" t="s">
        <v>444</v>
      </c>
      <c r="D111" s="1644"/>
      <c r="E111" s="1644"/>
      <c r="F111" s="1644"/>
      <c r="G111" s="1644"/>
      <c r="H111" s="1644"/>
      <c r="I111" s="1644"/>
      <c r="J111" s="1644"/>
      <c r="K111" s="1644"/>
      <c r="L111" s="1644"/>
      <c r="M111" s="1644"/>
      <c r="N111"/>
      <c r="O111"/>
      <c r="P111"/>
      <c r="Q111"/>
      <c r="R111"/>
      <c r="S111"/>
      <c r="T111"/>
      <c r="U111"/>
      <c r="V111"/>
    </row>
    <row r="112" spans="2:22" ht="15" customHeight="1">
      <c r="B112" s="16"/>
      <c r="C112" s="886" t="s">
        <v>558</v>
      </c>
      <c r="J112" s="16" t="s">
        <v>779</v>
      </c>
      <c r="K112" s="15">
        <f>BearingDist/12</f>
        <v>1</v>
      </c>
      <c r="L112" t="s">
        <v>156</v>
      </c>
      <c r="N112"/>
      <c r="O112"/>
      <c r="P112"/>
      <c r="Q112"/>
      <c r="R112"/>
      <c r="S112"/>
      <c r="T112"/>
      <c r="U112"/>
      <c r="V112"/>
    </row>
    <row r="113" spans="1:22" ht="6" customHeight="1">
      <c r="B113" s="16"/>
      <c r="C113" s="872"/>
      <c r="N113"/>
      <c r="O113"/>
      <c r="P113"/>
      <c r="Q113"/>
      <c r="R113"/>
      <c r="S113"/>
      <c r="T113"/>
      <c r="U113"/>
      <c r="V113"/>
    </row>
    <row r="114" spans="1:22" ht="15" customHeight="1">
      <c r="B114" s="16"/>
      <c r="C114" s="71" t="s">
        <v>1012</v>
      </c>
      <c r="D114" s="140"/>
      <c r="E114" s="140"/>
      <c r="F114" s="140"/>
      <c r="G114" s="140"/>
      <c r="H114" s="140"/>
      <c r="I114" s="140"/>
      <c r="N114"/>
      <c r="O114"/>
      <c r="P114"/>
      <c r="Q114"/>
      <c r="R114"/>
      <c r="S114"/>
      <c r="T114"/>
      <c r="U114"/>
      <c r="V114"/>
    </row>
    <row r="115" spans="1:22" ht="3.75" customHeight="1">
      <c r="B115" s="16"/>
      <c r="C115" s="71"/>
      <c r="D115" s="140"/>
      <c r="E115" s="140"/>
      <c r="F115" s="140"/>
      <c r="G115" s="140"/>
      <c r="H115" s="140"/>
      <c r="I115" s="140"/>
      <c r="N115"/>
      <c r="O115"/>
      <c r="P115"/>
      <c r="Q115"/>
      <c r="R115"/>
      <c r="S115"/>
      <c r="T115"/>
      <c r="U115"/>
      <c r="V115"/>
    </row>
    <row r="116" spans="1:22" ht="15" customHeight="1">
      <c r="B116" s="16"/>
      <c r="C116" s="71"/>
      <c r="D116" s="1654" t="s">
        <v>771</v>
      </c>
      <c r="E116" s="1654"/>
      <c r="F116" s="1654"/>
      <c r="G116" s="1654" t="s">
        <v>772</v>
      </c>
      <c r="H116" s="1654"/>
      <c r="I116" s="1654"/>
      <c r="N116"/>
      <c r="O116"/>
      <c r="P116"/>
      <c r="Q116"/>
      <c r="R116"/>
      <c r="S116"/>
      <c r="T116"/>
      <c r="U116"/>
      <c r="V116"/>
    </row>
    <row r="117" spans="1:22" ht="15" customHeight="1">
      <c r="B117" s="16"/>
      <c r="C117" s="303"/>
      <c r="D117" s="903" t="s">
        <v>721</v>
      </c>
      <c r="E117" s="242" t="s">
        <v>890</v>
      </c>
      <c r="F117" s="242" t="s">
        <v>547</v>
      </c>
      <c r="G117" s="903" t="s">
        <v>721</v>
      </c>
      <c r="H117" s="242" t="s">
        <v>890</v>
      </c>
      <c r="I117" s="242" t="s">
        <v>547</v>
      </c>
      <c r="N117"/>
      <c r="O117"/>
      <c r="P117"/>
      <c r="Q117"/>
      <c r="R117"/>
      <c r="S117"/>
      <c r="T117"/>
      <c r="U117"/>
      <c r="V117"/>
    </row>
    <row r="118" spans="1:22" ht="15" customHeight="1">
      <c r="A118" t="str">
        <f t="shared" ref="A118:A137" si="17">IF(C118="","*","")</f>
        <v/>
      </c>
      <c r="B118" s="894"/>
      <c r="C118" s="936" t="str">
        <f t="shared" ref="C118:C137" si="18">C73</f>
        <v>Beam 1</v>
      </c>
      <c r="D118" s="933">
        <f t="shared" ref="D118:E137" si="19">IF(D73="","",-D73*$K$112)</f>
        <v>-110.82062499999999</v>
      </c>
      <c r="E118" s="933">
        <f t="shared" si="19"/>
        <v>-1.875</v>
      </c>
      <c r="F118" s="933">
        <f>IF(D118="","",SUM(D118:E118))</f>
        <v>-112.69562499999999</v>
      </c>
      <c r="G118" s="933" t="str">
        <f t="shared" ref="G118:H137" si="20">IF(F73="","",-F73*$K$112)</f>
        <v/>
      </c>
      <c r="H118" s="933" t="str">
        <f t="shared" si="20"/>
        <v/>
      </c>
      <c r="I118" s="933" t="str">
        <f>IF(G118="","",SUM(G118:H118))</f>
        <v/>
      </c>
      <c r="N118"/>
      <c r="O118"/>
      <c r="P118"/>
      <c r="Q118"/>
      <c r="R118"/>
      <c r="S118"/>
      <c r="T118"/>
      <c r="U118"/>
      <c r="V118"/>
    </row>
    <row r="119" spans="1:22" ht="15" customHeight="1">
      <c r="A119" t="str">
        <f t="shared" si="17"/>
        <v/>
      </c>
      <c r="B119" s="894"/>
      <c r="C119" s="937" t="str">
        <f t="shared" si="18"/>
        <v>Beam 2</v>
      </c>
      <c r="D119" s="934">
        <f t="shared" si="19"/>
        <v>-146.9425</v>
      </c>
      <c r="E119" s="934">
        <f t="shared" si="19"/>
        <v>-1.875</v>
      </c>
      <c r="F119" s="934">
        <f t="shared" ref="F119:F137" si="21">IF(D119="","",SUM(D119:E119))</f>
        <v>-148.8175</v>
      </c>
      <c r="G119" s="934" t="str">
        <f t="shared" si="20"/>
        <v/>
      </c>
      <c r="H119" s="934" t="str">
        <f t="shared" si="20"/>
        <v/>
      </c>
      <c r="I119" s="934" t="str">
        <f t="shared" ref="I119:I137" si="22">IF(G119="","",SUM(G119:H119))</f>
        <v/>
      </c>
      <c r="N119"/>
      <c r="O119"/>
      <c r="P119"/>
      <c r="Q119"/>
      <c r="R119"/>
      <c r="S119"/>
      <c r="T119"/>
      <c r="U119"/>
      <c r="V119"/>
    </row>
    <row r="120" spans="1:22" ht="15" customHeight="1">
      <c r="A120" t="str">
        <f t="shared" si="17"/>
        <v/>
      </c>
      <c r="B120" s="894"/>
      <c r="C120" s="937" t="str">
        <f t="shared" si="18"/>
        <v>Beam 3</v>
      </c>
      <c r="D120" s="934" t="str">
        <f t="shared" si="19"/>
        <v/>
      </c>
      <c r="E120" s="934" t="str">
        <f t="shared" si="19"/>
        <v/>
      </c>
      <c r="F120" s="934" t="str">
        <f t="shared" si="21"/>
        <v/>
      </c>
      <c r="G120" s="934">
        <f t="shared" si="20"/>
        <v>-146.9425</v>
      </c>
      <c r="H120" s="934">
        <f t="shared" si="20"/>
        <v>-1.875</v>
      </c>
      <c r="I120" s="934">
        <f t="shared" si="22"/>
        <v>-148.8175</v>
      </c>
      <c r="N120"/>
      <c r="O120"/>
      <c r="P120"/>
      <c r="Q120"/>
      <c r="R120"/>
      <c r="S120"/>
      <c r="T120"/>
      <c r="U120"/>
      <c r="V120"/>
    </row>
    <row r="121" spans="1:22" ht="15" customHeight="1">
      <c r="A121" t="str">
        <f t="shared" si="17"/>
        <v/>
      </c>
      <c r="B121" s="894"/>
      <c r="C121" s="937" t="str">
        <f t="shared" si="18"/>
        <v>Beam 4</v>
      </c>
      <c r="D121" s="934" t="str">
        <f t="shared" si="19"/>
        <v/>
      </c>
      <c r="E121" s="934" t="str">
        <f t="shared" si="19"/>
        <v/>
      </c>
      <c r="F121" s="934" t="str">
        <f t="shared" si="21"/>
        <v/>
      </c>
      <c r="G121" s="934">
        <f t="shared" si="20"/>
        <v>-122.77062500000001</v>
      </c>
      <c r="H121" s="934">
        <f t="shared" si="20"/>
        <v>-1.875</v>
      </c>
      <c r="I121" s="934">
        <f t="shared" si="22"/>
        <v>-124.64562500000001</v>
      </c>
      <c r="N121"/>
      <c r="O121"/>
      <c r="P121"/>
      <c r="Q121"/>
      <c r="R121"/>
      <c r="S121"/>
      <c r="T121"/>
      <c r="U121"/>
      <c r="V121"/>
    </row>
    <row r="122" spans="1:22" ht="15" customHeight="1">
      <c r="A122" t="str">
        <f t="shared" si="17"/>
        <v>*</v>
      </c>
      <c r="B122" s="894"/>
      <c r="C122" s="937" t="str">
        <f t="shared" si="18"/>
        <v/>
      </c>
      <c r="D122" s="934" t="str">
        <f t="shared" si="19"/>
        <v/>
      </c>
      <c r="E122" s="934" t="str">
        <f t="shared" si="19"/>
        <v/>
      </c>
      <c r="F122" s="934" t="str">
        <f t="shared" si="21"/>
        <v/>
      </c>
      <c r="G122" s="934" t="str">
        <f t="shared" si="20"/>
        <v/>
      </c>
      <c r="H122" s="934" t="str">
        <f t="shared" si="20"/>
        <v/>
      </c>
      <c r="I122" s="934" t="str">
        <f t="shared" si="22"/>
        <v/>
      </c>
      <c r="M122" s="858"/>
      <c r="N122"/>
      <c r="O122"/>
      <c r="P122"/>
      <c r="Q122"/>
      <c r="R122"/>
      <c r="S122"/>
      <c r="T122"/>
      <c r="U122"/>
      <c r="V122"/>
    </row>
    <row r="123" spans="1:22" ht="15" hidden="1" customHeight="1">
      <c r="A123" t="str">
        <f t="shared" si="17"/>
        <v>*</v>
      </c>
      <c r="B123" s="894"/>
      <c r="C123" s="937" t="str">
        <f t="shared" si="18"/>
        <v/>
      </c>
      <c r="D123" s="934" t="str">
        <f t="shared" si="19"/>
        <v/>
      </c>
      <c r="E123" s="934" t="str">
        <f t="shared" si="19"/>
        <v/>
      </c>
      <c r="F123" s="934" t="str">
        <f t="shared" si="21"/>
        <v/>
      </c>
      <c r="G123" s="934" t="str">
        <f t="shared" si="20"/>
        <v/>
      </c>
      <c r="H123" s="934" t="str">
        <f t="shared" si="20"/>
        <v/>
      </c>
      <c r="I123" s="934" t="str">
        <f t="shared" si="22"/>
        <v/>
      </c>
      <c r="M123" s="858"/>
      <c r="N123"/>
      <c r="O123"/>
      <c r="P123"/>
      <c r="Q123"/>
      <c r="R123"/>
      <c r="S123"/>
      <c r="T123"/>
      <c r="U123"/>
      <c r="V123"/>
    </row>
    <row r="124" spans="1:22" ht="15" hidden="1" customHeight="1">
      <c r="A124" t="str">
        <f t="shared" si="17"/>
        <v>*</v>
      </c>
      <c r="B124" s="894"/>
      <c r="C124" s="937" t="str">
        <f t="shared" si="18"/>
        <v/>
      </c>
      <c r="D124" s="934" t="str">
        <f t="shared" si="19"/>
        <v/>
      </c>
      <c r="E124" s="934" t="str">
        <f t="shared" si="19"/>
        <v/>
      </c>
      <c r="F124" s="934" t="str">
        <f t="shared" si="21"/>
        <v/>
      </c>
      <c r="G124" s="934" t="str">
        <f t="shared" si="20"/>
        <v/>
      </c>
      <c r="H124" s="934" t="str">
        <f t="shared" si="20"/>
        <v/>
      </c>
      <c r="I124" s="934" t="str">
        <f t="shared" si="22"/>
        <v/>
      </c>
      <c r="M124" s="858"/>
      <c r="N124"/>
      <c r="O124"/>
      <c r="P124"/>
      <c r="Q124"/>
      <c r="R124"/>
      <c r="S124"/>
      <c r="T124"/>
      <c r="U124"/>
      <c r="V124"/>
    </row>
    <row r="125" spans="1:22" ht="15" hidden="1" customHeight="1">
      <c r="A125" t="str">
        <f t="shared" si="17"/>
        <v>*</v>
      </c>
      <c r="B125" s="894"/>
      <c r="C125" s="937" t="str">
        <f t="shared" si="18"/>
        <v/>
      </c>
      <c r="D125" s="934" t="str">
        <f t="shared" si="19"/>
        <v/>
      </c>
      <c r="E125" s="934" t="str">
        <f t="shared" si="19"/>
        <v/>
      </c>
      <c r="F125" s="934" t="str">
        <f t="shared" si="21"/>
        <v/>
      </c>
      <c r="G125" s="934" t="str">
        <f t="shared" si="20"/>
        <v/>
      </c>
      <c r="H125" s="934" t="str">
        <f t="shared" si="20"/>
        <v/>
      </c>
      <c r="I125" s="934" t="str">
        <f t="shared" si="22"/>
        <v/>
      </c>
      <c r="M125" s="858"/>
      <c r="N125"/>
      <c r="O125"/>
      <c r="P125"/>
      <c r="Q125"/>
      <c r="R125"/>
      <c r="S125"/>
      <c r="T125"/>
      <c r="U125"/>
      <c r="V125"/>
    </row>
    <row r="126" spans="1:22" ht="15" hidden="1" customHeight="1">
      <c r="A126" t="str">
        <f t="shared" si="17"/>
        <v>*</v>
      </c>
      <c r="B126" s="894"/>
      <c r="C126" s="937" t="str">
        <f t="shared" si="18"/>
        <v/>
      </c>
      <c r="D126" s="934" t="str">
        <f t="shared" si="19"/>
        <v/>
      </c>
      <c r="E126" s="934" t="str">
        <f t="shared" si="19"/>
        <v/>
      </c>
      <c r="F126" s="934" t="str">
        <f t="shared" si="21"/>
        <v/>
      </c>
      <c r="G126" s="934" t="str">
        <f t="shared" si="20"/>
        <v/>
      </c>
      <c r="H126" s="934" t="str">
        <f t="shared" si="20"/>
        <v/>
      </c>
      <c r="I126" s="934" t="str">
        <f t="shared" si="22"/>
        <v/>
      </c>
      <c r="M126" s="858"/>
      <c r="N126"/>
      <c r="O126"/>
      <c r="P126"/>
      <c r="Q126"/>
      <c r="R126"/>
      <c r="S126"/>
      <c r="T126"/>
      <c r="U126"/>
      <c r="V126"/>
    </row>
    <row r="127" spans="1:22" ht="15" hidden="1" customHeight="1">
      <c r="A127" t="str">
        <f t="shared" si="17"/>
        <v>*</v>
      </c>
      <c r="B127" s="894"/>
      <c r="C127" s="937" t="str">
        <f t="shared" si="18"/>
        <v/>
      </c>
      <c r="D127" s="934" t="str">
        <f t="shared" si="19"/>
        <v/>
      </c>
      <c r="E127" s="934" t="str">
        <f t="shared" si="19"/>
        <v/>
      </c>
      <c r="F127" s="934" t="str">
        <f t="shared" si="21"/>
        <v/>
      </c>
      <c r="G127" s="934" t="str">
        <f t="shared" si="20"/>
        <v/>
      </c>
      <c r="H127" s="934" t="str">
        <f t="shared" si="20"/>
        <v/>
      </c>
      <c r="I127" s="934" t="str">
        <f t="shared" si="22"/>
        <v/>
      </c>
      <c r="M127" s="858"/>
      <c r="N127"/>
      <c r="O127"/>
      <c r="P127"/>
      <c r="Q127"/>
      <c r="R127"/>
      <c r="S127"/>
      <c r="T127"/>
      <c r="U127"/>
      <c r="V127"/>
    </row>
    <row r="128" spans="1:22" ht="15" hidden="1" customHeight="1">
      <c r="A128" t="str">
        <f t="shared" si="17"/>
        <v>*</v>
      </c>
      <c r="B128" s="894"/>
      <c r="C128" s="937" t="str">
        <f t="shared" si="18"/>
        <v/>
      </c>
      <c r="D128" s="934" t="str">
        <f t="shared" si="19"/>
        <v/>
      </c>
      <c r="E128" s="934" t="str">
        <f t="shared" si="19"/>
        <v/>
      </c>
      <c r="F128" s="934" t="str">
        <f t="shared" si="21"/>
        <v/>
      </c>
      <c r="G128" s="934" t="str">
        <f t="shared" si="20"/>
        <v/>
      </c>
      <c r="H128" s="934" t="str">
        <f t="shared" si="20"/>
        <v/>
      </c>
      <c r="I128" s="934" t="str">
        <f t="shared" si="22"/>
        <v/>
      </c>
      <c r="M128" s="858"/>
      <c r="N128"/>
      <c r="O128"/>
      <c r="P128"/>
      <c r="Q128"/>
      <c r="R128"/>
      <c r="S128"/>
      <c r="T128"/>
      <c r="U128"/>
      <c r="V128"/>
    </row>
    <row r="129" spans="1:22" ht="15" hidden="1" customHeight="1">
      <c r="A129" t="str">
        <f t="shared" si="17"/>
        <v>*</v>
      </c>
      <c r="B129" s="894"/>
      <c r="C129" s="937" t="str">
        <f t="shared" si="18"/>
        <v/>
      </c>
      <c r="D129" s="934" t="str">
        <f t="shared" si="19"/>
        <v/>
      </c>
      <c r="E129" s="934" t="str">
        <f t="shared" si="19"/>
        <v/>
      </c>
      <c r="F129" s="934" t="str">
        <f t="shared" si="21"/>
        <v/>
      </c>
      <c r="G129" s="934" t="str">
        <f t="shared" si="20"/>
        <v/>
      </c>
      <c r="H129" s="934" t="str">
        <f t="shared" si="20"/>
        <v/>
      </c>
      <c r="I129" s="934" t="str">
        <f t="shared" si="22"/>
        <v/>
      </c>
      <c r="M129" s="858"/>
      <c r="N129"/>
      <c r="O129"/>
      <c r="P129"/>
      <c r="Q129"/>
      <c r="R129"/>
      <c r="S129"/>
      <c r="T129"/>
      <c r="U129"/>
      <c r="V129"/>
    </row>
    <row r="130" spans="1:22" ht="15" hidden="1" customHeight="1">
      <c r="A130" t="str">
        <f t="shared" si="17"/>
        <v>*</v>
      </c>
      <c r="B130" s="894"/>
      <c r="C130" s="937" t="str">
        <f t="shared" si="18"/>
        <v/>
      </c>
      <c r="D130" s="934" t="str">
        <f t="shared" si="19"/>
        <v/>
      </c>
      <c r="E130" s="934" t="str">
        <f t="shared" si="19"/>
        <v/>
      </c>
      <c r="F130" s="934" t="str">
        <f t="shared" si="21"/>
        <v/>
      </c>
      <c r="G130" s="934" t="str">
        <f t="shared" si="20"/>
        <v/>
      </c>
      <c r="H130" s="934" t="str">
        <f t="shared" si="20"/>
        <v/>
      </c>
      <c r="I130" s="934" t="str">
        <f t="shared" si="22"/>
        <v/>
      </c>
      <c r="M130" s="858"/>
      <c r="N130"/>
      <c r="O130"/>
      <c r="P130"/>
      <c r="Q130"/>
      <c r="R130"/>
      <c r="S130"/>
      <c r="T130"/>
      <c r="U130"/>
      <c r="V130"/>
    </row>
    <row r="131" spans="1:22" ht="15" hidden="1" customHeight="1">
      <c r="A131" t="str">
        <f t="shared" si="17"/>
        <v>*</v>
      </c>
      <c r="B131" s="894"/>
      <c r="C131" s="937" t="str">
        <f t="shared" si="18"/>
        <v/>
      </c>
      <c r="D131" s="934" t="str">
        <f t="shared" si="19"/>
        <v/>
      </c>
      <c r="E131" s="934" t="str">
        <f t="shared" si="19"/>
        <v/>
      </c>
      <c r="F131" s="934" t="str">
        <f t="shared" si="21"/>
        <v/>
      </c>
      <c r="G131" s="934" t="str">
        <f t="shared" si="20"/>
        <v/>
      </c>
      <c r="H131" s="934" t="str">
        <f t="shared" si="20"/>
        <v/>
      </c>
      <c r="I131" s="934" t="str">
        <f t="shared" si="22"/>
        <v/>
      </c>
      <c r="M131" s="858"/>
      <c r="N131"/>
      <c r="O131"/>
      <c r="P131"/>
      <c r="Q131"/>
      <c r="R131"/>
      <c r="S131"/>
      <c r="T131"/>
      <c r="U131"/>
      <c r="V131"/>
    </row>
    <row r="132" spans="1:22" ht="15" hidden="1" customHeight="1">
      <c r="A132" t="str">
        <f t="shared" si="17"/>
        <v>*</v>
      </c>
      <c r="B132" s="894"/>
      <c r="C132" s="937" t="str">
        <f t="shared" si="18"/>
        <v/>
      </c>
      <c r="D132" s="934" t="str">
        <f t="shared" si="19"/>
        <v/>
      </c>
      <c r="E132" s="934" t="str">
        <f t="shared" si="19"/>
        <v/>
      </c>
      <c r="F132" s="934" t="str">
        <f t="shared" si="21"/>
        <v/>
      </c>
      <c r="G132" s="934" t="str">
        <f t="shared" si="20"/>
        <v/>
      </c>
      <c r="H132" s="934" t="str">
        <f t="shared" si="20"/>
        <v/>
      </c>
      <c r="I132" s="934" t="str">
        <f t="shared" si="22"/>
        <v/>
      </c>
      <c r="M132" s="858"/>
      <c r="N132"/>
      <c r="O132"/>
      <c r="P132"/>
      <c r="Q132"/>
      <c r="R132"/>
      <c r="S132"/>
      <c r="T132"/>
      <c r="U132"/>
      <c r="V132"/>
    </row>
    <row r="133" spans="1:22" ht="15" hidden="1" customHeight="1">
      <c r="A133" t="str">
        <f t="shared" si="17"/>
        <v>*</v>
      </c>
      <c r="B133" s="894"/>
      <c r="C133" s="937" t="str">
        <f t="shared" si="18"/>
        <v/>
      </c>
      <c r="D133" s="934" t="str">
        <f t="shared" si="19"/>
        <v/>
      </c>
      <c r="E133" s="934" t="str">
        <f t="shared" si="19"/>
        <v/>
      </c>
      <c r="F133" s="934" t="str">
        <f t="shared" si="21"/>
        <v/>
      </c>
      <c r="G133" s="934" t="str">
        <f t="shared" si="20"/>
        <v/>
      </c>
      <c r="H133" s="934" t="str">
        <f t="shared" si="20"/>
        <v/>
      </c>
      <c r="I133" s="934" t="str">
        <f t="shared" si="22"/>
        <v/>
      </c>
      <c r="M133" s="858"/>
      <c r="N133"/>
      <c r="O133"/>
      <c r="P133"/>
      <c r="Q133"/>
      <c r="R133"/>
      <c r="S133"/>
      <c r="T133"/>
      <c r="U133"/>
      <c r="V133"/>
    </row>
    <row r="134" spans="1:22" ht="15" hidden="1" customHeight="1">
      <c r="A134" t="str">
        <f t="shared" si="17"/>
        <v>*</v>
      </c>
      <c r="B134" s="894"/>
      <c r="C134" s="937" t="str">
        <f t="shared" si="18"/>
        <v/>
      </c>
      <c r="D134" s="934" t="str">
        <f t="shared" si="19"/>
        <v/>
      </c>
      <c r="E134" s="934" t="str">
        <f t="shared" si="19"/>
        <v/>
      </c>
      <c r="F134" s="934" t="str">
        <f t="shared" si="21"/>
        <v/>
      </c>
      <c r="G134" s="934" t="str">
        <f t="shared" si="20"/>
        <v/>
      </c>
      <c r="H134" s="934" t="str">
        <f t="shared" si="20"/>
        <v/>
      </c>
      <c r="I134" s="934" t="str">
        <f t="shared" si="22"/>
        <v/>
      </c>
      <c r="M134" s="858"/>
      <c r="N134"/>
      <c r="O134"/>
      <c r="P134"/>
      <c r="Q134"/>
      <c r="R134"/>
      <c r="S134"/>
      <c r="T134"/>
      <c r="U134"/>
      <c r="V134"/>
    </row>
    <row r="135" spans="1:22" ht="15" hidden="1" customHeight="1">
      <c r="A135" t="str">
        <f t="shared" si="17"/>
        <v>*</v>
      </c>
      <c r="B135" s="894"/>
      <c r="C135" s="937" t="str">
        <f t="shared" si="18"/>
        <v/>
      </c>
      <c r="D135" s="934" t="str">
        <f t="shared" si="19"/>
        <v/>
      </c>
      <c r="E135" s="934" t="str">
        <f t="shared" si="19"/>
        <v/>
      </c>
      <c r="F135" s="934" t="str">
        <f t="shared" si="21"/>
        <v/>
      </c>
      <c r="G135" s="934" t="str">
        <f t="shared" si="20"/>
        <v/>
      </c>
      <c r="H135" s="934" t="str">
        <f t="shared" si="20"/>
        <v/>
      </c>
      <c r="I135" s="934" t="str">
        <f t="shared" si="22"/>
        <v/>
      </c>
      <c r="M135" s="858"/>
      <c r="N135"/>
      <c r="O135"/>
      <c r="P135"/>
      <c r="Q135"/>
      <c r="R135"/>
      <c r="S135"/>
      <c r="T135"/>
      <c r="U135"/>
      <c r="V135"/>
    </row>
    <row r="136" spans="1:22" ht="15" hidden="1" customHeight="1">
      <c r="A136" t="str">
        <f t="shared" si="17"/>
        <v>*</v>
      </c>
      <c r="B136" s="894"/>
      <c r="C136" s="937" t="str">
        <f t="shared" si="18"/>
        <v/>
      </c>
      <c r="D136" s="934" t="str">
        <f t="shared" si="19"/>
        <v/>
      </c>
      <c r="E136" s="934" t="str">
        <f t="shared" si="19"/>
        <v/>
      </c>
      <c r="F136" s="934" t="str">
        <f t="shared" si="21"/>
        <v/>
      </c>
      <c r="G136" s="934" t="str">
        <f t="shared" si="20"/>
        <v/>
      </c>
      <c r="H136" s="934" t="str">
        <f t="shared" si="20"/>
        <v/>
      </c>
      <c r="I136" s="934" t="str">
        <f t="shared" si="22"/>
        <v/>
      </c>
      <c r="M136" s="858"/>
      <c r="N136"/>
      <c r="O136"/>
      <c r="P136"/>
      <c r="Q136"/>
      <c r="R136"/>
      <c r="S136"/>
      <c r="T136"/>
      <c r="U136"/>
      <c r="V136"/>
    </row>
    <row r="137" spans="1:22" ht="15" hidden="1" customHeight="1">
      <c r="A137" t="str">
        <f t="shared" si="17"/>
        <v>*</v>
      </c>
      <c r="B137" s="894"/>
      <c r="C137" s="937" t="str">
        <f t="shared" si="18"/>
        <v/>
      </c>
      <c r="D137" s="935" t="str">
        <f t="shared" si="19"/>
        <v/>
      </c>
      <c r="E137" s="935" t="str">
        <f t="shared" si="19"/>
        <v/>
      </c>
      <c r="F137" s="935" t="str">
        <f t="shared" si="21"/>
        <v/>
      </c>
      <c r="G137" s="935" t="str">
        <f t="shared" si="20"/>
        <v/>
      </c>
      <c r="H137" s="935" t="str">
        <f t="shared" si="20"/>
        <v/>
      </c>
      <c r="I137" s="935" t="str">
        <f t="shared" si="22"/>
        <v/>
      </c>
      <c r="M137" s="858"/>
      <c r="N137"/>
      <c r="O137"/>
      <c r="P137"/>
      <c r="Q137"/>
      <c r="R137"/>
      <c r="S137"/>
      <c r="T137"/>
      <c r="U137"/>
      <c r="V137"/>
    </row>
    <row r="138" spans="1:22" ht="15" customHeight="1">
      <c r="B138" s="16"/>
      <c r="C138" s="859" t="s">
        <v>885</v>
      </c>
      <c r="D138" s="875">
        <f t="shared" ref="D138:I138" si="23">SUM(D118:D137)</f>
        <v>-257.763125</v>
      </c>
      <c r="E138" s="875">
        <f t="shared" si="23"/>
        <v>-3.75</v>
      </c>
      <c r="F138" s="875">
        <f t="shared" si="23"/>
        <v>-261.513125</v>
      </c>
      <c r="G138" s="875">
        <f t="shared" si="23"/>
        <v>-269.71312499999999</v>
      </c>
      <c r="H138" s="875">
        <f t="shared" si="23"/>
        <v>-3.75</v>
      </c>
      <c r="I138" s="875">
        <f t="shared" si="23"/>
        <v>-273.46312499999999</v>
      </c>
      <c r="N138"/>
      <c r="O138"/>
      <c r="P138"/>
      <c r="Q138"/>
      <c r="R138"/>
      <c r="S138"/>
      <c r="T138"/>
      <c r="U138"/>
      <c r="V138"/>
    </row>
    <row r="139" spans="1:22" ht="4.5" customHeight="1">
      <c r="B139" s="16"/>
      <c r="C139" s="860"/>
      <c r="D139" s="858"/>
      <c r="E139" s="858"/>
      <c r="F139" s="858"/>
      <c r="G139" s="858"/>
      <c r="H139" s="858"/>
      <c r="I139" s="858"/>
      <c r="N139"/>
      <c r="O139"/>
      <c r="P139"/>
      <c r="Q139"/>
      <c r="R139"/>
      <c r="S139"/>
      <c r="T139"/>
      <c r="U139"/>
      <c r="V139"/>
    </row>
    <row r="140" spans="1:22" ht="4.5" customHeight="1">
      <c r="B140" s="16"/>
      <c r="C140" s="860"/>
      <c r="D140" s="858"/>
      <c r="E140" s="858"/>
      <c r="F140" s="858"/>
      <c r="G140" s="858"/>
      <c r="H140" s="858"/>
      <c r="I140" s="858"/>
      <c r="N140"/>
      <c r="O140"/>
      <c r="P140"/>
      <c r="Q140"/>
      <c r="R140"/>
      <c r="S140"/>
      <c r="T140"/>
      <c r="U140"/>
      <c r="V140"/>
    </row>
    <row r="141" spans="1:22" ht="15" customHeight="1">
      <c r="B141" s="16"/>
      <c r="C141" s="44" t="s">
        <v>1009</v>
      </c>
      <c r="I141" s="860"/>
      <c r="J141" s="858"/>
      <c r="K141" s="858"/>
      <c r="N141"/>
      <c r="O141"/>
      <c r="P141"/>
      <c r="Q141"/>
      <c r="R141"/>
      <c r="S141"/>
      <c r="T141"/>
      <c r="U141"/>
      <c r="V141"/>
    </row>
    <row r="142" spans="1:22" ht="3.75" customHeight="1">
      <c r="B142" s="16"/>
      <c r="C142" s="44"/>
      <c r="I142" s="860"/>
      <c r="J142" s="858"/>
      <c r="K142" s="858"/>
      <c r="N142"/>
      <c r="O142"/>
      <c r="P142"/>
      <c r="Q142"/>
      <c r="R142"/>
      <c r="S142"/>
      <c r="T142"/>
      <c r="U142"/>
      <c r="V142"/>
    </row>
    <row r="143" spans="1:22" ht="15" customHeight="1">
      <c r="B143" s="16"/>
      <c r="C143" s="71"/>
      <c r="D143" s="1654" t="s">
        <v>771</v>
      </c>
      <c r="E143" s="1654"/>
      <c r="F143" s="1654"/>
      <c r="G143" s="1654" t="s">
        <v>772</v>
      </c>
      <c r="H143" s="1654"/>
      <c r="I143" s="1654"/>
      <c r="J143" s="858"/>
      <c r="N143"/>
      <c r="O143"/>
      <c r="P143"/>
      <c r="Q143"/>
      <c r="R143"/>
      <c r="S143"/>
      <c r="T143"/>
      <c r="U143"/>
      <c r="V143"/>
    </row>
    <row r="144" spans="1:22" ht="15" customHeight="1">
      <c r="B144" s="16"/>
      <c r="C144" s="303"/>
      <c r="D144" s="903" t="s">
        <v>721</v>
      </c>
      <c r="E144" s="242" t="s">
        <v>890</v>
      </c>
      <c r="F144" s="242" t="s">
        <v>547</v>
      </c>
      <c r="G144" s="903" t="s">
        <v>721</v>
      </c>
      <c r="H144" s="242" t="s">
        <v>890</v>
      </c>
      <c r="I144" s="242" t="s">
        <v>547</v>
      </c>
      <c r="J144" s="858"/>
      <c r="N144"/>
      <c r="O144"/>
      <c r="P144"/>
      <c r="Q144"/>
      <c r="R144"/>
      <c r="S144"/>
      <c r="T144"/>
      <c r="U144"/>
      <c r="V144"/>
    </row>
    <row r="145" spans="1:22" ht="15" customHeight="1">
      <c r="A145" t="str">
        <f t="shared" ref="A145:A164" si="24">IF(C145="","*","")</f>
        <v/>
      </c>
      <c r="B145" s="16"/>
      <c r="C145" s="936" t="str">
        <f t="shared" ref="C145:C164" si="25">I73</f>
        <v>Beam 1</v>
      </c>
      <c r="D145" s="933">
        <f>IF(J73="","",J73*$K$112)</f>
        <v>133.02875</v>
      </c>
      <c r="E145" s="933">
        <f>IF(K73="","",K73*$K$112)</f>
        <v>2.25</v>
      </c>
      <c r="F145" s="933">
        <f>IF(D145="","",SUM(D145:E145))</f>
        <v>135.27875</v>
      </c>
      <c r="G145" s="933" t="str">
        <f>IF(L73="","",L73*$K$112)</f>
        <v/>
      </c>
      <c r="H145" s="933" t="str">
        <f>IF(M73="","",M73*$K$112)</f>
        <v/>
      </c>
      <c r="I145" s="933" t="str">
        <f>IF(G145="","",SUM(G145:H145))</f>
        <v/>
      </c>
      <c r="J145" s="858"/>
      <c r="K145" s="858"/>
      <c r="N145"/>
      <c r="O145"/>
      <c r="P145"/>
      <c r="Q145"/>
      <c r="R145"/>
      <c r="S145"/>
      <c r="T145"/>
      <c r="U145"/>
      <c r="V145"/>
    </row>
    <row r="146" spans="1:22" ht="15" customHeight="1">
      <c r="A146" t="str">
        <f t="shared" si="24"/>
        <v/>
      </c>
      <c r="B146" s="16"/>
      <c r="C146" s="937" t="str">
        <f t="shared" si="25"/>
        <v>Beam 2</v>
      </c>
      <c r="D146" s="934">
        <f t="shared" ref="D146:D164" si="26">IF(J74="","",J74*$K$112)</f>
        <v>172.79</v>
      </c>
      <c r="E146" s="934">
        <f t="shared" ref="E146:E164" si="27">IF(K74="","",K74*$K$112)</f>
        <v>2.25</v>
      </c>
      <c r="F146" s="934">
        <f t="shared" ref="F146:F164" si="28">IF(D146="","",SUM(D146:E146))</f>
        <v>175.04</v>
      </c>
      <c r="G146" s="934" t="str">
        <f t="shared" ref="G146:G164" si="29">IF(L74="","",L74*$K$112)</f>
        <v/>
      </c>
      <c r="H146" s="934" t="str">
        <f t="shared" ref="H146:H164" si="30">IF(M74="","",M74*$K$112)</f>
        <v/>
      </c>
      <c r="I146" s="934" t="str">
        <f t="shared" ref="I146:I164" si="31">IF(G146="","",SUM(G146:H146))</f>
        <v/>
      </c>
      <c r="J146" s="858"/>
      <c r="K146" s="858"/>
      <c r="N146"/>
      <c r="O146"/>
      <c r="P146"/>
      <c r="Q146"/>
      <c r="R146"/>
      <c r="S146"/>
      <c r="T146"/>
      <c r="U146"/>
      <c r="V146"/>
    </row>
    <row r="147" spans="1:22" ht="15" customHeight="1">
      <c r="A147" t="str">
        <f t="shared" si="24"/>
        <v/>
      </c>
      <c r="B147" s="16"/>
      <c r="C147" s="937" t="str">
        <f t="shared" si="25"/>
        <v>Beam 3</v>
      </c>
      <c r="D147" s="934" t="str">
        <f t="shared" si="26"/>
        <v/>
      </c>
      <c r="E147" s="934" t="str">
        <f t="shared" si="27"/>
        <v/>
      </c>
      <c r="F147" s="934" t="str">
        <f t="shared" si="28"/>
        <v/>
      </c>
      <c r="G147" s="934">
        <f t="shared" si="29"/>
        <v>172.79</v>
      </c>
      <c r="H147" s="934">
        <f t="shared" si="30"/>
        <v>2.25</v>
      </c>
      <c r="I147" s="934">
        <f t="shared" si="31"/>
        <v>175.04</v>
      </c>
      <c r="J147" s="858"/>
      <c r="N147"/>
      <c r="O147"/>
      <c r="P147"/>
      <c r="Q147"/>
      <c r="R147"/>
      <c r="S147"/>
      <c r="T147"/>
      <c r="U147"/>
      <c r="V147"/>
    </row>
    <row r="148" spans="1:22" ht="15" customHeight="1">
      <c r="A148" t="str">
        <f t="shared" si="24"/>
        <v/>
      </c>
      <c r="B148" s="16"/>
      <c r="C148" s="937" t="str">
        <f t="shared" si="25"/>
        <v>Beam 4</v>
      </c>
      <c r="D148" s="934" t="str">
        <f t="shared" si="26"/>
        <v/>
      </c>
      <c r="E148" s="934" t="str">
        <f t="shared" si="27"/>
        <v/>
      </c>
      <c r="F148" s="934" t="str">
        <f t="shared" si="28"/>
        <v/>
      </c>
      <c r="G148" s="934">
        <f t="shared" si="29"/>
        <v>143.78375</v>
      </c>
      <c r="H148" s="934">
        <f t="shared" si="30"/>
        <v>2.25</v>
      </c>
      <c r="I148" s="934">
        <f t="shared" si="31"/>
        <v>146.03375</v>
      </c>
      <c r="J148" s="858"/>
      <c r="N148"/>
      <c r="O148"/>
      <c r="P148"/>
      <c r="Q148"/>
      <c r="R148"/>
      <c r="S148"/>
      <c r="T148"/>
      <c r="U148"/>
      <c r="V148"/>
    </row>
    <row r="149" spans="1:22" ht="15" customHeight="1">
      <c r="A149" t="str">
        <f t="shared" si="24"/>
        <v>*</v>
      </c>
      <c r="B149" s="16"/>
      <c r="C149" s="937" t="str">
        <f t="shared" si="25"/>
        <v/>
      </c>
      <c r="D149" s="934" t="str">
        <f t="shared" si="26"/>
        <v/>
      </c>
      <c r="E149" s="934" t="str">
        <f t="shared" si="27"/>
        <v/>
      </c>
      <c r="F149" s="934" t="str">
        <f t="shared" si="28"/>
        <v/>
      </c>
      <c r="G149" s="934" t="str">
        <f t="shared" si="29"/>
        <v/>
      </c>
      <c r="H149" s="934" t="str">
        <f t="shared" si="30"/>
        <v/>
      </c>
      <c r="I149" s="934" t="str">
        <f t="shared" si="31"/>
        <v/>
      </c>
      <c r="J149" s="858"/>
      <c r="K149" s="858"/>
      <c r="N149"/>
      <c r="O149"/>
      <c r="P149"/>
      <c r="Q149"/>
      <c r="R149"/>
      <c r="S149"/>
      <c r="T149"/>
      <c r="U149"/>
      <c r="V149"/>
    </row>
    <row r="150" spans="1:22" ht="15" hidden="1" customHeight="1">
      <c r="A150" t="str">
        <f t="shared" si="24"/>
        <v>*</v>
      </c>
      <c r="B150" s="16"/>
      <c r="C150" s="937" t="str">
        <f t="shared" si="25"/>
        <v/>
      </c>
      <c r="D150" s="934" t="str">
        <f t="shared" si="26"/>
        <v/>
      </c>
      <c r="E150" s="934" t="str">
        <f t="shared" si="27"/>
        <v/>
      </c>
      <c r="F150" s="934" t="str">
        <f t="shared" si="28"/>
        <v/>
      </c>
      <c r="G150" s="934" t="str">
        <f t="shared" si="29"/>
        <v/>
      </c>
      <c r="H150" s="934" t="str">
        <f t="shared" si="30"/>
        <v/>
      </c>
      <c r="I150" s="934" t="str">
        <f t="shared" si="31"/>
        <v/>
      </c>
      <c r="J150" s="858"/>
      <c r="K150" s="858"/>
      <c r="N150"/>
      <c r="O150"/>
      <c r="P150"/>
      <c r="Q150"/>
      <c r="R150"/>
      <c r="S150"/>
      <c r="T150"/>
      <c r="U150"/>
      <c r="V150"/>
    </row>
    <row r="151" spans="1:22" ht="15" hidden="1" customHeight="1">
      <c r="A151" t="str">
        <f t="shared" si="24"/>
        <v>*</v>
      </c>
      <c r="B151" s="16"/>
      <c r="C151" s="937" t="str">
        <f t="shared" si="25"/>
        <v/>
      </c>
      <c r="D151" s="934" t="str">
        <f t="shared" si="26"/>
        <v/>
      </c>
      <c r="E151" s="934" t="str">
        <f t="shared" si="27"/>
        <v/>
      </c>
      <c r="F151" s="934" t="str">
        <f t="shared" si="28"/>
        <v/>
      </c>
      <c r="G151" s="934" t="str">
        <f t="shared" si="29"/>
        <v/>
      </c>
      <c r="H151" s="934" t="str">
        <f t="shared" si="30"/>
        <v/>
      </c>
      <c r="I151" s="934" t="str">
        <f t="shared" si="31"/>
        <v/>
      </c>
      <c r="J151" s="858"/>
      <c r="K151" s="858"/>
      <c r="N151"/>
      <c r="O151"/>
      <c r="P151"/>
      <c r="Q151"/>
      <c r="R151"/>
      <c r="S151"/>
      <c r="T151"/>
      <c r="U151"/>
      <c r="V151"/>
    </row>
    <row r="152" spans="1:22" ht="15" hidden="1" customHeight="1">
      <c r="A152" t="str">
        <f t="shared" si="24"/>
        <v>*</v>
      </c>
      <c r="B152" s="16"/>
      <c r="C152" s="937" t="str">
        <f t="shared" si="25"/>
        <v/>
      </c>
      <c r="D152" s="934" t="str">
        <f t="shared" si="26"/>
        <v/>
      </c>
      <c r="E152" s="934" t="str">
        <f t="shared" si="27"/>
        <v/>
      </c>
      <c r="F152" s="934" t="str">
        <f t="shared" si="28"/>
        <v/>
      </c>
      <c r="G152" s="934" t="str">
        <f t="shared" si="29"/>
        <v/>
      </c>
      <c r="H152" s="934" t="str">
        <f t="shared" si="30"/>
        <v/>
      </c>
      <c r="I152" s="934" t="str">
        <f t="shared" si="31"/>
        <v/>
      </c>
      <c r="J152" s="858"/>
      <c r="K152" s="858"/>
      <c r="N152"/>
      <c r="O152"/>
      <c r="P152"/>
      <c r="Q152"/>
      <c r="R152"/>
      <c r="S152"/>
      <c r="T152"/>
      <c r="U152"/>
      <c r="V152"/>
    </row>
    <row r="153" spans="1:22" ht="15" hidden="1" customHeight="1">
      <c r="A153" t="str">
        <f t="shared" si="24"/>
        <v>*</v>
      </c>
      <c r="B153" s="16"/>
      <c r="C153" s="937" t="str">
        <f t="shared" si="25"/>
        <v/>
      </c>
      <c r="D153" s="934" t="str">
        <f t="shared" si="26"/>
        <v/>
      </c>
      <c r="E153" s="934" t="str">
        <f t="shared" si="27"/>
        <v/>
      </c>
      <c r="F153" s="934" t="str">
        <f t="shared" si="28"/>
        <v/>
      </c>
      <c r="G153" s="934" t="str">
        <f t="shared" si="29"/>
        <v/>
      </c>
      <c r="H153" s="934" t="str">
        <f t="shared" si="30"/>
        <v/>
      </c>
      <c r="I153" s="934" t="str">
        <f t="shared" si="31"/>
        <v/>
      </c>
      <c r="J153" s="858"/>
      <c r="K153" s="858"/>
      <c r="N153"/>
      <c r="O153"/>
      <c r="P153"/>
      <c r="Q153"/>
      <c r="R153"/>
      <c r="S153"/>
      <c r="T153"/>
      <c r="U153"/>
      <c r="V153"/>
    </row>
    <row r="154" spans="1:22" ht="15" hidden="1" customHeight="1">
      <c r="A154" t="str">
        <f t="shared" si="24"/>
        <v>*</v>
      </c>
      <c r="B154" s="16"/>
      <c r="C154" s="937" t="str">
        <f t="shared" si="25"/>
        <v/>
      </c>
      <c r="D154" s="934" t="str">
        <f t="shared" si="26"/>
        <v/>
      </c>
      <c r="E154" s="934" t="str">
        <f t="shared" si="27"/>
        <v/>
      </c>
      <c r="F154" s="934" t="str">
        <f t="shared" si="28"/>
        <v/>
      </c>
      <c r="G154" s="934" t="str">
        <f t="shared" si="29"/>
        <v/>
      </c>
      <c r="H154" s="934" t="str">
        <f t="shared" si="30"/>
        <v/>
      </c>
      <c r="I154" s="934" t="str">
        <f t="shared" si="31"/>
        <v/>
      </c>
      <c r="J154" s="858"/>
      <c r="K154" s="858"/>
      <c r="N154"/>
      <c r="O154"/>
      <c r="P154"/>
      <c r="Q154"/>
      <c r="R154"/>
      <c r="S154"/>
      <c r="T154"/>
      <c r="U154"/>
      <c r="V154"/>
    </row>
    <row r="155" spans="1:22" ht="15" hidden="1" customHeight="1">
      <c r="A155" t="str">
        <f t="shared" si="24"/>
        <v>*</v>
      </c>
      <c r="B155" s="16"/>
      <c r="C155" s="937" t="str">
        <f t="shared" si="25"/>
        <v/>
      </c>
      <c r="D155" s="934" t="str">
        <f t="shared" si="26"/>
        <v/>
      </c>
      <c r="E155" s="934" t="str">
        <f t="shared" si="27"/>
        <v/>
      </c>
      <c r="F155" s="934" t="str">
        <f t="shared" si="28"/>
        <v/>
      </c>
      <c r="G155" s="934" t="str">
        <f t="shared" si="29"/>
        <v/>
      </c>
      <c r="H155" s="934" t="str">
        <f t="shared" si="30"/>
        <v/>
      </c>
      <c r="I155" s="934" t="str">
        <f t="shared" si="31"/>
        <v/>
      </c>
      <c r="J155" s="858"/>
      <c r="K155" s="858"/>
      <c r="N155"/>
      <c r="O155"/>
      <c r="P155"/>
      <c r="Q155"/>
      <c r="R155"/>
      <c r="S155"/>
      <c r="T155"/>
      <c r="U155"/>
      <c r="V155"/>
    </row>
    <row r="156" spans="1:22" ht="15" hidden="1" customHeight="1">
      <c r="A156" t="str">
        <f t="shared" si="24"/>
        <v>*</v>
      </c>
      <c r="B156" s="16"/>
      <c r="C156" s="937" t="str">
        <f t="shared" si="25"/>
        <v/>
      </c>
      <c r="D156" s="934" t="str">
        <f t="shared" si="26"/>
        <v/>
      </c>
      <c r="E156" s="934" t="str">
        <f t="shared" si="27"/>
        <v/>
      </c>
      <c r="F156" s="934" t="str">
        <f t="shared" si="28"/>
        <v/>
      </c>
      <c r="G156" s="934" t="str">
        <f t="shared" si="29"/>
        <v/>
      </c>
      <c r="H156" s="934" t="str">
        <f t="shared" si="30"/>
        <v/>
      </c>
      <c r="I156" s="934" t="str">
        <f t="shared" si="31"/>
        <v/>
      </c>
      <c r="J156" s="858"/>
      <c r="K156" s="858"/>
      <c r="N156"/>
      <c r="O156"/>
      <c r="P156"/>
      <c r="Q156"/>
      <c r="R156"/>
      <c r="S156"/>
      <c r="T156"/>
      <c r="U156"/>
      <c r="V156"/>
    </row>
    <row r="157" spans="1:22" ht="15" hidden="1" customHeight="1">
      <c r="A157" t="str">
        <f t="shared" si="24"/>
        <v>*</v>
      </c>
      <c r="B157" s="16"/>
      <c r="C157" s="937" t="str">
        <f t="shared" si="25"/>
        <v/>
      </c>
      <c r="D157" s="934" t="str">
        <f t="shared" si="26"/>
        <v/>
      </c>
      <c r="E157" s="934" t="str">
        <f t="shared" si="27"/>
        <v/>
      </c>
      <c r="F157" s="934" t="str">
        <f t="shared" si="28"/>
        <v/>
      </c>
      <c r="G157" s="934" t="str">
        <f t="shared" si="29"/>
        <v/>
      </c>
      <c r="H157" s="934" t="str">
        <f t="shared" si="30"/>
        <v/>
      </c>
      <c r="I157" s="934" t="str">
        <f t="shared" si="31"/>
        <v/>
      </c>
      <c r="J157" s="858"/>
      <c r="K157" s="858"/>
      <c r="N157"/>
      <c r="O157"/>
      <c r="P157"/>
      <c r="Q157"/>
      <c r="R157"/>
      <c r="S157"/>
      <c r="T157"/>
      <c r="U157"/>
      <c r="V157"/>
    </row>
    <row r="158" spans="1:22" ht="15" hidden="1" customHeight="1">
      <c r="A158" t="str">
        <f t="shared" si="24"/>
        <v>*</v>
      </c>
      <c r="B158" s="16"/>
      <c r="C158" s="937" t="str">
        <f t="shared" si="25"/>
        <v/>
      </c>
      <c r="D158" s="934" t="str">
        <f t="shared" si="26"/>
        <v/>
      </c>
      <c r="E158" s="934" t="str">
        <f t="shared" si="27"/>
        <v/>
      </c>
      <c r="F158" s="934" t="str">
        <f t="shared" si="28"/>
        <v/>
      </c>
      <c r="G158" s="934" t="str">
        <f t="shared" si="29"/>
        <v/>
      </c>
      <c r="H158" s="934" t="str">
        <f t="shared" si="30"/>
        <v/>
      </c>
      <c r="I158" s="934" t="str">
        <f t="shared" si="31"/>
        <v/>
      </c>
      <c r="J158" s="858"/>
      <c r="K158" s="858"/>
      <c r="N158"/>
      <c r="O158"/>
      <c r="P158"/>
      <c r="Q158"/>
      <c r="R158"/>
      <c r="S158"/>
      <c r="T158"/>
      <c r="U158"/>
      <c r="V158"/>
    </row>
    <row r="159" spans="1:22" ht="15" hidden="1" customHeight="1">
      <c r="A159" t="str">
        <f t="shared" si="24"/>
        <v>*</v>
      </c>
      <c r="B159" s="16"/>
      <c r="C159" s="937" t="str">
        <f t="shared" si="25"/>
        <v/>
      </c>
      <c r="D159" s="934" t="str">
        <f t="shared" si="26"/>
        <v/>
      </c>
      <c r="E159" s="934" t="str">
        <f t="shared" si="27"/>
        <v/>
      </c>
      <c r="F159" s="934" t="str">
        <f t="shared" si="28"/>
        <v/>
      </c>
      <c r="G159" s="934" t="str">
        <f t="shared" si="29"/>
        <v/>
      </c>
      <c r="H159" s="934" t="str">
        <f t="shared" si="30"/>
        <v/>
      </c>
      <c r="I159" s="934" t="str">
        <f t="shared" si="31"/>
        <v/>
      </c>
      <c r="J159" s="858"/>
      <c r="K159" s="858"/>
      <c r="N159"/>
      <c r="O159"/>
      <c r="P159"/>
      <c r="Q159"/>
      <c r="R159"/>
      <c r="S159"/>
      <c r="T159"/>
      <c r="U159"/>
      <c r="V159"/>
    </row>
    <row r="160" spans="1:22" ht="15" hidden="1" customHeight="1">
      <c r="A160" t="str">
        <f t="shared" si="24"/>
        <v>*</v>
      </c>
      <c r="B160" s="16"/>
      <c r="C160" s="937" t="str">
        <f t="shared" si="25"/>
        <v/>
      </c>
      <c r="D160" s="934" t="str">
        <f t="shared" si="26"/>
        <v/>
      </c>
      <c r="E160" s="934" t="str">
        <f t="shared" si="27"/>
        <v/>
      </c>
      <c r="F160" s="934" t="str">
        <f t="shared" si="28"/>
        <v/>
      </c>
      <c r="G160" s="934" t="str">
        <f t="shared" si="29"/>
        <v/>
      </c>
      <c r="H160" s="934" t="str">
        <f t="shared" si="30"/>
        <v/>
      </c>
      <c r="I160" s="934" t="str">
        <f t="shared" si="31"/>
        <v/>
      </c>
      <c r="J160" s="858"/>
      <c r="K160" s="858"/>
      <c r="N160"/>
      <c r="O160"/>
      <c r="P160"/>
      <c r="Q160"/>
      <c r="R160"/>
      <c r="S160"/>
      <c r="T160"/>
      <c r="U160"/>
      <c r="V160"/>
    </row>
    <row r="161" spans="1:22" ht="15" hidden="1" customHeight="1">
      <c r="A161" t="str">
        <f t="shared" si="24"/>
        <v>*</v>
      </c>
      <c r="B161" s="16"/>
      <c r="C161" s="937" t="str">
        <f t="shared" si="25"/>
        <v/>
      </c>
      <c r="D161" s="934" t="str">
        <f t="shared" si="26"/>
        <v/>
      </c>
      <c r="E161" s="934" t="str">
        <f t="shared" si="27"/>
        <v/>
      </c>
      <c r="F161" s="934" t="str">
        <f t="shared" si="28"/>
        <v/>
      </c>
      <c r="G161" s="934" t="str">
        <f t="shared" si="29"/>
        <v/>
      </c>
      <c r="H161" s="934" t="str">
        <f t="shared" si="30"/>
        <v/>
      </c>
      <c r="I161" s="934" t="str">
        <f t="shared" si="31"/>
        <v/>
      </c>
      <c r="J161" s="858"/>
      <c r="K161" s="858"/>
      <c r="N161"/>
      <c r="O161"/>
      <c r="P161"/>
      <c r="Q161"/>
      <c r="R161"/>
      <c r="S161"/>
      <c r="T161"/>
      <c r="U161"/>
      <c r="V161"/>
    </row>
    <row r="162" spans="1:22" ht="15" hidden="1" customHeight="1">
      <c r="A162" t="str">
        <f t="shared" si="24"/>
        <v>*</v>
      </c>
      <c r="B162" s="16"/>
      <c r="C162" s="937" t="str">
        <f t="shared" si="25"/>
        <v/>
      </c>
      <c r="D162" s="934" t="str">
        <f t="shared" si="26"/>
        <v/>
      </c>
      <c r="E162" s="934" t="str">
        <f t="shared" si="27"/>
        <v/>
      </c>
      <c r="F162" s="934" t="str">
        <f t="shared" si="28"/>
        <v/>
      </c>
      <c r="G162" s="934" t="str">
        <f t="shared" si="29"/>
        <v/>
      </c>
      <c r="H162" s="934" t="str">
        <f t="shared" si="30"/>
        <v/>
      </c>
      <c r="I162" s="934" t="str">
        <f t="shared" si="31"/>
        <v/>
      </c>
      <c r="J162" s="858"/>
      <c r="K162" s="858"/>
      <c r="N162"/>
      <c r="O162"/>
      <c r="P162"/>
      <c r="Q162"/>
      <c r="R162"/>
      <c r="S162"/>
      <c r="T162"/>
      <c r="U162"/>
      <c r="V162"/>
    </row>
    <row r="163" spans="1:22" ht="15" hidden="1" customHeight="1">
      <c r="A163" t="str">
        <f t="shared" si="24"/>
        <v>*</v>
      </c>
      <c r="B163" s="16"/>
      <c r="C163" s="937" t="str">
        <f t="shared" si="25"/>
        <v/>
      </c>
      <c r="D163" s="934" t="str">
        <f t="shared" si="26"/>
        <v/>
      </c>
      <c r="E163" s="934" t="str">
        <f t="shared" si="27"/>
        <v/>
      </c>
      <c r="F163" s="934" t="str">
        <f t="shared" si="28"/>
        <v/>
      </c>
      <c r="G163" s="934" t="str">
        <f t="shared" si="29"/>
        <v/>
      </c>
      <c r="H163" s="934" t="str">
        <f t="shared" si="30"/>
        <v/>
      </c>
      <c r="I163" s="934" t="str">
        <f t="shared" si="31"/>
        <v/>
      </c>
      <c r="J163" s="858"/>
      <c r="K163" s="858"/>
      <c r="N163"/>
      <c r="O163"/>
      <c r="P163"/>
      <c r="Q163"/>
      <c r="R163"/>
      <c r="S163"/>
      <c r="T163"/>
      <c r="U163"/>
      <c r="V163"/>
    </row>
    <row r="164" spans="1:22" ht="15" hidden="1" customHeight="1">
      <c r="A164" t="str">
        <f t="shared" si="24"/>
        <v>*</v>
      </c>
      <c r="B164" s="16"/>
      <c r="C164" s="937" t="str">
        <f t="shared" si="25"/>
        <v/>
      </c>
      <c r="D164" s="935" t="str">
        <f t="shared" si="26"/>
        <v/>
      </c>
      <c r="E164" s="935" t="str">
        <f t="shared" si="27"/>
        <v/>
      </c>
      <c r="F164" s="935" t="str">
        <f t="shared" si="28"/>
        <v/>
      </c>
      <c r="G164" s="935" t="str">
        <f t="shared" si="29"/>
        <v/>
      </c>
      <c r="H164" s="935" t="str">
        <f t="shared" si="30"/>
        <v/>
      </c>
      <c r="I164" s="935" t="str">
        <f t="shared" si="31"/>
        <v/>
      </c>
      <c r="J164" s="858"/>
      <c r="K164" s="858"/>
      <c r="N164"/>
      <c r="O164"/>
      <c r="P164"/>
      <c r="Q164"/>
      <c r="R164"/>
      <c r="S164"/>
      <c r="T164"/>
      <c r="U164"/>
      <c r="V164"/>
    </row>
    <row r="165" spans="1:22" ht="15" customHeight="1">
      <c r="A165" t="s">
        <v>477</v>
      </c>
      <c r="B165" s="16"/>
      <c r="C165" s="859" t="s">
        <v>885</v>
      </c>
      <c r="D165" s="875">
        <f t="shared" ref="D165:I165" si="32">SUM(D145:D164)</f>
        <v>305.81875000000002</v>
      </c>
      <c r="E165" s="875">
        <f t="shared" si="32"/>
        <v>4.5</v>
      </c>
      <c r="F165" s="875">
        <f t="shared" si="32"/>
        <v>310.31875000000002</v>
      </c>
      <c r="G165" s="875">
        <f t="shared" si="32"/>
        <v>316.57375000000002</v>
      </c>
      <c r="H165" s="875">
        <f t="shared" si="32"/>
        <v>4.5</v>
      </c>
      <c r="I165" s="875">
        <f t="shared" si="32"/>
        <v>321.07375000000002</v>
      </c>
      <c r="J165" s="858"/>
      <c r="K165" s="858"/>
      <c r="N165"/>
      <c r="O165"/>
      <c r="P165"/>
      <c r="Q165"/>
      <c r="R165"/>
      <c r="S165"/>
      <c r="T165"/>
      <c r="U165"/>
      <c r="V165"/>
    </row>
    <row r="166" spans="1:22" s="25" customFormat="1" ht="7.5" customHeight="1">
      <c r="B166" s="27"/>
      <c r="C166" s="39"/>
      <c r="D166" s="870"/>
      <c r="E166" s="870"/>
      <c r="I166" s="39"/>
      <c r="J166" s="870"/>
      <c r="K166" s="870"/>
    </row>
    <row r="167" spans="1:22" s="25" customFormat="1" ht="15" customHeight="1">
      <c r="B167" s="27"/>
      <c r="C167" s="860" t="s">
        <v>413</v>
      </c>
      <c r="D167" s="947">
        <v>1.25</v>
      </c>
      <c r="F167" s="860" t="s">
        <v>414</v>
      </c>
      <c r="G167" s="947">
        <v>1.5</v>
      </c>
      <c r="I167" s="880"/>
      <c r="J167" s="870"/>
      <c r="K167" s="870"/>
    </row>
    <row r="168" spans="1:22" s="25" customFormat="1" ht="15" customHeight="1">
      <c r="B168" s="27"/>
      <c r="C168" s="880" t="s">
        <v>781</v>
      </c>
      <c r="D168" s="870"/>
      <c r="E168" s="870"/>
      <c r="I168" s="880" t="s">
        <v>780</v>
      </c>
      <c r="J168" s="870"/>
      <c r="K168" s="870"/>
    </row>
    <row r="169" spans="1:22" s="25" customFormat="1" ht="15" customHeight="1">
      <c r="B169" s="27"/>
      <c r="C169" s="1109" t="s">
        <v>771</v>
      </c>
      <c r="D169" s="909"/>
      <c r="E169" s="909"/>
      <c r="F169" s="1110" t="s">
        <v>772</v>
      </c>
      <c r="G169" s="1111"/>
      <c r="H169" s="1111"/>
      <c r="I169" s="1109" t="s">
        <v>771</v>
      </c>
      <c r="J169" s="909"/>
      <c r="K169" s="909"/>
      <c r="L169" s="1110" t="s">
        <v>772</v>
      </c>
    </row>
    <row r="170" spans="1:22" ht="15" customHeight="1">
      <c r="B170" s="16"/>
      <c r="C170" t="s">
        <v>555</v>
      </c>
      <c r="D170" s="884">
        <f>(D165+D138)*$D$167</f>
        <v>60.069531250000026</v>
      </c>
      <c r="F170" t="s">
        <v>555</v>
      </c>
      <c r="G170" s="884">
        <f>(G165+G138)*$D$167</f>
        <v>58.575781250000034</v>
      </c>
      <c r="I170" s="44" t="s">
        <v>574</v>
      </c>
      <c r="J170" s="884">
        <f>$D$167*IF(ABS(D138)&gt;ABS(D165),D138,D165)</f>
        <v>382.2734375</v>
      </c>
      <c r="L170" s="44" t="s">
        <v>574</v>
      </c>
      <c r="M170" s="884">
        <f>$D$167*IF(ABS(G138)&gt;ABS(G165),G138,G165)</f>
        <v>395.71718750000002</v>
      </c>
      <c r="N170"/>
      <c r="O170"/>
      <c r="P170"/>
      <c r="Q170"/>
      <c r="R170"/>
      <c r="S170"/>
      <c r="T170"/>
      <c r="U170"/>
      <c r="V170"/>
    </row>
    <row r="171" spans="1:22" ht="15" customHeight="1">
      <c r="B171" s="16"/>
      <c r="C171" t="s">
        <v>556</v>
      </c>
      <c r="D171" s="884">
        <f>(E138+E165)*$G$167</f>
        <v>1.125</v>
      </c>
      <c r="F171" t="s">
        <v>556</v>
      </c>
      <c r="G171" s="884">
        <f>(H138+H165)*$G$167</f>
        <v>1.125</v>
      </c>
      <c r="I171" s="881" t="str">
        <f>IF(ABS(D138)=ABS(D165),"",IF(ABS(D138)&gt;ABS(D165),"Backward Span Controls","Forward Span Controls"))</f>
        <v>Forward Span Controls</v>
      </c>
      <c r="J171" s="864"/>
      <c r="L171" s="881" t="str">
        <f>IF(ABS(G138)=ABS(G165),"",IF(ABS(G138)&gt;ABS(G165),"Backward Span Controls","Forward Span Controls"))</f>
        <v>Forward Span Controls</v>
      </c>
      <c r="M171" s="864"/>
      <c r="N171"/>
      <c r="O171"/>
      <c r="P171"/>
      <c r="Q171"/>
      <c r="R171"/>
      <c r="S171"/>
      <c r="T171"/>
      <c r="U171"/>
      <c r="V171"/>
    </row>
    <row r="172" spans="1:22" ht="15" customHeight="1">
      <c r="B172" s="16"/>
      <c r="C172" s="44" t="s">
        <v>417</v>
      </c>
      <c r="D172" s="907">
        <f>D170+D171</f>
        <v>61.194531250000026</v>
      </c>
      <c r="F172" s="44" t="s">
        <v>417</v>
      </c>
      <c r="G172" s="907">
        <f>G170+G171</f>
        <v>59.700781250000034</v>
      </c>
      <c r="N172"/>
      <c r="O172"/>
      <c r="P172"/>
      <c r="Q172"/>
      <c r="R172"/>
      <c r="S172"/>
      <c r="T172"/>
      <c r="U172"/>
      <c r="V172"/>
    </row>
    <row r="173" spans="1:22" ht="15" customHeight="1">
      <c r="B173" s="16"/>
      <c r="N173"/>
      <c r="O173"/>
      <c r="P173"/>
      <c r="Q173"/>
      <c r="R173"/>
      <c r="S173"/>
      <c r="T173"/>
      <c r="U173"/>
      <c r="V173"/>
    </row>
    <row r="174" spans="1:22" ht="15" customHeight="1" thickBot="1">
      <c r="B174" s="16"/>
      <c r="C174" s="1644" t="s">
        <v>794</v>
      </c>
      <c r="D174" s="1644"/>
      <c r="E174" s="1644"/>
      <c r="F174" s="1644"/>
      <c r="G174" s="1644"/>
      <c r="H174" s="1644"/>
      <c r="I174" s="1644"/>
      <c r="J174" s="1644"/>
      <c r="K174" s="1644"/>
      <c r="L174" s="1644"/>
      <c r="M174" s="1644"/>
      <c r="N174"/>
      <c r="O174"/>
      <c r="P174"/>
      <c r="Q174"/>
      <c r="R174"/>
      <c r="S174"/>
      <c r="T174"/>
      <c r="U174"/>
      <c r="V174"/>
    </row>
    <row r="175" spans="1:22" ht="6" customHeight="1">
      <c r="B175" s="16"/>
      <c r="C175" s="863"/>
      <c r="D175" s="18"/>
      <c r="E175" s="40"/>
      <c r="F175" s="862"/>
      <c r="H175" s="862"/>
      <c r="I175" s="862"/>
      <c r="K175" s="16"/>
      <c r="L175" s="858"/>
      <c r="M175" s="858"/>
      <c r="N175"/>
      <c r="O175"/>
      <c r="P175"/>
      <c r="Q175"/>
      <c r="R175"/>
      <c r="S175"/>
      <c r="T175"/>
      <c r="U175"/>
      <c r="V175"/>
    </row>
    <row r="176" spans="1:22" ht="15" customHeight="1">
      <c r="B176" s="16"/>
      <c r="C176" s="44" t="s">
        <v>1012</v>
      </c>
      <c r="I176" s="44" t="s">
        <v>1009</v>
      </c>
      <c r="K176" s="16"/>
      <c r="L176" s="858"/>
      <c r="M176" s="858"/>
      <c r="N176"/>
      <c r="O176"/>
      <c r="P176"/>
      <c r="Q176"/>
      <c r="R176"/>
      <c r="S176"/>
      <c r="T176"/>
      <c r="U176"/>
      <c r="V176"/>
    </row>
    <row r="177" spans="1:22" ht="3.75" customHeight="1">
      <c r="B177" s="16"/>
      <c r="C177" s="44"/>
      <c r="I177" s="44"/>
      <c r="K177" s="16"/>
      <c r="L177" s="858"/>
      <c r="M177" s="858"/>
      <c r="N177"/>
      <c r="O177"/>
      <c r="P177"/>
      <c r="Q177"/>
      <c r="R177"/>
      <c r="S177"/>
      <c r="T177"/>
      <c r="U177"/>
      <c r="V177"/>
    </row>
    <row r="178" spans="1:22" ht="14.25" customHeight="1">
      <c r="B178" s="16"/>
      <c r="C178" s="44"/>
      <c r="D178" s="1633" t="s">
        <v>998</v>
      </c>
      <c r="E178" s="1634"/>
      <c r="F178" s="1633" t="s">
        <v>1010</v>
      </c>
      <c r="G178" s="1634"/>
      <c r="I178" s="44"/>
      <c r="J178" s="1633" t="s">
        <v>998</v>
      </c>
      <c r="K178" s="1634"/>
      <c r="L178" s="1633" t="s">
        <v>793</v>
      </c>
      <c r="M178" s="1634"/>
      <c r="N178"/>
      <c r="O178"/>
      <c r="P178"/>
      <c r="Q178"/>
      <c r="R178"/>
      <c r="S178"/>
      <c r="T178"/>
      <c r="U178"/>
      <c r="V178"/>
    </row>
    <row r="179" spans="1:22" ht="15" customHeight="1">
      <c r="B179" s="16"/>
      <c r="C179" s="940"/>
      <c r="D179" s="242" t="s">
        <v>997</v>
      </c>
      <c r="E179" s="242" t="s">
        <v>1008</v>
      </c>
      <c r="F179" s="916" t="s">
        <v>997</v>
      </c>
      <c r="G179" s="242" t="s">
        <v>1008</v>
      </c>
      <c r="I179" s="940"/>
      <c r="J179" s="242" t="s">
        <v>997</v>
      </c>
      <c r="K179" s="242" t="s">
        <v>1008</v>
      </c>
      <c r="L179" s="916" t="s">
        <v>997</v>
      </c>
      <c r="M179" s="242" t="s">
        <v>1008</v>
      </c>
      <c r="N179"/>
      <c r="O179"/>
      <c r="P179"/>
      <c r="Q179"/>
      <c r="R179"/>
      <c r="S179"/>
      <c r="T179"/>
      <c r="U179"/>
      <c r="V179"/>
    </row>
    <row r="180" spans="1:22" ht="15" customHeight="1">
      <c r="A180" t="str">
        <f t="shared" ref="A180:A199" si="33">IF(AND(C180="",I180=""),"*","")</f>
        <v/>
      </c>
      <c r="B180" s="894">
        <v>1</v>
      </c>
      <c r="C180" s="963" t="s">
        <v>1080</v>
      </c>
      <c r="D180" s="1098">
        <f>IF($C180="","",'Live Load on Cap'!J25)</f>
        <v>48.468636734693874</v>
      </c>
      <c r="E180" s="1098">
        <f>IF($C180="","",'Live Load on Cap'!K25)</f>
        <v>2.8303290340136056</v>
      </c>
      <c r="F180" s="857">
        <f>IF($C180="","",'Live Load on Cap'!H25)</f>
        <v>121.2713215419501</v>
      </c>
      <c r="G180" s="921">
        <f>IF($C180="","",'Live Load on Cap'!I25)</f>
        <v>26.855215020408163</v>
      </c>
      <c r="H180" s="894">
        <v>1</v>
      </c>
      <c r="I180" s="963" t="s">
        <v>1080</v>
      </c>
      <c r="J180" s="1098">
        <f>IF($I180="","",'Live Load on Cap'!J55)</f>
        <v>122.99996976568404</v>
      </c>
      <c r="K180" s="1098">
        <f>IF($I180="","",'Live Load on Cap'!K55)</f>
        <v>24.792804716553288</v>
      </c>
      <c r="L180" s="857">
        <f>IF($I180="","",'Live Load on Cap'!H55)</f>
        <v>130.64591383219954</v>
      </c>
      <c r="M180" s="921">
        <f>IF($I180="","",'Live Load on Cap'!I55)</f>
        <v>27.315966258503401</v>
      </c>
      <c r="N180"/>
      <c r="O180"/>
      <c r="P180"/>
      <c r="Q180"/>
      <c r="R180"/>
      <c r="S180"/>
      <c r="T180"/>
      <c r="U180"/>
      <c r="V180"/>
    </row>
    <row r="181" spans="1:22" ht="15" customHeight="1">
      <c r="A181" t="str">
        <f t="shared" si="33"/>
        <v/>
      </c>
      <c r="B181" s="894">
        <f t="shared" ref="B181:B199" si="34">B180+1</f>
        <v>2</v>
      </c>
      <c r="C181" s="963" t="str">
        <f t="shared" ref="C181:C199" si="35">IF(D20="","","Beam "&amp;B181)</f>
        <v>Beam 2</v>
      </c>
      <c r="D181" s="921">
        <f>IF($C181="","",'Live Load on Cap'!J26)</f>
        <v>48.468636734693874</v>
      </c>
      <c r="E181" s="921">
        <f>IF($C181="","",'Live Load on Cap'!K26)</f>
        <v>2.8303290340136056</v>
      </c>
      <c r="F181" s="857">
        <f>IF($C181="","",'Live Load on Cap'!H26)</f>
        <v>121.2713215419501</v>
      </c>
      <c r="G181" s="921">
        <f>IF($C181="","",'Live Load on Cap'!I26)</f>
        <v>26.855215020408163</v>
      </c>
      <c r="H181" s="894">
        <f t="shared" ref="H181:H199" si="36">H180+1</f>
        <v>2</v>
      </c>
      <c r="I181" s="963" t="str">
        <f t="shared" ref="I181:I199" si="37">IF(J20="","","Beam "&amp;B181)</f>
        <v>Beam 2</v>
      </c>
      <c r="J181" s="921">
        <f>IF($I181="","",'Live Load on Cap'!J56)</f>
        <v>122.99996976568404</v>
      </c>
      <c r="K181" s="921">
        <f>IF($I181="","",'Live Load on Cap'!K56)</f>
        <v>24.792804716553288</v>
      </c>
      <c r="L181" s="857">
        <f>IF($I181="","",'Live Load on Cap'!H56)</f>
        <v>130.64591383219954</v>
      </c>
      <c r="M181" s="921">
        <f>IF($I181="","",'Live Load on Cap'!I56)</f>
        <v>27.315966258503401</v>
      </c>
      <c r="N181"/>
      <c r="O181"/>
      <c r="P181"/>
      <c r="Q181"/>
      <c r="R181"/>
      <c r="S181"/>
      <c r="T181"/>
      <c r="U181"/>
      <c r="V181"/>
    </row>
    <row r="182" spans="1:22" ht="15" customHeight="1">
      <c r="A182" t="str">
        <f t="shared" si="33"/>
        <v/>
      </c>
      <c r="B182" s="894">
        <f t="shared" si="34"/>
        <v>3</v>
      </c>
      <c r="C182" s="963" t="str">
        <f t="shared" si="35"/>
        <v>Beam 3</v>
      </c>
      <c r="D182" s="921">
        <f>IF($C182="","",'Live Load on Cap'!J27)</f>
        <v>48.468636734693874</v>
      </c>
      <c r="E182" s="921">
        <f>IF($C182="","",'Live Load on Cap'!K27)</f>
        <v>2.8303290340136056</v>
      </c>
      <c r="F182" s="857">
        <f>IF($C182="","",'Live Load on Cap'!H27)</f>
        <v>121.2713215419501</v>
      </c>
      <c r="G182" s="921">
        <f>IF($C182="","",'Live Load on Cap'!I27)</f>
        <v>26.855215020408163</v>
      </c>
      <c r="H182" s="894">
        <f t="shared" si="36"/>
        <v>3</v>
      </c>
      <c r="I182" s="963" t="str">
        <f t="shared" si="37"/>
        <v>Beam 3</v>
      </c>
      <c r="J182" s="921">
        <f>IF($I182="","",'Live Load on Cap'!J57)</f>
        <v>122.99996976568404</v>
      </c>
      <c r="K182" s="921">
        <f>IF($I182="","",'Live Load on Cap'!K57)</f>
        <v>24.792804716553288</v>
      </c>
      <c r="L182" s="857">
        <f>IF($I182="","",'Live Load on Cap'!H57)</f>
        <v>130.64591383219954</v>
      </c>
      <c r="M182" s="921">
        <f>IF($I182="","",'Live Load on Cap'!I57)</f>
        <v>27.315966258503401</v>
      </c>
      <c r="N182"/>
      <c r="O182"/>
      <c r="P182"/>
      <c r="Q182"/>
      <c r="R182"/>
      <c r="S182"/>
      <c r="T182"/>
      <c r="U182"/>
      <c r="V182"/>
    </row>
    <row r="183" spans="1:22" ht="15" customHeight="1">
      <c r="A183" t="str">
        <f t="shared" si="33"/>
        <v/>
      </c>
      <c r="B183" s="894">
        <f t="shared" si="34"/>
        <v>4</v>
      </c>
      <c r="C183" s="963" t="str">
        <f t="shared" si="35"/>
        <v>Beam 4</v>
      </c>
      <c r="D183" s="921">
        <f>IF($C183="","",'Live Load on Cap'!J28)</f>
        <v>48.468636734693874</v>
      </c>
      <c r="E183" s="921">
        <f>IF($C183="","",'Live Load on Cap'!K28)</f>
        <v>2.8303290340136056</v>
      </c>
      <c r="F183" s="857">
        <f>IF($C183="","",'Live Load on Cap'!H28)</f>
        <v>121.2713215419501</v>
      </c>
      <c r="G183" s="921">
        <f>IF($C183="","",'Live Load on Cap'!I28)</f>
        <v>26.855215020408163</v>
      </c>
      <c r="H183" s="894">
        <f t="shared" si="36"/>
        <v>4</v>
      </c>
      <c r="I183" s="963" t="str">
        <f t="shared" si="37"/>
        <v>Beam 4</v>
      </c>
      <c r="J183" s="921">
        <f>IF($I183="","",'Live Load on Cap'!J58)</f>
        <v>122.99996976568404</v>
      </c>
      <c r="K183" s="921">
        <f>IF($I183="","",'Live Load on Cap'!K58)</f>
        <v>24.792804716553288</v>
      </c>
      <c r="L183" s="857">
        <f>IF($I183="","",'Live Load on Cap'!H58)</f>
        <v>130.64591383219954</v>
      </c>
      <c r="M183" s="921">
        <f>IF($I183="","",'Live Load on Cap'!I58)</f>
        <v>27.315966258503401</v>
      </c>
      <c r="N183"/>
      <c r="O183"/>
      <c r="P183"/>
      <c r="Q183"/>
      <c r="R183"/>
      <c r="S183"/>
      <c r="T183"/>
      <c r="U183"/>
      <c r="V183"/>
    </row>
    <row r="184" spans="1:22" ht="15" customHeight="1">
      <c r="A184" t="str">
        <f t="shared" si="33"/>
        <v>*</v>
      </c>
      <c r="B184" s="894">
        <f t="shared" si="34"/>
        <v>5</v>
      </c>
      <c r="C184" s="963" t="str">
        <f t="shared" si="35"/>
        <v/>
      </c>
      <c r="D184" s="921" t="str">
        <f>IF($C184="","",'Live Load on Cap'!J29)</f>
        <v/>
      </c>
      <c r="E184" s="921" t="str">
        <f>IF($C184="","",'Live Load on Cap'!K29)</f>
        <v/>
      </c>
      <c r="F184" s="857" t="str">
        <f>IF($C184="","",'Live Load on Cap'!H29)</f>
        <v/>
      </c>
      <c r="G184" s="921" t="str">
        <f>IF($C184="","",'Live Load on Cap'!I29)</f>
        <v/>
      </c>
      <c r="H184" s="983">
        <f t="shared" si="36"/>
        <v>5</v>
      </c>
      <c r="I184" s="965" t="str">
        <f t="shared" si="37"/>
        <v/>
      </c>
      <c r="J184" s="921" t="str">
        <f>IF($I184="","",'Live Load on Cap'!J59)</f>
        <v/>
      </c>
      <c r="K184" s="921" t="str">
        <f>IF($I184="","",'Live Load on Cap'!K59)</f>
        <v/>
      </c>
      <c r="L184" s="857" t="str">
        <f>IF($I184="","",'Live Load on Cap'!H59)</f>
        <v/>
      </c>
      <c r="M184" s="921" t="str">
        <f>IF($I184="","",'Live Load on Cap'!I59)</f>
        <v/>
      </c>
      <c r="N184"/>
      <c r="O184"/>
      <c r="P184"/>
      <c r="Q184"/>
      <c r="R184"/>
      <c r="S184"/>
      <c r="T184"/>
      <c r="U184"/>
      <c r="V184"/>
    </row>
    <row r="185" spans="1:22" ht="15" hidden="1" customHeight="1">
      <c r="A185" t="str">
        <f t="shared" si="33"/>
        <v>*</v>
      </c>
      <c r="B185" s="894">
        <f t="shared" si="34"/>
        <v>6</v>
      </c>
      <c r="C185" s="963" t="str">
        <f t="shared" si="35"/>
        <v/>
      </c>
      <c r="D185" s="921" t="str">
        <f>IF($C185="","",'Live Load on Cap'!J30)</f>
        <v/>
      </c>
      <c r="E185" s="921" t="str">
        <f>IF($C185="","",'Live Load on Cap'!K30)</f>
        <v/>
      </c>
      <c r="F185" s="857" t="str">
        <f>IF($C185="","",'Live Load on Cap'!H30)</f>
        <v/>
      </c>
      <c r="G185" s="921" t="str">
        <f>IF($C185="","",'Live Load on Cap'!I30)</f>
        <v/>
      </c>
      <c r="H185" s="894">
        <f t="shared" si="36"/>
        <v>6</v>
      </c>
      <c r="I185" s="965" t="str">
        <f t="shared" si="37"/>
        <v/>
      </c>
      <c r="J185" s="921" t="str">
        <f>IF($I185="","",'Live Load on Cap'!J60)</f>
        <v/>
      </c>
      <c r="K185" s="921" t="str">
        <f>IF($I185="","",'Live Load on Cap'!K60)</f>
        <v/>
      </c>
      <c r="L185" s="857" t="str">
        <f>IF($I185="","",'Live Load on Cap'!H60)</f>
        <v/>
      </c>
      <c r="M185" s="921" t="str">
        <f>IF($I185="","",'Live Load on Cap'!I60)</f>
        <v/>
      </c>
      <c r="N185"/>
      <c r="O185"/>
      <c r="P185"/>
      <c r="Q185"/>
      <c r="R185"/>
      <c r="S185"/>
      <c r="T185"/>
      <c r="U185"/>
      <c r="V185"/>
    </row>
    <row r="186" spans="1:22" ht="15" hidden="1" customHeight="1">
      <c r="A186" t="str">
        <f t="shared" si="33"/>
        <v>*</v>
      </c>
      <c r="B186" s="894">
        <f t="shared" si="34"/>
        <v>7</v>
      </c>
      <c r="C186" s="963" t="str">
        <f t="shared" si="35"/>
        <v/>
      </c>
      <c r="D186" s="921" t="str">
        <f>IF($C186="","",'Live Load on Cap'!J31)</f>
        <v/>
      </c>
      <c r="E186" s="921" t="str">
        <f>IF($C186="","",'Live Load on Cap'!K31)</f>
        <v/>
      </c>
      <c r="F186" s="857" t="str">
        <f>IF($C186="","",'Live Load on Cap'!H31)</f>
        <v/>
      </c>
      <c r="G186" s="921" t="str">
        <f>IF($C186="","",'Live Load on Cap'!I31)</f>
        <v/>
      </c>
      <c r="H186" s="894">
        <f t="shared" si="36"/>
        <v>7</v>
      </c>
      <c r="I186" s="965" t="str">
        <f t="shared" si="37"/>
        <v/>
      </c>
      <c r="J186" s="921" t="str">
        <f>IF($I186="","",'Live Load on Cap'!J61)</f>
        <v/>
      </c>
      <c r="K186" s="921" t="str">
        <f>IF($I186="","",'Live Load on Cap'!K61)</f>
        <v/>
      </c>
      <c r="L186" s="857" t="str">
        <f>IF($I186="","",'Live Load on Cap'!H61)</f>
        <v/>
      </c>
      <c r="M186" s="921" t="str">
        <f>IF($I186="","",'Live Load on Cap'!I61)</f>
        <v/>
      </c>
      <c r="N186"/>
      <c r="O186"/>
      <c r="P186"/>
      <c r="Q186"/>
      <c r="R186"/>
      <c r="S186"/>
      <c r="T186"/>
      <c r="U186"/>
      <c r="V186"/>
    </row>
    <row r="187" spans="1:22" ht="15" hidden="1" customHeight="1">
      <c r="A187" t="str">
        <f t="shared" si="33"/>
        <v>*</v>
      </c>
      <c r="B187" s="894">
        <f t="shared" si="34"/>
        <v>8</v>
      </c>
      <c r="C187" s="963" t="str">
        <f t="shared" si="35"/>
        <v/>
      </c>
      <c r="D187" s="921" t="str">
        <f>IF($C187="","",'Live Load on Cap'!J32)</f>
        <v/>
      </c>
      <c r="E187" s="921" t="str">
        <f>IF($C187="","",'Live Load on Cap'!K32)</f>
        <v/>
      </c>
      <c r="F187" s="857" t="str">
        <f>IF($C187="","",'Live Load on Cap'!H32)</f>
        <v/>
      </c>
      <c r="G187" s="921" t="str">
        <f>IF($C187="","",'Live Load on Cap'!I32)</f>
        <v/>
      </c>
      <c r="H187" s="894">
        <f t="shared" si="36"/>
        <v>8</v>
      </c>
      <c r="I187" s="965" t="str">
        <f t="shared" si="37"/>
        <v/>
      </c>
      <c r="J187" s="921" t="str">
        <f>IF($I187="","",'Live Load on Cap'!J62)</f>
        <v/>
      </c>
      <c r="K187" s="921" t="str">
        <f>IF($I187="","",'Live Load on Cap'!K62)</f>
        <v/>
      </c>
      <c r="L187" s="857" t="str">
        <f>IF($I187="","",'Live Load on Cap'!H62)</f>
        <v/>
      </c>
      <c r="M187" s="921" t="str">
        <f>IF($I187="","",'Live Load on Cap'!I62)</f>
        <v/>
      </c>
      <c r="N187"/>
      <c r="O187"/>
      <c r="P187"/>
      <c r="Q187"/>
      <c r="R187"/>
      <c r="S187"/>
      <c r="T187"/>
      <c r="U187"/>
      <c r="V187"/>
    </row>
    <row r="188" spans="1:22" ht="15" hidden="1" customHeight="1">
      <c r="A188" t="str">
        <f t="shared" si="33"/>
        <v>*</v>
      </c>
      <c r="B188" s="894">
        <f t="shared" si="34"/>
        <v>9</v>
      </c>
      <c r="C188" s="963" t="str">
        <f t="shared" si="35"/>
        <v/>
      </c>
      <c r="D188" s="921" t="str">
        <f>IF($C188="","",'Live Load on Cap'!J33)</f>
        <v/>
      </c>
      <c r="E188" s="921" t="str">
        <f>IF($C188="","",'Live Load on Cap'!K33)</f>
        <v/>
      </c>
      <c r="F188" s="857" t="str">
        <f>IF($C188="","",'Live Load on Cap'!H33)</f>
        <v/>
      </c>
      <c r="G188" s="921" t="str">
        <f>IF($C188="","",'Live Load on Cap'!I33)</f>
        <v/>
      </c>
      <c r="H188" s="894">
        <f t="shared" si="36"/>
        <v>9</v>
      </c>
      <c r="I188" s="965" t="str">
        <f t="shared" si="37"/>
        <v/>
      </c>
      <c r="J188" s="921" t="str">
        <f>IF($I188="","",'Live Load on Cap'!J63)</f>
        <v/>
      </c>
      <c r="K188" s="921" t="str">
        <f>IF($I188="","",'Live Load on Cap'!K63)</f>
        <v/>
      </c>
      <c r="L188" s="857" t="str">
        <f>IF($I188="","",'Live Load on Cap'!H63)</f>
        <v/>
      </c>
      <c r="M188" s="921" t="str">
        <f>IF($I188="","",'Live Load on Cap'!I63)</f>
        <v/>
      </c>
      <c r="N188"/>
      <c r="O188"/>
      <c r="P188"/>
      <c r="Q188"/>
      <c r="R188"/>
      <c r="S188"/>
      <c r="T188"/>
      <c r="U188"/>
      <c r="V188"/>
    </row>
    <row r="189" spans="1:22" ht="15" hidden="1" customHeight="1">
      <c r="A189" t="str">
        <f t="shared" si="33"/>
        <v>*</v>
      </c>
      <c r="B189" s="894">
        <f t="shared" si="34"/>
        <v>10</v>
      </c>
      <c r="C189" s="963" t="str">
        <f t="shared" si="35"/>
        <v/>
      </c>
      <c r="D189" s="921" t="str">
        <f>IF($C189="","",'Live Load on Cap'!J34)</f>
        <v/>
      </c>
      <c r="E189" s="921" t="str">
        <f>IF($C189="","",'Live Load on Cap'!K34)</f>
        <v/>
      </c>
      <c r="F189" s="857" t="str">
        <f>IF($C189="","",'Live Load on Cap'!H34)</f>
        <v/>
      </c>
      <c r="G189" s="921" t="str">
        <f>IF($C189="","",'Live Load on Cap'!I34)</f>
        <v/>
      </c>
      <c r="H189" s="894">
        <f t="shared" si="36"/>
        <v>10</v>
      </c>
      <c r="I189" s="965" t="str">
        <f t="shared" si="37"/>
        <v/>
      </c>
      <c r="J189" s="921" t="str">
        <f>IF($I189="","",'Live Load on Cap'!J64)</f>
        <v/>
      </c>
      <c r="K189" s="921" t="str">
        <f>IF($I189="","",'Live Load on Cap'!K64)</f>
        <v/>
      </c>
      <c r="L189" s="857" t="str">
        <f>IF($I189="","",'Live Load on Cap'!H64)</f>
        <v/>
      </c>
      <c r="M189" s="921" t="str">
        <f>IF($I189="","",'Live Load on Cap'!I64)</f>
        <v/>
      </c>
      <c r="N189"/>
      <c r="O189"/>
      <c r="P189"/>
      <c r="Q189"/>
      <c r="R189"/>
      <c r="S189"/>
      <c r="T189"/>
      <c r="U189"/>
      <c r="V189"/>
    </row>
    <row r="190" spans="1:22" ht="15" hidden="1" customHeight="1">
      <c r="A190" t="str">
        <f t="shared" si="33"/>
        <v>*</v>
      </c>
      <c r="B190" s="894">
        <f t="shared" si="34"/>
        <v>11</v>
      </c>
      <c r="C190" s="963" t="str">
        <f t="shared" si="35"/>
        <v/>
      </c>
      <c r="D190" s="921" t="str">
        <f>IF($C190="","",'Live Load on Cap'!J35)</f>
        <v/>
      </c>
      <c r="E190" s="921" t="str">
        <f>IF($C190="","",'Live Load on Cap'!K35)</f>
        <v/>
      </c>
      <c r="F190" s="857" t="str">
        <f>IF($C190="","",'Live Load on Cap'!H35)</f>
        <v/>
      </c>
      <c r="G190" s="921" t="str">
        <f>IF($C190="","",'Live Load on Cap'!I35)</f>
        <v/>
      </c>
      <c r="H190" s="894">
        <f t="shared" si="36"/>
        <v>11</v>
      </c>
      <c r="I190" s="965" t="str">
        <f t="shared" si="37"/>
        <v/>
      </c>
      <c r="J190" s="921" t="str">
        <f>IF($I190="","",'Live Load on Cap'!J65)</f>
        <v/>
      </c>
      <c r="K190" s="921" t="str">
        <f>IF($I190="","",'Live Load on Cap'!K65)</f>
        <v/>
      </c>
      <c r="L190" s="857" t="str">
        <f>IF($I190="","",'Live Load on Cap'!H65)</f>
        <v/>
      </c>
      <c r="M190" s="921" t="str">
        <f>IF($I190="","",'Live Load on Cap'!I65)</f>
        <v/>
      </c>
      <c r="N190"/>
      <c r="O190"/>
      <c r="P190"/>
      <c r="Q190"/>
      <c r="R190"/>
      <c r="S190"/>
      <c r="T190"/>
      <c r="U190"/>
      <c r="V190"/>
    </row>
    <row r="191" spans="1:22" ht="15" hidden="1" customHeight="1">
      <c r="A191" t="str">
        <f t="shared" si="33"/>
        <v>*</v>
      </c>
      <c r="B191" s="894">
        <f t="shared" si="34"/>
        <v>12</v>
      </c>
      <c r="C191" s="963" t="str">
        <f t="shared" si="35"/>
        <v/>
      </c>
      <c r="D191" s="921" t="str">
        <f>IF($C191="","",'Live Load on Cap'!J36)</f>
        <v/>
      </c>
      <c r="E191" s="921" t="str">
        <f>IF($C191="","",'Live Load on Cap'!K36)</f>
        <v/>
      </c>
      <c r="F191" s="857" t="str">
        <f>IF($C191="","",'Live Load on Cap'!H36)</f>
        <v/>
      </c>
      <c r="G191" s="921" t="str">
        <f>IF($C191="","",'Live Load on Cap'!I36)</f>
        <v/>
      </c>
      <c r="H191" s="894">
        <f t="shared" si="36"/>
        <v>12</v>
      </c>
      <c r="I191" s="965" t="str">
        <f t="shared" si="37"/>
        <v/>
      </c>
      <c r="J191" s="921" t="str">
        <f>IF($I191="","",'Live Load on Cap'!J66)</f>
        <v/>
      </c>
      <c r="K191" s="921" t="str">
        <f>IF($I191="","",'Live Load on Cap'!K66)</f>
        <v/>
      </c>
      <c r="L191" s="857" t="str">
        <f>IF($I191="","",'Live Load on Cap'!H66)</f>
        <v/>
      </c>
      <c r="M191" s="921" t="str">
        <f>IF($I191="","",'Live Load on Cap'!I66)</f>
        <v/>
      </c>
      <c r="N191"/>
      <c r="O191"/>
      <c r="P191"/>
      <c r="Q191"/>
      <c r="R191"/>
      <c r="S191"/>
      <c r="T191"/>
      <c r="U191"/>
      <c r="V191"/>
    </row>
    <row r="192" spans="1:22" ht="15" hidden="1" customHeight="1">
      <c r="A192" t="str">
        <f t="shared" si="33"/>
        <v>*</v>
      </c>
      <c r="B192" s="894">
        <f t="shared" si="34"/>
        <v>13</v>
      </c>
      <c r="C192" s="963" t="str">
        <f t="shared" si="35"/>
        <v/>
      </c>
      <c r="D192" s="921" t="str">
        <f>IF($C192="","",'Live Load on Cap'!J37)</f>
        <v/>
      </c>
      <c r="E192" s="921" t="str">
        <f>IF($C192="","",'Live Load on Cap'!K37)</f>
        <v/>
      </c>
      <c r="F192" s="857" t="str">
        <f>IF($C192="","",'Live Load on Cap'!H37)</f>
        <v/>
      </c>
      <c r="G192" s="921" t="str">
        <f>IF($C192="","",'Live Load on Cap'!I37)</f>
        <v/>
      </c>
      <c r="H192" s="894">
        <f t="shared" si="36"/>
        <v>13</v>
      </c>
      <c r="I192" s="965" t="str">
        <f t="shared" si="37"/>
        <v/>
      </c>
      <c r="J192" s="921" t="str">
        <f>IF($I192="","",'Live Load on Cap'!J67)</f>
        <v/>
      </c>
      <c r="K192" s="921" t="str">
        <f>IF($I192="","",'Live Load on Cap'!K67)</f>
        <v/>
      </c>
      <c r="L192" s="857" t="str">
        <f>IF($I192="","",'Live Load on Cap'!H67)</f>
        <v/>
      </c>
      <c r="M192" s="921" t="str">
        <f>IF($I192="","",'Live Load on Cap'!I67)</f>
        <v/>
      </c>
      <c r="N192"/>
      <c r="O192"/>
      <c r="P192"/>
      <c r="Q192"/>
      <c r="R192"/>
      <c r="S192"/>
      <c r="T192"/>
      <c r="U192"/>
      <c r="V192"/>
    </row>
    <row r="193" spans="1:22" ht="15" hidden="1" customHeight="1">
      <c r="A193" t="str">
        <f t="shared" si="33"/>
        <v>*</v>
      </c>
      <c r="B193" s="894">
        <f t="shared" si="34"/>
        <v>14</v>
      </c>
      <c r="C193" s="963" t="str">
        <f t="shared" si="35"/>
        <v/>
      </c>
      <c r="D193" s="921" t="str">
        <f>IF($C193="","",'Live Load on Cap'!J38)</f>
        <v/>
      </c>
      <c r="E193" s="921" t="str">
        <f>IF($C193="","",'Live Load on Cap'!K38)</f>
        <v/>
      </c>
      <c r="F193" s="857" t="str">
        <f>IF($C193="","",'Live Load on Cap'!H38)</f>
        <v/>
      </c>
      <c r="G193" s="921" t="str">
        <f>IF($C193="","",'Live Load on Cap'!I38)</f>
        <v/>
      </c>
      <c r="H193" s="894">
        <f t="shared" si="36"/>
        <v>14</v>
      </c>
      <c r="I193" s="965" t="str">
        <f t="shared" si="37"/>
        <v/>
      </c>
      <c r="J193" s="921" t="str">
        <f>IF($I193="","",'Live Load on Cap'!J68)</f>
        <v/>
      </c>
      <c r="K193" s="921" t="str">
        <f>IF($I193="","",'Live Load on Cap'!K68)</f>
        <v/>
      </c>
      <c r="L193" s="857" t="str">
        <f>IF($I193="","",'Live Load on Cap'!H68)</f>
        <v/>
      </c>
      <c r="M193" s="921" t="str">
        <f>IF($I193="","",'Live Load on Cap'!I68)</f>
        <v/>
      </c>
      <c r="N193"/>
      <c r="O193"/>
      <c r="P193"/>
      <c r="Q193"/>
      <c r="R193"/>
      <c r="S193"/>
      <c r="T193"/>
      <c r="U193"/>
      <c r="V193"/>
    </row>
    <row r="194" spans="1:22" ht="15" hidden="1" customHeight="1">
      <c r="A194" t="str">
        <f t="shared" si="33"/>
        <v>*</v>
      </c>
      <c r="B194" s="894">
        <f t="shared" si="34"/>
        <v>15</v>
      </c>
      <c r="C194" s="963" t="str">
        <f t="shared" si="35"/>
        <v/>
      </c>
      <c r="D194" s="921" t="str">
        <f>IF($C194="","",'Live Load on Cap'!J39)</f>
        <v/>
      </c>
      <c r="E194" s="921" t="str">
        <f>IF($C194="","",'Live Load on Cap'!K39)</f>
        <v/>
      </c>
      <c r="F194" s="857" t="str">
        <f>IF($C194="","",'Live Load on Cap'!H39)</f>
        <v/>
      </c>
      <c r="G194" s="921" t="str">
        <f>IF($C194="","",'Live Load on Cap'!I39)</f>
        <v/>
      </c>
      <c r="H194" s="894">
        <f t="shared" si="36"/>
        <v>15</v>
      </c>
      <c r="I194" s="965" t="str">
        <f t="shared" si="37"/>
        <v/>
      </c>
      <c r="J194" s="921" t="str">
        <f>IF($I194="","",'Live Load on Cap'!J69)</f>
        <v/>
      </c>
      <c r="K194" s="921" t="str">
        <f>IF($I194="","",'Live Load on Cap'!K69)</f>
        <v/>
      </c>
      <c r="L194" s="857" t="str">
        <f>IF($I194="","",'Live Load on Cap'!H69)</f>
        <v/>
      </c>
      <c r="M194" s="921" t="str">
        <f>IF($I194="","",'Live Load on Cap'!I69)</f>
        <v/>
      </c>
      <c r="N194"/>
      <c r="O194"/>
      <c r="P194"/>
      <c r="Q194"/>
      <c r="R194"/>
      <c r="S194"/>
      <c r="T194"/>
      <c r="U194"/>
      <c r="V194"/>
    </row>
    <row r="195" spans="1:22" ht="15" hidden="1" customHeight="1">
      <c r="A195" t="str">
        <f t="shared" si="33"/>
        <v>*</v>
      </c>
      <c r="B195" s="894">
        <f t="shared" si="34"/>
        <v>16</v>
      </c>
      <c r="C195" s="963" t="str">
        <f t="shared" si="35"/>
        <v/>
      </c>
      <c r="D195" s="921" t="str">
        <f>IF($C195="","",'Live Load on Cap'!J40)</f>
        <v/>
      </c>
      <c r="E195" s="921" t="str">
        <f>IF($C195="","",'Live Load on Cap'!K40)</f>
        <v/>
      </c>
      <c r="F195" s="857" t="str">
        <f>IF($C195="","",'Live Load on Cap'!H40)</f>
        <v/>
      </c>
      <c r="G195" s="921" t="str">
        <f>IF($C195="","",'Live Load on Cap'!I40)</f>
        <v/>
      </c>
      <c r="H195" s="894">
        <f t="shared" si="36"/>
        <v>16</v>
      </c>
      <c r="I195" s="965" t="str">
        <f t="shared" si="37"/>
        <v/>
      </c>
      <c r="J195" s="921" t="str">
        <f>IF($I195="","",'Live Load on Cap'!J70)</f>
        <v/>
      </c>
      <c r="K195" s="921" t="str">
        <f>IF($I195="","",'Live Load on Cap'!K70)</f>
        <v/>
      </c>
      <c r="L195" s="857" t="str">
        <f>IF($I195="","",'Live Load on Cap'!H70)</f>
        <v/>
      </c>
      <c r="M195" s="921" t="str">
        <f>IF($I195="","",'Live Load on Cap'!I70)</f>
        <v/>
      </c>
      <c r="N195"/>
      <c r="O195"/>
      <c r="P195"/>
      <c r="Q195"/>
      <c r="R195"/>
      <c r="S195"/>
      <c r="T195"/>
      <c r="U195"/>
      <c r="V195"/>
    </row>
    <row r="196" spans="1:22" ht="15" hidden="1" customHeight="1">
      <c r="A196" t="str">
        <f t="shared" si="33"/>
        <v>*</v>
      </c>
      <c r="B196" s="894">
        <f t="shared" si="34"/>
        <v>17</v>
      </c>
      <c r="C196" s="963" t="str">
        <f t="shared" si="35"/>
        <v/>
      </c>
      <c r="D196" s="921" t="str">
        <f>IF($C196="","",'Live Load on Cap'!J41)</f>
        <v/>
      </c>
      <c r="E196" s="921" t="str">
        <f>IF($C196="","",'Live Load on Cap'!K41)</f>
        <v/>
      </c>
      <c r="F196" s="857" t="str">
        <f>IF($C196="","",'Live Load on Cap'!H41)</f>
        <v/>
      </c>
      <c r="G196" s="921" t="str">
        <f>IF($C196="","",'Live Load on Cap'!I41)</f>
        <v/>
      </c>
      <c r="H196" s="894">
        <f t="shared" si="36"/>
        <v>17</v>
      </c>
      <c r="I196" s="965" t="str">
        <f t="shared" si="37"/>
        <v/>
      </c>
      <c r="J196" s="921" t="str">
        <f>IF($I196="","",'Live Load on Cap'!J71)</f>
        <v/>
      </c>
      <c r="K196" s="921" t="str">
        <f>IF($I196="","",'Live Load on Cap'!K71)</f>
        <v/>
      </c>
      <c r="L196" s="857" t="str">
        <f>IF($I196="","",'Live Load on Cap'!H71)</f>
        <v/>
      </c>
      <c r="M196" s="921" t="str">
        <f>IF($I196="","",'Live Load on Cap'!I71)</f>
        <v/>
      </c>
      <c r="N196"/>
      <c r="O196"/>
      <c r="P196"/>
      <c r="Q196"/>
      <c r="R196"/>
      <c r="S196"/>
      <c r="T196"/>
      <c r="U196"/>
      <c r="V196"/>
    </row>
    <row r="197" spans="1:22" ht="15" hidden="1" customHeight="1">
      <c r="A197" t="str">
        <f t="shared" si="33"/>
        <v>*</v>
      </c>
      <c r="B197" s="894">
        <f t="shared" si="34"/>
        <v>18</v>
      </c>
      <c r="C197" s="963" t="str">
        <f t="shared" si="35"/>
        <v/>
      </c>
      <c r="D197" s="921" t="str">
        <f>IF($C197="","",'Live Load on Cap'!J42)</f>
        <v/>
      </c>
      <c r="E197" s="921" t="str">
        <f>IF($C197="","",'Live Load on Cap'!K42)</f>
        <v/>
      </c>
      <c r="F197" s="857" t="str">
        <f>IF($C197="","",'Live Load on Cap'!H42)</f>
        <v/>
      </c>
      <c r="G197" s="921" t="str">
        <f>IF($C197="","",'Live Load on Cap'!I42)</f>
        <v/>
      </c>
      <c r="H197" s="894">
        <f t="shared" si="36"/>
        <v>18</v>
      </c>
      <c r="I197" s="965" t="str">
        <f t="shared" si="37"/>
        <v/>
      </c>
      <c r="J197" s="921" t="str">
        <f>IF($I197="","",'Live Load on Cap'!J72)</f>
        <v/>
      </c>
      <c r="K197" s="921" t="str">
        <f>IF($I197="","",'Live Load on Cap'!K72)</f>
        <v/>
      </c>
      <c r="L197" s="857" t="str">
        <f>IF($I197="","",'Live Load on Cap'!H72)</f>
        <v/>
      </c>
      <c r="M197" s="921" t="str">
        <f>IF($I197="","",'Live Load on Cap'!I72)</f>
        <v/>
      </c>
      <c r="N197"/>
      <c r="O197"/>
      <c r="P197"/>
      <c r="Q197"/>
      <c r="R197"/>
      <c r="S197"/>
      <c r="T197"/>
      <c r="U197"/>
      <c r="V197"/>
    </row>
    <row r="198" spans="1:22" ht="15" hidden="1" customHeight="1">
      <c r="A198" t="str">
        <f t="shared" si="33"/>
        <v>*</v>
      </c>
      <c r="B198" s="894">
        <f t="shared" si="34"/>
        <v>19</v>
      </c>
      <c r="C198" s="963" t="str">
        <f t="shared" si="35"/>
        <v/>
      </c>
      <c r="D198" s="921" t="str">
        <f>IF($C198="","",'Live Load on Cap'!J43)</f>
        <v/>
      </c>
      <c r="E198" s="921" t="str">
        <f>IF($C198="","",'Live Load on Cap'!K43)</f>
        <v/>
      </c>
      <c r="F198" s="857" t="str">
        <f>IF($C198="","",'Live Load on Cap'!H43)</f>
        <v/>
      </c>
      <c r="G198" s="921" t="str">
        <f>IF($C198="","",'Live Load on Cap'!I43)</f>
        <v/>
      </c>
      <c r="H198" s="894">
        <f t="shared" si="36"/>
        <v>19</v>
      </c>
      <c r="I198" s="965" t="str">
        <f t="shared" si="37"/>
        <v/>
      </c>
      <c r="J198" s="921" t="str">
        <f>IF($I198="","",'Live Load on Cap'!J73)</f>
        <v/>
      </c>
      <c r="K198" s="921" t="str">
        <f>IF($I198="","",'Live Load on Cap'!K73)</f>
        <v/>
      </c>
      <c r="L198" s="857" t="str">
        <f>IF($I198="","",'Live Load on Cap'!H73)</f>
        <v/>
      </c>
      <c r="M198" s="921" t="str">
        <f>IF($I198="","",'Live Load on Cap'!I73)</f>
        <v/>
      </c>
      <c r="N198"/>
      <c r="O198"/>
      <c r="P198"/>
      <c r="Q198"/>
      <c r="R198"/>
      <c r="S198"/>
      <c r="T198"/>
      <c r="U198"/>
      <c r="V198"/>
    </row>
    <row r="199" spans="1:22" ht="15" hidden="1" customHeight="1">
      <c r="A199" t="str">
        <f t="shared" si="33"/>
        <v>*</v>
      </c>
      <c r="B199" s="894">
        <f t="shared" si="34"/>
        <v>20</v>
      </c>
      <c r="C199" s="964" t="str">
        <f t="shared" si="35"/>
        <v/>
      </c>
      <c r="D199" s="1099" t="str">
        <f>IF($C199="","",'Live Load on Cap'!J44)</f>
        <v/>
      </c>
      <c r="E199" s="1099" t="str">
        <f>IF($C199="","",'Live Load on Cap'!K44)</f>
        <v/>
      </c>
      <c r="F199" s="962" t="str">
        <f>IF($C199="","",'Live Load on Cap'!H44)</f>
        <v/>
      </c>
      <c r="G199" s="1099" t="str">
        <f>IF($C199="","",'Live Load on Cap'!I44)</f>
        <v/>
      </c>
      <c r="H199" s="894">
        <f t="shared" si="36"/>
        <v>20</v>
      </c>
      <c r="I199" s="966" t="str">
        <f t="shared" si="37"/>
        <v/>
      </c>
      <c r="J199" s="1099" t="str">
        <f>IF($I199="","",'Live Load on Cap'!J74)</f>
        <v/>
      </c>
      <c r="K199" s="1099" t="str">
        <f>IF($I199="","",'Live Load on Cap'!K74)</f>
        <v/>
      </c>
      <c r="L199" s="962" t="str">
        <f>IF($I199="","",'Live Load on Cap'!H74)</f>
        <v/>
      </c>
      <c r="M199" s="1099" t="str">
        <f>IF($I199="","",'Live Load on Cap'!I74)</f>
        <v/>
      </c>
      <c r="N199"/>
      <c r="O199"/>
      <c r="P199"/>
      <c r="Q199"/>
      <c r="R199"/>
      <c r="S199"/>
      <c r="T199"/>
      <c r="U199"/>
      <c r="V199"/>
    </row>
    <row r="200" spans="1:22" ht="15" customHeight="1">
      <c r="B200" s="894"/>
      <c r="C200" s="859" t="s">
        <v>551</v>
      </c>
      <c r="D200" s="892">
        <f>SUM(D180:D199)</f>
        <v>193.8745469387755</v>
      </c>
      <c r="E200" s="892">
        <f>SUM(E180:E199)</f>
        <v>11.321316136054422</v>
      </c>
      <c r="F200" s="892">
        <f>SUM(F180:F199)</f>
        <v>485.0852861678004</v>
      </c>
      <c r="G200" s="892">
        <f>SUM(G180:G199)</f>
        <v>107.42086008163265</v>
      </c>
      <c r="I200" s="859" t="s">
        <v>551</v>
      </c>
      <c r="J200" s="892">
        <f>SUM(J180:J199)</f>
        <v>491.99987906273617</v>
      </c>
      <c r="K200" s="892">
        <f>SUM(K180:K199)</f>
        <v>99.171218866213152</v>
      </c>
      <c r="L200" s="892">
        <f>SUM(L180:L199)</f>
        <v>522.58365532879816</v>
      </c>
      <c r="M200" s="892">
        <f>SUM(M180:M199)</f>
        <v>109.26386503401361</v>
      </c>
      <c r="N200"/>
      <c r="O200"/>
      <c r="P200"/>
      <c r="Q200"/>
      <c r="R200"/>
      <c r="S200"/>
      <c r="T200"/>
      <c r="U200"/>
      <c r="V200"/>
    </row>
    <row r="201" spans="1:22" ht="15" customHeight="1">
      <c r="B201" s="16"/>
      <c r="N201"/>
      <c r="O201"/>
      <c r="P201"/>
      <c r="Q201"/>
      <c r="R201"/>
      <c r="S201"/>
      <c r="T201"/>
      <c r="U201"/>
      <c r="V201"/>
    </row>
    <row r="202" spans="1:22" ht="15" customHeight="1" thickBot="1">
      <c r="B202" s="16"/>
      <c r="C202" s="1644" t="s">
        <v>446</v>
      </c>
      <c r="D202" s="1644"/>
      <c r="E202" s="1644"/>
      <c r="F202" s="1644"/>
      <c r="G202" s="1644"/>
      <c r="H202" s="1644"/>
      <c r="I202" s="1644"/>
      <c r="J202" s="1644"/>
      <c r="K202" s="1644"/>
      <c r="L202" s="1644"/>
      <c r="M202" s="1644"/>
      <c r="N202"/>
      <c r="O202"/>
      <c r="P202"/>
      <c r="Q202"/>
      <c r="R202"/>
      <c r="S202"/>
      <c r="T202"/>
      <c r="U202"/>
      <c r="V202"/>
    </row>
    <row r="203" spans="1:22" ht="6" customHeight="1">
      <c r="B203" s="16"/>
      <c r="C203" s="43"/>
      <c r="D203" s="43"/>
      <c r="E203" s="43"/>
      <c r="F203" s="43"/>
      <c r="G203" s="43"/>
      <c r="H203" s="43"/>
      <c r="I203" s="43"/>
      <c r="J203" s="43"/>
      <c r="K203" s="43"/>
      <c r="L203" s="43"/>
      <c r="M203" s="43"/>
      <c r="N203"/>
      <c r="O203"/>
      <c r="P203"/>
      <c r="Q203"/>
      <c r="R203"/>
      <c r="S203"/>
      <c r="T203"/>
      <c r="U203"/>
      <c r="V203"/>
    </row>
    <row r="204" spans="1:22" ht="12" customHeight="1">
      <c r="B204" s="16"/>
      <c r="C204" s="44"/>
      <c r="E204" s="1633" t="s">
        <v>795</v>
      </c>
      <c r="F204" s="1641"/>
      <c r="G204" s="1641"/>
      <c r="H204" s="1634"/>
      <c r="I204" s="1645" t="s">
        <v>796</v>
      </c>
      <c r="J204" s="1642"/>
      <c r="K204" s="1642"/>
      <c r="L204" s="1643"/>
      <c r="M204" s="858"/>
      <c r="N204"/>
      <c r="O204"/>
      <c r="P204"/>
      <c r="Q204"/>
      <c r="R204"/>
      <c r="S204"/>
      <c r="T204"/>
      <c r="U204"/>
      <c r="V204"/>
    </row>
    <row r="205" spans="1:22" ht="13.5" customHeight="1">
      <c r="B205" s="16"/>
      <c r="C205" s="71"/>
      <c r="E205" s="1646" t="s">
        <v>767</v>
      </c>
      <c r="F205" s="1647"/>
      <c r="G205" s="1633" t="s">
        <v>782</v>
      </c>
      <c r="H205" s="1634"/>
      <c r="I205" s="1646" t="s">
        <v>767</v>
      </c>
      <c r="J205" s="1647"/>
      <c r="K205" s="1633" t="s">
        <v>782</v>
      </c>
      <c r="L205" s="1634"/>
      <c r="N205"/>
      <c r="O205"/>
      <c r="P205"/>
      <c r="Q205"/>
      <c r="R205"/>
      <c r="S205"/>
      <c r="T205"/>
      <c r="U205"/>
      <c r="V205"/>
    </row>
    <row r="206" spans="1:22" ht="15" customHeight="1">
      <c r="B206" s="16"/>
      <c r="C206" s="923"/>
      <c r="D206" s="891" t="s">
        <v>1012</v>
      </c>
      <c r="E206" s="869" t="s">
        <v>997</v>
      </c>
      <c r="F206" s="903" t="s">
        <v>1008</v>
      </c>
      <c r="G206" s="869" t="s">
        <v>997</v>
      </c>
      <c r="H206" s="903" t="s">
        <v>1008</v>
      </c>
      <c r="I206" s="869" t="s">
        <v>997</v>
      </c>
      <c r="J206" s="903" t="s">
        <v>1008</v>
      </c>
      <c r="K206" s="869" t="s">
        <v>997</v>
      </c>
      <c r="L206" s="903" t="s">
        <v>1008</v>
      </c>
      <c r="N206"/>
      <c r="O206"/>
      <c r="P206"/>
      <c r="Q206"/>
      <c r="R206"/>
      <c r="S206"/>
      <c r="T206"/>
      <c r="U206"/>
      <c r="V206"/>
    </row>
    <row r="207" spans="1:22" ht="15" customHeight="1">
      <c r="A207" t="str">
        <f t="shared" ref="A207:A225" si="38">IF(D207="","*","")</f>
        <v/>
      </c>
      <c r="B207" s="894">
        <v>1</v>
      </c>
      <c r="C207" s="19"/>
      <c r="D207" s="861" t="str">
        <f>C180</f>
        <v>Beam 1</v>
      </c>
      <c r="E207" s="868">
        <f t="shared" ref="E207:F226" si="39">IF($D207="","",IF(AND($F19&lt;&gt;"--",$F19&lt;0),D180,""))</f>
        <v>48.468636734693874</v>
      </c>
      <c r="F207" s="868">
        <f t="shared" si="39"/>
        <v>2.8303290340136056</v>
      </c>
      <c r="G207" s="868" t="str">
        <f t="shared" ref="G207:G226" si="40">IF($D207="","",IF(AND($F19&lt;&gt;"--",$F19&gt;0),D180,""))</f>
        <v/>
      </c>
      <c r="H207" s="921" t="str">
        <f t="shared" ref="H207:H226" si="41">IF($D207="","",IF(AND($F19&lt;&gt;"--",$F19&gt;0),E180,""))</f>
        <v/>
      </c>
      <c r="I207" s="868">
        <f t="shared" ref="I207:I226" si="42">IF($D207="","",IF(AND($F19&lt;&gt;"--",$F19&lt;0),F180,""))</f>
        <v>121.2713215419501</v>
      </c>
      <c r="J207" s="868">
        <f t="shared" ref="J207:J226" si="43">IF($D207="","",IF(AND($F19&lt;&gt;"--",$F19&lt;0),G180,""))</f>
        <v>26.855215020408163</v>
      </c>
      <c r="K207" s="868" t="str">
        <f t="shared" ref="K207:K226" si="44">IF($D207="","",IF(AND($F19&lt;&gt;"--",$F19&gt;0),F180,""))</f>
        <v/>
      </c>
      <c r="L207" s="921" t="str">
        <f t="shared" ref="L207:L226" si="45">IF($D207="","",IF(AND($F19&lt;&gt;"--",$F19&gt;0),G180,""))</f>
        <v/>
      </c>
      <c r="N207"/>
      <c r="O207"/>
      <c r="P207"/>
      <c r="Q207"/>
      <c r="R207"/>
      <c r="S207"/>
      <c r="T207"/>
      <c r="U207"/>
      <c r="V207"/>
    </row>
    <row r="208" spans="1:22" ht="15" customHeight="1">
      <c r="A208" t="str">
        <f t="shared" si="38"/>
        <v/>
      </c>
      <c r="B208" s="894">
        <f>B207+1</f>
        <v>2</v>
      </c>
      <c r="C208" s="19"/>
      <c r="D208" s="861" t="str">
        <f t="shared" ref="D208:D226" si="46">C181</f>
        <v>Beam 2</v>
      </c>
      <c r="E208" s="868">
        <f t="shared" si="39"/>
        <v>48.468636734693874</v>
      </c>
      <c r="F208" s="868">
        <f t="shared" si="39"/>
        <v>2.8303290340136056</v>
      </c>
      <c r="G208" s="868" t="str">
        <f t="shared" si="40"/>
        <v/>
      </c>
      <c r="H208" s="921" t="str">
        <f t="shared" si="41"/>
        <v/>
      </c>
      <c r="I208" s="868">
        <f t="shared" si="42"/>
        <v>121.2713215419501</v>
      </c>
      <c r="J208" s="868">
        <f t="shared" si="43"/>
        <v>26.855215020408163</v>
      </c>
      <c r="K208" s="868" t="str">
        <f t="shared" si="44"/>
        <v/>
      </c>
      <c r="L208" s="921" t="str">
        <f t="shared" si="45"/>
        <v/>
      </c>
      <c r="N208"/>
      <c r="O208"/>
      <c r="P208"/>
      <c r="Q208"/>
      <c r="R208"/>
      <c r="S208"/>
      <c r="T208"/>
      <c r="U208"/>
      <c r="V208"/>
    </row>
    <row r="209" spans="1:22" ht="15" customHeight="1">
      <c r="A209" t="str">
        <f t="shared" si="38"/>
        <v/>
      </c>
      <c r="B209" s="894">
        <f>B208+1</f>
        <v>3</v>
      </c>
      <c r="C209" s="19"/>
      <c r="D209" s="861" t="str">
        <f t="shared" si="46"/>
        <v>Beam 3</v>
      </c>
      <c r="E209" s="868" t="str">
        <f t="shared" si="39"/>
        <v/>
      </c>
      <c r="F209" s="868" t="str">
        <f t="shared" si="39"/>
        <v/>
      </c>
      <c r="G209" s="868">
        <f t="shared" si="40"/>
        <v>48.468636734693874</v>
      </c>
      <c r="H209" s="921">
        <f t="shared" si="41"/>
        <v>2.8303290340136056</v>
      </c>
      <c r="I209" s="868" t="str">
        <f t="shared" si="42"/>
        <v/>
      </c>
      <c r="J209" s="868" t="str">
        <f t="shared" si="43"/>
        <v/>
      </c>
      <c r="K209" s="868">
        <f t="shared" si="44"/>
        <v>121.2713215419501</v>
      </c>
      <c r="L209" s="921">
        <f t="shared" si="45"/>
        <v>26.855215020408163</v>
      </c>
      <c r="N209"/>
      <c r="O209"/>
      <c r="P209"/>
      <c r="Q209"/>
      <c r="R209"/>
      <c r="S209"/>
      <c r="T209"/>
      <c r="U209"/>
      <c r="V209"/>
    </row>
    <row r="210" spans="1:22" ht="15" customHeight="1">
      <c r="A210" t="str">
        <f t="shared" si="38"/>
        <v/>
      </c>
      <c r="B210" s="894">
        <f t="shared" ref="B210:B226" si="47">B209+1</f>
        <v>4</v>
      </c>
      <c r="C210" s="19"/>
      <c r="D210" s="861" t="str">
        <f t="shared" si="46"/>
        <v>Beam 4</v>
      </c>
      <c r="E210" s="868" t="str">
        <f t="shared" si="39"/>
        <v/>
      </c>
      <c r="F210" s="868" t="str">
        <f t="shared" si="39"/>
        <v/>
      </c>
      <c r="G210" s="868">
        <f t="shared" si="40"/>
        <v>48.468636734693874</v>
      </c>
      <c r="H210" s="921">
        <f t="shared" si="41"/>
        <v>2.8303290340136056</v>
      </c>
      <c r="I210" s="868" t="str">
        <f t="shared" si="42"/>
        <v/>
      </c>
      <c r="J210" s="868" t="str">
        <f t="shared" si="43"/>
        <v/>
      </c>
      <c r="K210" s="868">
        <f t="shared" si="44"/>
        <v>121.2713215419501</v>
      </c>
      <c r="L210" s="921">
        <f t="shared" si="45"/>
        <v>26.855215020408163</v>
      </c>
      <c r="N210"/>
      <c r="O210"/>
      <c r="P210"/>
      <c r="Q210"/>
      <c r="R210"/>
      <c r="S210"/>
      <c r="T210"/>
      <c r="U210"/>
      <c r="V210"/>
    </row>
    <row r="211" spans="1:22" ht="15" customHeight="1">
      <c r="A211" t="str">
        <f t="shared" si="38"/>
        <v>*</v>
      </c>
      <c r="B211" s="894">
        <f t="shared" si="47"/>
        <v>5</v>
      </c>
      <c r="C211" s="19"/>
      <c r="D211" s="861" t="str">
        <f t="shared" si="46"/>
        <v/>
      </c>
      <c r="E211" s="868" t="str">
        <f t="shared" si="39"/>
        <v/>
      </c>
      <c r="F211" s="868" t="str">
        <f t="shared" si="39"/>
        <v/>
      </c>
      <c r="G211" s="868" t="str">
        <f t="shared" si="40"/>
        <v/>
      </c>
      <c r="H211" s="921" t="str">
        <f t="shared" si="41"/>
        <v/>
      </c>
      <c r="I211" s="868" t="str">
        <f t="shared" si="42"/>
        <v/>
      </c>
      <c r="J211" s="868" t="str">
        <f t="shared" si="43"/>
        <v/>
      </c>
      <c r="K211" s="868" t="str">
        <f t="shared" si="44"/>
        <v/>
      </c>
      <c r="L211" s="921" t="str">
        <f t="shared" si="45"/>
        <v/>
      </c>
      <c r="N211"/>
      <c r="O211"/>
      <c r="P211"/>
      <c r="Q211"/>
      <c r="R211"/>
      <c r="S211"/>
      <c r="T211"/>
      <c r="U211"/>
      <c r="V211"/>
    </row>
    <row r="212" spans="1:22" ht="15" hidden="1" customHeight="1">
      <c r="A212" t="str">
        <f t="shared" si="38"/>
        <v>*</v>
      </c>
      <c r="B212" s="894">
        <f t="shared" si="47"/>
        <v>6</v>
      </c>
      <c r="C212" s="19"/>
      <c r="D212" s="861" t="str">
        <f t="shared" si="46"/>
        <v/>
      </c>
      <c r="E212" s="868" t="str">
        <f t="shared" si="39"/>
        <v/>
      </c>
      <c r="F212" s="868" t="str">
        <f t="shared" si="39"/>
        <v/>
      </c>
      <c r="G212" s="868" t="str">
        <f t="shared" si="40"/>
        <v/>
      </c>
      <c r="H212" s="921" t="str">
        <f t="shared" si="41"/>
        <v/>
      </c>
      <c r="I212" s="868" t="str">
        <f t="shared" si="42"/>
        <v/>
      </c>
      <c r="J212" s="868" t="str">
        <f t="shared" si="43"/>
        <v/>
      </c>
      <c r="K212" s="868" t="str">
        <f t="shared" si="44"/>
        <v/>
      </c>
      <c r="L212" s="921" t="str">
        <f t="shared" si="45"/>
        <v/>
      </c>
      <c r="N212"/>
      <c r="O212"/>
      <c r="P212"/>
      <c r="Q212"/>
      <c r="R212"/>
      <c r="S212"/>
      <c r="T212"/>
      <c r="U212"/>
      <c r="V212"/>
    </row>
    <row r="213" spans="1:22" ht="15" hidden="1" customHeight="1">
      <c r="A213" t="str">
        <f t="shared" si="38"/>
        <v>*</v>
      </c>
      <c r="B213" s="894">
        <f t="shared" si="47"/>
        <v>7</v>
      </c>
      <c r="C213" s="19"/>
      <c r="D213" s="861" t="str">
        <f t="shared" si="46"/>
        <v/>
      </c>
      <c r="E213" s="868" t="str">
        <f t="shared" si="39"/>
        <v/>
      </c>
      <c r="F213" s="868" t="str">
        <f t="shared" si="39"/>
        <v/>
      </c>
      <c r="G213" s="868" t="str">
        <f t="shared" si="40"/>
        <v/>
      </c>
      <c r="H213" s="921" t="str">
        <f t="shared" si="41"/>
        <v/>
      </c>
      <c r="I213" s="868" t="str">
        <f t="shared" si="42"/>
        <v/>
      </c>
      <c r="J213" s="868" t="str">
        <f t="shared" si="43"/>
        <v/>
      </c>
      <c r="K213" s="868" t="str">
        <f t="shared" si="44"/>
        <v/>
      </c>
      <c r="L213" s="921" t="str">
        <f t="shared" si="45"/>
        <v/>
      </c>
      <c r="N213"/>
      <c r="O213"/>
      <c r="P213"/>
      <c r="Q213"/>
      <c r="R213"/>
      <c r="S213"/>
      <c r="T213"/>
      <c r="U213"/>
      <c r="V213"/>
    </row>
    <row r="214" spans="1:22" ht="15" hidden="1" customHeight="1">
      <c r="A214" t="str">
        <f t="shared" si="38"/>
        <v>*</v>
      </c>
      <c r="B214" s="894">
        <f t="shared" si="47"/>
        <v>8</v>
      </c>
      <c r="C214" s="19"/>
      <c r="D214" s="861" t="str">
        <f t="shared" si="46"/>
        <v/>
      </c>
      <c r="E214" s="868" t="str">
        <f t="shared" si="39"/>
        <v/>
      </c>
      <c r="F214" s="868" t="str">
        <f t="shared" si="39"/>
        <v/>
      </c>
      <c r="G214" s="868" t="str">
        <f t="shared" si="40"/>
        <v/>
      </c>
      <c r="H214" s="921" t="str">
        <f t="shared" si="41"/>
        <v/>
      </c>
      <c r="I214" s="868" t="str">
        <f t="shared" si="42"/>
        <v/>
      </c>
      <c r="J214" s="868" t="str">
        <f t="shared" si="43"/>
        <v/>
      </c>
      <c r="K214" s="868" t="str">
        <f t="shared" si="44"/>
        <v/>
      </c>
      <c r="L214" s="921" t="str">
        <f t="shared" si="45"/>
        <v/>
      </c>
      <c r="N214"/>
      <c r="O214"/>
      <c r="P214"/>
      <c r="Q214"/>
      <c r="R214"/>
      <c r="S214"/>
      <c r="T214"/>
      <c r="U214"/>
      <c r="V214"/>
    </row>
    <row r="215" spans="1:22" ht="15" hidden="1" customHeight="1">
      <c r="A215" t="str">
        <f t="shared" si="38"/>
        <v>*</v>
      </c>
      <c r="B215" s="894">
        <f t="shared" si="47"/>
        <v>9</v>
      </c>
      <c r="C215" s="19"/>
      <c r="D215" s="861" t="str">
        <f t="shared" si="46"/>
        <v/>
      </c>
      <c r="E215" s="868" t="str">
        <f t="shared" si="39"/>
        <v/>
      </c>
      <c r="F215" s="868" t="str">
        <f t="shared" si="39"/>
        <v/>
      </c>
      <c r="G215" s="868" t="str">
        <f t="shared" si="40"/>
        <v/>
      </c>
      <c r="H215" s="921" t="str">
        <f t="shared" si="41"/>
        <v/>
      </c>
      <c r="I215" s="868" t="str">
        <f t="shared" si="42"/>
        <v/>
      </c>
      <c r="J215" s="868" t="str">
        <f t="shared" si="43"/>
        <v/>
      </c>
      <c r="K215" s="868" t="str">
        <f t="shared" si="44"/>
        <v/>
      </c>
      <c r="L215" s="921" t="str">
        <f t="shared" si="45"/>
        <v/>
      </c>
      <c r="N215"/>
      <c r="O215"/>
      <c r="P215"/>
      <c r="Q215"/>
      <c r="R215"/>
      <c r="S215"/>
      <c r="T215"/>
      <c r="U215"/>
      <c r="V215"/>
    </row>
    <row r="216" spans="1:22" ht="15" hidden="1" customHeight="1">
      <c r="A216" t="str">
        <f t="shared" si="38"/>
        <v>*</v>
      </c>
      <c r="B216" s="894">
        <f t="shared" si="47"/>
        <v>10</v>
      </c>
      <c r="C216" s="19"/>
      <c r="D216" s="861" t="str">
        <f t="shared" si="46"/>
        <v/>
      </c>
      <c r="E216" s="868" t="str">
        <f t="shared" si="39"/>
        <v/>
      </c>
      <c r="F216" s="868" t="str">
        <f t="shared" si="39"/>
        <v/>
      </c>
      <c r="G216" s="868" t="str">
        <f t="shared" si="40"/>
        <v/>
      </c>
      <c r="H216" s="921" t="str">
        <f t="shared" si="41"/>
        <v/>
      </c>
      <c r="I216" s="868" t="str">
        <f t="shared" si="42"/>
        <v/>
      </c>
      <c r="J216" s="868" t="str">
        <f t="shared" si="43"/>
        <v/>
      </c>
      <c r="K216" s="868" t="str">
        <f t="shared" si="44"/>
        <v/>
      </c>
      <c r="L216" s="921" t="str">
        <f t="shared" si="45"/>
        <v/>
      </c>
      <c r="N216"/>
      <c r="O216"/>
      <c r="P216"/>
      <c r="Q216"/>
      <c r="R216"/>
      <c r="S216"/>
      <c r="T216"/>
      <c r="U216"/>
      <c r="V216"/>
    </row>
    <row r="217" spans="1:22" ht="15" hidden="1" customHeight="1">
      <c r="A217" t="str">
        <f t="shared" si="38"/>
        <v>*</v>
      </c>
      <c r="B217" s="894">
        <f t="shared" si="47"/>
        <v>11</v>
      </c>
      <c r="C217" s="19"/>
      <c r="D217" s="861" t="str">
        <f t="shared" si="46"/>
        <v/>
      </c>
      <c r="E217" s="868" t="str">
        <f t="shared" si="39"/>
        <v/>
      </c>
      <c r="F217" s="868" t="str">
        <f t="shared" si="39"/>
        <v/>
      </c>
      <c r="G217" s="868" t="str">
        <f t="shared" si="40"/>
        <v/>
      </c>
      <c r="H217" s="921" t="str">
        <f t="shared" si="41"/>
        <v/>
      </c>
      <c r="I217" s="868" t="str">
        <f t="shared" si="42"/>
        <v/>
      </c>
      <c r="J217" s="868" t="str">
        <f t="shared" si="43"/>
        <v/>
      </c>
      <c r="K217" s="868" t="str">
        <f t="shared" si="44"/>
        <v/>
      </c>
      <c r="L217" s="921" t="str">
        <f t="shared" si="45"/>
        <v/>
      </c>
      <c r="N217"/>
      <c r="O217"/>
      <c r="P217"/>
      <c r="Q217"/>
      <c r="R217"/>
      <c r="S217"/>
      <c r="T217"/>
      <c r="U217"/>
      <c r="V217"/>
    </row>
    <row r="218" spans="1:22" ht="15" hidden="1" customHeight="1">
      <c r="A218" t="str">
        <f t="shared" si="38"/>
        <v>*</v>
      </c>
      <c r="B218" s="894">
        <f t="shared" si="47"/>
        <v>12</v>
      </c>
      <c r="C218" s="19"/>
      <c r="D218" s="861" t="str">
        <f t="shared" si="46"/>
        <v/>
      </c>
      <c r="E218" s="868" t="str">
        <f t="shared" si="39"/>
        <v/>
      </c>
      <c r="F218" s="868" t="str">
        <f t="shared" si="39"/>
        <v/>
      </c>
      <c r="G218" s="868" t="str">
        <f t="shared" si="40"/>
        <v/>
      </c>
      <c r="H218" s="921" t="str">
        <f t="shared" si="41"/>
        <v/>
      </c>
      <c r="I218" s="868" t="str">
        <f t="shared" si="42"/>
        <v/>
      </c>
      <c r="J218" s="868" t="str">
        <f t="shared" si="43"/>
        <v/>
      </c>
      <c r="K218" s="868" t="str">
        <f t="shared" si="44"/>
        <v/>
      </c>
      <c r="L218" s="921" t="str">
        <f t="shared" si="45"/>
        <v/>
      </c>
      <c r="N218"/>
      <c r="O218"/>
      <c r="P218"/>
      <c r="Q218"/>
      <c r="R218"/>
      <c r="S218"/>
      <c r="T218"/>
      <c r="U218"/>
      <c r="V218"/>
    </row>
    <row r="219" spans="1:22" ht="15" hidden="1" customHeight="1">
      <c r="A219" t="str">
        <f t="shared" si="38"/>
        <v>*</v>
      </c>
      <c r="B219" s="894">
        <f t="shared" si="47"/>
        <v>13</v>
      </c>
      <c r="C219" s="19"/>
      <c r="D219" s="861" t="str">
        <f t="shared" si="46"/>
        <v/>
      </c>
      <c r="E219" s="868" t="str">
        <f t="shared" si="39"/>
        <v/>
      </c>
      <c r="F219" s="868" t="str">
        <f t="shared" si="39"/>
        <v/>
      </c>
      <c r="G219" s="868" t="str">
        <f t="shared" si="40"/>
        <v/>
      </c>
      <c r="H219" s="921" t="str">
        <f t="shared" si="41"/>
        <v/>
      </c>
      <c r="I219" s="868" t="str">
        <f t="shared" si="42"/>
        <v/>
      </c>
      <c r="J219" s="868" t="str">
        <f t="shared" si="43"/>
        <v/>
      </c>
      <c r="K219" s="868" t="str">
        <f t="shared" si="44"/>
        <v/>
      </c>
      <c r="L219" s="921" t="str">
        <f t="shared" si="45"/>
        <v/>
      </c>
      <c r="N219"/>
      <c r="O219"/>
      <c r="P219"/>
      <c r="Q219"/>
      <c r="R219"/>
      <c r="S219"/>
      <c r="T219"/>
      <c r="U219"/>
      <c r="V219"/>
    </row>
    <row r="220" spans="1:22" ht="15" hidden="1" customHeight="1">
      <c r="A220" t="str">
        <f t="shared" si="38"/>
        <v>*</v>
      </c>
      <c r="B220" s="894">
        <f t="shared" si="47"/>
        <v>14</v>
      </c>
      <c r="C220" s="19"/>
      <c r="D220" s="861" t="str">
        <f t="shared" si="46"/>
        <v/>
      </c>
      <c r="E220" s="868" t="str">
        <f t="shared" si="39"/>
        <v/>
      </c>
      <c r="F220" s="868" t="str">
        <f t="shared" si="39"/>
        <v/>
      </c>
      <c r="G220" s="868" t="str">
        <f t="shared" si="40"/>
        <v/>
      </c>
      <c r="H220" s="921" t="str">
        <f t="shared" si="41"/>
        <v/>
      </c>
      <c r="I220" s="868" t="str">
        <f t="shared" si="42"/>
        <v/>
      </c>
      <c r="J220" s="868" t="str">
        <f t="shared" si="43"/>
        <v/>
      </c>
      <c r="K220" s="868" t="str">
        <f t="shared" si="44"/>
        <v/>
      </c>
      <c r="L220" s="921" t="str">
        <f t="shared" si="45"/>
        <v/>
      </c>
      <c r="N220"/>
      <c r="O220"/>
      <c r="P220"/>
      <c r="Q220"/>
      <c r="R220"/>
      <c r="S220"/>
      <c r="T220"/>
      <c r="U220"/>
      <c r="V220"/>
    </row>
    <row r="221" spans="1:22" ht="15" hidden="1" customHeight="1">
      <c r="A221" t="str">
        <f t="shared" si="38"/>
        <v>*</v>
      </c>
      <c r="B221" s="894">
        <f t="shared" si="47"/>
        <v>15</v>
      </c>
      <c r="C221" s="19"/>
      <c r="D221" s="861" t="str">
        <f t="shared" si="46"/>
        <v/>
      </c>
      <c r="E221" s="868" t="str">
        <f t="shared" si="39"/>
        <v/>
      </c>
      <c r="F221" s="868" t="str">
        <f t="shared" si="39"/>
        <v/>
      </c>
      <c r="G221" s="868" t="str">
        <f t="shared" si="40"/>
        <v/>
      </c>
      <c r="H221" s="921" t="str">
        <f t="shared" si="41"/>
        <v/>
      </c>
      <c r="I221" s="868" t="str">
        <f t="shared" si="42"/>
        <v/>
      </c>
      <c r="J221" s="868" t="str">
        <f t="shared" si="43"/>
        <v/>
      </c>
      <c r="K221" s="868" t="str">
        <f t="shared" si="44"/>
        <v/>
      </c>
      <c r="L221" s="921" t="str">
        <f t="shared" si="45"/>
        <v/>
      </c>
      <c r="N221"/>
      <c r="O221"/>
      <c r="P221"/>
      <c r="Q221"/>
      <c r="R221"/>
      <c r="S221"/>
      <c r="T221"/>
      <c r="U221"/>
      <c r="V221"/>
    </row>
    <row r="222" spans="1:22" ht="15" hidden="1" customHeight="1">
      <c r="A222" t="str">
        <f t="shared" si="38"/>
        <v>*</v>
      </c>
      <c r="B222" s="894">
        <f t="shared" si="47"/>
        <v>16</v>
      </c>
      <c r="C222" s="19"/>
      <c r="D222" s="861" t="str">
        <f t="shared" si="46"/>
        <v/>
      </c>
      <c r="E222" s="868" t="str">
        <f t="shared" si="39"/>
        <v/>
      </c>
      <c r="F222" s="868" t="str">
        <f t="shared" si="39"/>
        <v/>
      </c>
      <c r="G222" s="868" t="str">
        <f t="shared" si="40"/>
        <v/>
      </c>
      <c r="H222" s="921" t="str">
        <f t="shared" si="41"/>
        <v/>
      </c>
      <c r="I222" s="868" t="str">
        <f t="shared" si="42"/>
        <v/>
      </c>
      <c r="J222" s="868" t="str">
        <f t="shared" si="43"/>
        <v/>
      </c>
      <c r="K222" s="868" t="str">
        <f t="shared" si="44"/>
        <v/>
      </c>
      <c r="L222" s="921" t="str">
        <f t="shared" si="45"/>
        <v/>
      </c>
      <c r="N222"/>
      <c r="O222"/>
      <c r="P222"/>
      <c r="Q222"/>
      <c r="R222"/>
      <c r="S222"/>
      <c r="T222"/>
      <c r="U222"/>
      <c r="V222"/>
    </row>
    <row r="223" spans="1:22" ht="15" hidden="1" customHeight="1">
      <c r="A223" t="str">
        <f t="shared" si="38"/>
        <v>*</v>
      </c>
      <c r="B223" s="894">
        <f t="shared" si="47"/>
        <v>17</v>
      </c>
      <c r="C223" s="19"/>
      <c r="D223" s="861" t="str">
        <f t="shared" si="46"/>
        <v/>
      </c>
      <c r="E223" s="868" t="str">
        <f t="shared" si="39"/>
        <v/>
      </c>
      <c r="F223" s="868" t="str">
        <f t="shared" si="39"/>
        <v/>
      </c>
      <c r="G223" s="868" t="str">
        <f t="shared" si="40"/>
        <v/>
      </c>
      <c r="H223" s="921" t="str">
        <f t="shared" si="41"/>
        <v/>
      </c>
      <c r="I223" s="868" t="str">
        <f t="shared" si="42"/>
        <v/>
      </c>
      <c r="J223" s="868" t="str">
        <f t="shared" si="43"/>
        <v/>
      </c>
      <c r="K223" s="868" t="str">
        <f t="shared" si="44"/>
        <v/>
      </c>
      <c r="L223" s="921" t="str">
        <f t="shared" si="45"/>
        <v/>
      </c>
      <c r="N223"/>
      <c r="O223"/>
      <c r="P223"/>
      <c r="Q223"/>
      <c r="R223"/>
      <c r="S223"/>
      <c r="T223"/>
      <c r="U223"/>
      <c r="V223"/>
    </row>
    <row r="224" spans="1:22" ht="15" hidden="1" customHeight="1">
      <c r="A224" t="str">
        <f t="shared" si="38"/>
        <v>*</v>
      </c>
      <c r="B224" s="894">
        <f t="shared" si="47"/>
        <v>18</v>
      </c>
      <c r="C224" s="19"/>
      <c r="D224" s="861" t="str">
        <f t="shared" si="46"/>
        <v/>
      </c>
      <c r="E224" s="868" t="str">
        <f t="shared" si="39"/>
        <v/>
      </c>
      <c r="F224" s="868" t="str">
        <f t="shared" si="39"/>
        <v/>
      </c>
      <c r="G224" s="868" t="str">
        <f t="shared" si="40"/>
        <v/>
      </c>
      <c r="H224" s="921" t="str">
        <f t="shared" si="41"/>
        <v/>
      </c>
      <c r="I224" s="868" t="str">
        <f t="shared" si="42"/>
        <v/>
      </c>
      <c r="J224" s="868" t="str">
        <f t="shared" si="43"/>
        <v/>
      </c>
      <c r="K224" s="868" t="str">
        <f t="shared" si="44"/>
        <v/>
      </c>
      <c r="L224" s="921" t="str">
        <f t="shared" si="45"/>
        <v/>
      </c>
      <c r="N224"/>
      <c r="O224"/>
      <c r="P224"/>
      <c r="Q224"/>
      <c r="R224"/>
      <c r="S224"/>
      <c r="T224"/>
      <c r="U224"/>
      <c r="V224"/>
    </row>
    <row r="225" spans="1:22" ht="15" hidden="1" customHeight="1">
      <c r="A225" t="str">
        <f t="shared" si="38"/>
        <v>*</v>
      </c>
      <c r="B225" s="894">
        <f t="shared" si="47"/>
        <v>19</v>
      </c>
      <c r="C225" s="19"/>
      <c r="D225" s="861" t="str">
        <f t="shared" si="46"/>
        <v/>
      </c>
      <c r="E225" s="868" t="str">
        <f t="shared" si="39"/>
        <v/>
      </c>
      <c r="F225" s="868" t="str">
        <f t="shared" si="39"/>
        <v/>
      </c>
      <c r="G225" s="868" t="str">
        <f t="shared" si="40"/>
        <v/>
      </c>
      <c r="H225" s="921" t="str">
        <f t="shared" si="41"/>
        <v/>
      </c>
      <c r="I225" s="868" t="str">
        <f t="shared" si="42"/>
        <v/>
      </c>
      <c r="J225" s="868" t="str">
        <f t="shared" si="43"/>
        <v/>
      </c>
      <c r="K225" s="868" t="str">
        <f t="shared" si="44"/>
        <v/>
      </c>
      <c r="L225" s="921" t="str">
        <f t="shared" si="45"/>
        <v/>
      </c>
      <c r="N225"/>
      <c r="O225"/>
      <c r="P225"/>
      <c r="Q225"/>
      <c r="R225"/>
      <c r="S225"/>
      <c r="T225"/>
      <c r="U225"/>
      <c r="V225"/>
    </row>
    <row r="226" spans="1:22" ht="15" hidden="1" customHeight="1">
      <c r="A226" t="str">
        <f>IF(D226="","*","")</f>
        <v>*</v>
      </c>
      <c r="B226" s="894">
        <f t="shared" si="47"/>
        <v>20</v>
      </c>
      <c r="C226" s="926"/>
      <c r="D226" s="927" t="str">
        <f t="shared" si="46"/>
        <v/>
      </c>
      <c r="E226" s="1100" t="str">
        <f t="shared" si="39"/>
        <v/>
      </c>
      <c r="F226" s="1100" t="str">
        <f t="shared" si="39"/>
        <v/>
      </c>
      <c r="G226" s="1100" t="str">
        <f t="shared" si="40"/>
        <v/>
      </c>
      <c r="H226" s="1099" t="str">
        <f t="shared" si="41"/>
        <v/>
      </c>
      <c r="I226" s="1100" t="str">
        <f t="shared" si="42"/>
        <v/>
      </c>
      <c r="J226" s="1099" t="str">
        <f t="shared" si="43"/>
        <v/>
      </c>
      <c r="K226" s="1100" t="str">
        <f t="shared" si="44"/>
        <v/>
      </c>
      <c r="L226" s="1099" t="str">
        <f t="shared" si="45"/>
        <v/>
      </c>
      <c r="N226"/>
      <c r="O226"/>
      <c r="P226"/>
      <c r="Q226"/>
      <c r="R226"/>
      <c r="S226"/>
      <c r="T226"/>
      <c r="U226"/>
      <c r="V226"/>
    </row>
    <row r="227" spans="1:22" ht="15" customHeight="1" thickBot="1">
      <c r="B227" s="894"/>
      <c r="C227" s="1112"/>
      <c r="D227" s="1113" t="s">
        <v>551</v>
      </c>
      <c r="E227" s="1114">
        <f>SUM(E207:E226)</f>
        <v>96.937273469387748</v>
      </c>
      <c r="F227" s="1115">
        <f t="shared" ref="F227:L227" si="48">SUM(F207:F226)</f>
        <v>5.6606580680272112</v>
      </c>
      <c r="G227" s="1114">
        <f t="shared" si="48"/>
        <v>96.937273469387748</v>
      </c>
      <c r="H227" s="1116">
        <f t="shared" si="48"/>
        <v>5.6606580680272112</v>
      </c>
      <c r="I227" s="1114">
        <f t="shared" si="48"/>
        <v>242.5426430839002</v>
      </c>
      <c r="J227" s="1115">
        <f t="shared" si="48"/>
        <v>53.710430040816327</v>
      </c>
      <c r="K227" s="1114">
        <f t="shared" si="48"/>
        <v>242.5426430839002</v>
      </c>
      <c r="L227" s="1116">
        <f t="shared" si="48"/>
        <v>53.710430040816327</v>
      </c>
      <c r="N227"/>
      <c r="O227"/>
      <c r="P227"/>
      <c r="Q227"/>
      <c r="R227"/>
      <c r="S227"/>
      <c r="T227"/>
      <c r="U227"/>
      <c r="V227"/>
    </row>
    <row r="228" spans="1:22" ht="15" customHeight="1" thickTop="1">
      <c r="B228" s="894"/>
      <c r="C228" s="925"/>
      <c r="D228" s="919" t="s">
        <v>1009</v>
      </c>
      <c r="E228" s="945" t="s">
        <v>997</v>
      </c>
      <c r="F228" s="946" t="s">
        <v>1008</v>
      </c>
      <c r="G228" s="945" t="s">
        <v>997</v>
      </c>
      <c r="H228" s="946" t="s">
        <v>1008</v>
      </c>
      <c r="I228" s="945" t="s">
        <v>997</v>
      </c>
      <c r="J228" s="946" t="s">
        <v>1008</v>
      </c>
      <c r="K228" s="945" t="s">
        <v>997</v>
      </c>
      <c r="L228" s="946" t="s">
        <v>1008</v>
      </c>
      <c r="N228"/>
      <c r="O228"/>
      <c r="P228"/>
      <c r="Q228"/>
      <c r="R228"/>
      <c r="S228"/>
      <c r="T228"/>
      <c r="U228"/>
      <c r="V228"/>
    </row>
    <row r="229" spans="1:22" ht="15" customHeight="1">
      <c r="A229" t="str">
        <f t="shared" ref="A229:A246" si="49">IF(D229="","*","")</f>
        <v/>
      </c>
      <c r="B229" s="894">
        <v>1</v>
      </c>
      <c r="C229" s="19"/>
      <c r="D229" s="861" t="str">
        <f>I180</f>
        <v>Beam 1</v>
      </c>
      <c r="E229" s="868">
        <f t="shared" ref="E229:E248" si="50">IF($D229="","",IF(AND($L19&lt;&gt;"--",$L19&lt;0),J180,""))</f>
        <v>122.99996976568404</v>
      </c>
      <c r="F229" s="868">
        <f t="shared" ref="F229:F248" si="51">IF($D229="","",IF(AND($L19&lt;&gt;"--",$L19&lt;0),K180,""))</f>
        <v>24.792804716553288</v>
      </c>
      <c r="G229" s="868" t="str">
        <f t="shared" ref="G229:G248" si="52">IF($D229="","",IF(AND($L19&lt;&gt;"--",$L19&gt;0),J180,""))</f>
        <v/>
      </c>
      <c r="H229" s="921" t="str">
        <f t="shared" ref="H229:H248" si="53">IF($D229="","",IF(AND($L19&lt;&gt;"--",$L19&gt;0),K180,""))</f>
        <v/>
      </c>
      <c r="I229" s="868">
        <f t="shared" ref="I229:I248" si="54">IF($D229="","",IF(AND($L19&lt;&gt;"--",$L19&lt;0),L180,""))</f>
        <v>130.64591383219954</v>
      </c>
      <c r="J229" s="868">
        <f t="shared" ref="J229:J248" si="55">IF($D229="","",IF(AND($L19&lt;&gt;"--",$L19&lt;0),M180,""))</f>
        <v>27.315966258503401</v>
      </c>
      <c r="K229" s="868" t="str">
        <f t="shared" ref="K229:L248" si="56">IF($D229="","",IF(AND($L19&lt;&gt;"--",$L19&gt;0),L180,""))</f>
        <v/>
      </c>
      <c r="L229" s="921" t="str">
        <f t="shared" si="56"/>
        <v/>
      </c>
      <c r="N229"/>
      <c r="O229"/>
      <c r="P229"/>
      <c r="Q229"/>
      <c r="R229"/>
      <c r="S229"/>
      <c r="T229"/>
      <c r="U229"/>
      <c r="V229"/>
    </row>
    <row r="230" spans="1:22" ht="15" customHeight="1">
      <c r="A230" t="str">
        <f t="shared" si="49"/>
        <v/>
      </c>
      <c r="B230" s="894">
        <f>B229+1</f>
        <v>2</v>
      </c>
      <c r="C230" s="19"/>
      <c r="D230" s="861" t="str">
        <f t="shared" ref="D230:D248" si="57">I181</f>
        <v>Beam 2</v>
      </c>
      <c r="E230" s="868">
        <f t="shared" si="50"/>
        <v>122.99996976568404</v>
      </c>
      <c r="F230" s="868">
        <f t="shared" si="51"/>
        <v>24.792804716553288</v>
      </c>
      <c r="G230" s="868" t="str">
        <f t="shared" si="52"/>
        <v/>
      </c>
      <c r="H230" s="921" t="str">
        <f t="shared" si="53"/>
        <v/>
      </c>
      <c r="I230" s="868">
        <f t="shared" si="54"/>
        <v>130.64591383219954</v>
      </c>
      <c r="J230" s="868">
        <f t="shared" si="55"/>
        <v>27.315966258503401</v>
      </c>
      <c r="K230" s="868" t="str">
        <f t="shared" si="56"/>
        <v/>
      </c>
      <c r="L230" s="921" t="str">
        <f t="shared" si="56"/>
        <v/>
      </c>
      <c r="N230"/>
      <c r="O230"/>
      <c r="P230"/>
      <c r="Q230"/>
      <c r="R230"/>
      <c r="S230"/>
      <c r="T230"/>
      <c r="U230"/>
      <c r="V230"/>
    </row>
    <row r="231" spans="1:22" ht="15" customHeight="1">
      <c r="A231" t="str">
        <f t="shared" si="49"/>
        <v/>
      </c>
      <c r="B231" s="894">
        <f t="shared" ref="B231:B248" si="58">B230+1</f>
        <v>3</v>
      </c>
      <c r="C231" s="19"/>
      <c r="D231" s="861" t="str">
        <f t="shared" si="57"/>
        <v>Beam 3</v>
      </c>
      <c r="E231" s="868" t="str">
        <f t="shared" si="50"/>
        <v/>
      </c>
      <c r="F231" s="868" t="str">
        <f t="shared" si="51"/>
        <v/>
      </c>
      <c r="G231" s="868">
        <f t="shared" si="52"/>
        <v>122.99996976568404</v>
      </c>
      <c r="H231" s="921">
        <f t="shared" si="53"/>
        <v>24.792804716553288</v>
      </c>
      <c r="I231" s="868" t="str">
        <f t="shared" si="54"/>
        <v/>
      </c>
      <c r="J231" s="868" t="str">
        <f t="shared" si="55"/>
        <v/>
      </c>
      <c r="K231" s="868">
        <f t="shared" si="56"/>
        <v>130.64591383219954</v>
      </c>
      <c r="L231" s="921">
        <f t="shared" si="56"/>
        <v>27.315966258503401</v>
      </c>
      <c r="N231"/>
      <c r="O231"/>
      <c r="P231"/>
      <c r="Q231"/>
      <c r="R231"/>
      <c r="S231"/>
      <c r="T231"/>
      <c r="U231"/>
      <c r="V231"/>
    </row>
    <row r="232" spans="1:22" ht="15" customHeight="1">
      <c r="A232" t="str">
        <f t="shared" si="49"/>
        <v/>
      </c>
      <c r="B232" s="894">
        <f t="shared" si="58"/>
        <v>4</v>
      </c>
      <c r="C232" s="19"/>
      <c r="D232" s="861" t="str">
        <f t="shared" si="57"/>
        <v>Beam 4</v>
      </c>
      <c r="E232" s="868" t="str">
        <f t="shared" si="50"/>
        <v/>
      </c>
      <c r="F232" s="868" t="str">
        <f t="shared" si="51"/>
        <v/>
      </c>
      <c r="G232" s="868">
        <f t="shared" si="52"/>
        <v>122.99996976568404</v>
      </c>
      <c r="H232" s="921">
        <f t="shared" si="53"/>
        <v>24.792804716553288</v>
      </c>
      <c r="I232" s="868" t="str">
        <f t="shared" si="54"/>
        <v/>
      </c>
      <c r="J232" s="868" t="str">
        <f t="shared" si="55"/>
        <v/>
      </c>
      <c r="K232" s="868">
        <f t="shared" si="56"/>
        <v>130.64591383219954</v>
      </c>
      <c r="L232" s="921">
        <f t="shared" si="56"/>
        <v>27.315966258503401</v>
      </c>
      <c r="N232"/>
      <c r="O232"/>
      <c r="P232"/>
      <c r="Q232"/>
      <c r="R232"/>
      <c r="S232"/>
      <c r="T232"/>
      <c r="U232"/>
      <c r="V232"/>
    </row>
    <row r="233" spans="1:22" ht="15" customHeight="1">
      <c r="A233" t="str">
        <f t="shared" si="49"/>
        <v>*</v>
      </c>
      <c r="B233" s="894">
        <f t="shared" si="58"/>
        <v>5</v>
      </c>
      <c r="C233" s="19"/>
      <c r="D233" s="861" t="str">
        <f t="shared" si="57"/>
        <v/>
      </c>
      <c r="E233" s="868" t="str">
        <f t="shared" si="50"/>
        <v/>
      </c>
      <c r="F233" s="868" t="str">
        <f t="shared" si="51"/>
        <v/>
      </c>
      <c r="G233" s="868" t="str">
        <f t="shared" si="52"/>
        <v/>
      </c>
      <c r="H233" s="921" t="str">
        <f t="shared" si="53"/>
        <v/>
      </c>
      <c r="I233" s="868" t="str">
        <f t="shared" si="54"/>
        <v/>
      </c>
      <c r="J233" s="868" t="str">
        <f t="shared" si="55"/>
        <v/>
      </c>
      <c r="K233" s="868" t="str">
        <f t="shared" si="56"/>
        <v/>
      </c>
      <c r="L233" s="921" t="str">
        <f t="shared" si="56"/>
        <v/>
      </c>
      <c r="N233"/>
      <c r="O233"/>
      <c r="P233"/>
      <c r="Q233"/>
      <c r="R233"/>
      <c r="S233"/>
      <c r="T233"/>
      <c r="U233"/>
      <c r="V233"/>
    </row>
    <row r="234" spans="1:22" ht="15" hidden="1" customHeight="1">
      <c r="A234" t="str">
        <f t="shared" si="49"/>
        <v>*</v>
      </c>
      <c r="B234" s="894">
        <f t="shared" si="58"/>
        <v>6</v>
      </c>
      <c r="C234" s="19"/>
      <c r="D234" s="861" t="str">
        <f t="shared" si="57"/>
        <v/>
      </c>
      <c r="E234" s="868" t="str">
        <f t="shared" si="50"/>
        <v/>
      </c>
      <c r="F234" s="868" t="str">
        <f t="shared" si="51"/>
        <v/>
      </c>
      <c r="G234" s="868" t="str">
        <f t="shared" si="52"/>
        <v/>
      </c>
      <c r="H234" s="921" t="str">
        <f t="shared" si="53"/>
        <v/>
      </c>
      <c r="I234" s="868" t="str">
        <f t="shared" si="54"/>
        <v/>
      </c>
      <c r="J234" s="868" t="str">
        <f t="shared" si="55"/>
        <v/>
      </c>
      <c r="K234" s="868" t="str">
        <f t="shared" si="56"/>
        <v/>
      </c>
      <c r="L234" s="921" t="str">
        <f t="shared" si="56"/>
        <v/>
      </c>
      <c r="N234"/>
      <c r="O234"/>
      <c r="P234"/>
      <c r="Q234"/>
      <c r="R234"/>
      <c r="S234"/>
      <c r="T234"/>
      <c r="U234"/>
      <c r="V234"/>
    </row>
    <row r="235" spans="1:22" ht="15" hidden="1" customHeight="1">
      <c r="A235" t="str">
        <f t="shared" si="49"/>
        <v>*</v>
      </c>
      <c r="B235" s="894">
        <f t="shared" si="58"/>
        <v>7</v>
      </c>
      <c r="C235" s="19"/>
      <c r="D235" s="861" t="str">
        <f t="shared" si="57"/>
        <v/>
      </c>
      <c r="E235" s="868" t="str">
        <f t="shared" si="50"/>
        <v/>
      </c>
      <c r="F235" s="868" t="str">
        <f t="shared" si="51"/>
        <v/>
      </c>
      <c r="G235" s="868" t="str">
        <f t="shared" si="52"/>
        <v/>
      </c>
      <c r="H235" s="921" t="str">
        <f t="shared" si="53"/>
        <v/>
      </c>
      <c r="I235" s="868" t="str">
        <f t="shared" si="54"/>
        <v/>
      </c>
      <c r="J235" s="868" t="str">
        <f t="shared" si="55"/>
        <v/>
      </c>
      <c r="K235" s="868" t="str">
        <f t="shared" si="56"/>
        <v/>
      </c>
      <c r="L235" s="921" t="str">
        <f t="shared" si="56"/>
        <v/>
      </c>
      <c r="N235"/>
      <c r="O235"/>
      <c r="P235"/>
      <c r="Q235"/>
      <c r="R235"/>
      <c r="S235"/>
      <c r="T235"/>
      <c r="U235"/>
      <c r="V235"/>
    </row>
    <row r="236" spans="1:22" ht="15" hidden="1" customHeight="1">
      <c r="A236" t="str">
        <f t="shared" si="49"/>
        <v>*</v>
      </c>
      <c r="B236" s="894">
        <f t="shared" si="58"/>
        <v>8</v>
      </c>
      <c r="C236" s="19"/>
      <c r="D236" s="861" t="str">
        <f t="shared" si="57"/>
        <v/>
      </c>
      <c r="E236" s="868" t="str">
        <f t="shared" si="50"/>
        <v/>
      </c>
      <c r="F236" s="868" t="str">
        <f t="shared" si="51"/>
        <v/>
      </c>
      <c r="G236" s="868" t="str">
        <f t="shared" si="52"/>
        <v/>
      </c>
      <c r="H236" s="921" t="str">
        <f t="shared" si="53"/>
        <v/>
      </c>
      <c r="I236" s="868" t="str">
        <f t="shared" si="54"/>
        <v/>
      </c>
      <c r="J236" s="868" t="str">
        <f t="shared" si="55"/>
        <v/>
      </c>
      <c r="K236" s="868" t="str">
        <f t="shared" si="56"/>
        <v/>
      </c>
      <c r="L236" s="921" t="str">
        <f t="shared" si="56"/>
        <v/>
      </c>
      <c r="N236"/>
      <c r="O236"/>
      <c r="P236"/>
      <c r="Q236"/>
      <c r="R236"/>
      <c r="S236"/>
      <c r="T236"/>
      <c r="U236"/>
      <c r="V236"/>
    </row>
    <row r="237" spans="1:22" ht="15" hidden="1" customHeight="1">
      <c r="A237" t="str">
        <f t="shared" si="49"/>
        <v>*</v>
      </c>
      <c r="B237" s="894">
        <f t="shared" si="58"/>
        <v>9</v>
      </c>
      <c r="C237" s="19"/>
      <c r="D237" s="861" t="str">
        <f t="shared" si="57"/>
        <v/>
      </c>
      <c r="E237" s="868" t="str">
        <f t="shared" si="50"/>
        <v/>
      </c>
      <c r="F237" s="868" t="str">
        <f t="shared" si="51"/>
        <v/>
      </c>
      <c r="G237" s="868" t="str">
        <f t="shared" si="52"/>
        <v/>
      </c>
      <c r="H237" s="921" t="str">
        <f t="shared" si="53"/>
        <v/>
      </c>
      <c r="I237" s="868" t="str">
        <f t="shared" si="54"/>
        <v/>
      </c>
      <c r="J237" s="868" t="str">
        <f t="shared" si="55"/>
        <v/>
      </c>
      <c r="K237" s="868" t="str">
        <f t="shared" si="56"/>
        <v/>
      </c>
      <c r="L237" s="921" t="str">
        <f t="shared" si="56"/>
        <v/>
      </c>
      <c r="N237"/>
      <c r="O237"/>
      <c r="P237"/>
      <c r="Q237"/>
      <c r="R237"/>
      <c r="S237"/>
      <c r="T237"/>
      <c r="U237"/>
      <c r="V237"/>
    </row>
    <row r="238" spans="1:22" ht="15" hidden="1" customHeight="1">
      <c r="A238" t="str">
        <f t="shared" si="49"/>
        <v>*</v>
      </c>
      <c r="B238" s="894">
        <f t="shared" si="58"/>
        <v>10</v>
      </c>
      <c r="C238" s="19"/>
      <c r="D238" s="861" t="str">
        <f t="shared" si="57"/>
        <v/>
      </c>
      <c r="E238" s="868" t="str">
        <f t="shared" si="50"/>
        <v/>
      </c>
      <c r="F238" s="868" t="str">
        <f t="shared" si="51"/>
        <v/>
      </c>
      <c r="G238" s="868" t="str">
        <f t="shared" si="52"/>
        <v/>
      </c>
      <c r="H238" s="921" t="str">
        <f t="shared" si="53"/>
        <v/>
      </c>
      <c r="I238" s="868" t="str">
        <f t="shared" si="54"/>
        <v/>
      </c>
      <c r="J238" s="868" t="str">
        <f t="shared" si="55"/>
        <v/>
      </c>
      <c r="K238" s="868" t="str">
        <f t="shared" si="56"/>
        <v/>
      </c>
      <c r="L238" s="921" t="str">
        <f t="shared" si="56"/>
        <v/>
      </c>
      <c r="N238"/>
      <c r="O238"/>
      <c r="P238"/>
      <c r="Q238"/>
      <c r="R238"/>
      <c r="S238"/>
      <c r="T238"/>
      <c r="U238"/>
      <c r="V238"/>
    </row>
    <row r="239" spans="1:22" ht="15" hidden="1" customHeight="1">
      <c r="A239" t="str">
        <f t="shared" si="49"/>
        <v>*</v>
      </c>
      <c r="B239" s="894">
        <f t="shared" si="58"/>
        <v>11</v>
      </c>
      <c r="C239" s="19"/>
      <c r="D239" s="861" t="str">
        <f t="shared" si="57"/>
        <v/>
      </c>
      <c r="E239" s="868" t="str">
        <f t="shared" si="50"/>
        <v/>
      </c>
      <c r="F239" s="868" t="str">
        <f t="shared" si="51"/>
        <v/>
      </c>
      <c r="G239" s="868" t="str">
        <f t="shared" si="52"/>
        <v/>
      </c>
      <c r="H239" s="921" t="str">
        <f t="shared" si="53"/>
        <v/>
      </c>
      <c r="I239" s="868" t="str">
        <f t="shared" si="54"/>
        <v/>
      </c>
      <c r="J239" s="868" t="str">
        <f t="shared" si="55"/>
        <v/>
      </c>
      <c r="K239" s="868" t="str">
        <f t="shared" si="56"/>
        <v/>
      </c>
      <c r="L239" s="921" t="str">
        <f t="shared" si="56"/>
        <v/>
      </c>
      <c r="N239"/>
      <c r="O239"/>
      <c r="P239"/>
      <c r="Q239"/>
      <c r="R239"/>
      <c r="S239"/>
      <c r="T239"/>
      <c r="U239"/>
      <c r="V239"/>
    </row>
    <row r="240" spans="1:22" ht="15" hidden="1" customHeight="1">
      <c r="A240" t="str">
        <f t="shared" si="49"/>
        <v>*</v>
      </c>
      <c r="B240" s="894">
        <f t="shared" si="58"/>
        <v>12</v>
      </c>
      <c r="C240" s="19"/>
      <c r="D240" s="861" t="str">
        <f t="shared" si="57"/>
        <v/>
      </c>
      <c r="E240" s="868" t="str">
        <f t="shared" si="50"/>
        <v/>
      </c>
      <c r="F240" s="868" t="str">
        <f t="shared" si="51"/>
        <v/>
      </c>
      <c r="G240" s="868" t="str">
        <f t="shared" si="52"/>
        <v/>
      </c>
      <c r="H240" s="921" t="str">
        <f t="shared" si="53"/>
        <v/>
      </c>
      <c r="I240" s="868" t="str">
        <f t="shared" si="54"/>
        <v/>
      </c>
      <c r="J240" s="868" t="str">
        <f t="shared" si="55"/>
        <v/>
      </c>
      <c r="K240" s="868" t="str">
        <f t="shared" si="56"/>
        <v/>
      </c>
      <c r="L240" s="921" t="str">
        <f t="shared" si="56"/>
        <v/>
      </c>
      <c r="N240"/>
      <c r="O240"/>
      <c r="P240"/>
      <c r="Q240"/>
      <c r="R240"/>
      <c r="S240"/>
      <c r="T240"/>
      <c r="U240"/>
      <c r="V240"/>
    </row>
    <row r="241" spans="1:22" ht="15" hidden="1" customHeight="1">
      <c r="A241" t="str">
        <f t="shared" si="49"/>
        <v>*</v>
      </c>
      <c r="B241" s="894">
        <f t="shared" si="58"/>
        <v>13</v>
      </c>
      <c r="C241" s="19"/>
      <c r="D241" s="861" t="str">
        <f t="shared" si="57"/>
        <v/>
      </c>
      <c r="E241" s="868" t="str">
        <f t="shared" si="50"/>
        <v/>
      </c>
      <c r="F241" s="868" t="str">
        <f t="shared" si="51"/>
        <v/>
      </c>
      <c r="G241" s="868" t="str">
        <f t="shared" si="52"/>
        <v/>
      </c>
      <c r="H241" s="921" t="str">
        <f t="shared" si="53"/>
        <v/>
      </c>
      <c r="I241" s="868" t="str">
        <f t="shared" si="54"/>
        <v/>
      </c>
      <c r="J241" s="868" t="str">
        <f t="shared" si="55"/>
        <v/>
      </c>
      <c r="K241" s="868" t="str">
        <f t="shared" si="56"/>
        <v/>
      </c>
      <c r="L241" s="921" t="str">
        <f t="shared" si="56"/>
        <v/>
      </c>
      <c r="N241"/>
      <c r="O241"/>
      <c r="P241"/>
      <c r="Q241"/>
      <c r="R241"/>
      <c r="S241"/>
      <c r="T241"/>
      <c r="U241"/>
      <c r="V241"/>
    </row>
    <row r="242" spans="1:22" ht="15" hidden="1" customHeight="1">
      <c r="A242" t="str">
        <f t="shared" si="49"/>
        <v>*</v>
      </c>
      <c r="B242" s="894">
        <f t="shared" si="58"/>
        <v>14</v>
      </c>
      <c r="C242" s="19"/>
      <c r="D242" s="861" t="str">
        <f t="shared" si="57"/>
        <v/>
      </c>
      <c r="E242" s="868" t="str">
        <f t="shared" si="50"/>
        <v/>
      </c>
      <c r="F242" s="868" t="str">
        <f t="shared" si="51"/>
        <v/>
      </c>
      <c r="G242" s="868" t="str">
        <f t="shared" si="52"/>
        <v/>
      </c>
      <c r="H242" s="921" t="str">
        <f t="shared" si="53"/>
        <v/>
      </c>
      <c r="I242" s="868" t="str">
        <f t="shared" si="54"/>
        <v/>
      </c>
      <c r="J242" s="868" t="str">
        <f t="shared" si="55"/>
        <v/>
      </c>
      <c r="K242" s="868" t="str">
        <f t="shared" si="56"/>
        <v/>
      </c>
      <c r="L242" s="921" t="str">
        <f t="shared" si="56"/>
        <v/>
      </c>
      <c r="N242"/>
      <c r="O242"/>
      <c r="P242"/>
      <c r="Q242"/>
      <c r="R242"/>
      <c r="S242"/>
      <c r="T242"/>
      <c r="U242"/>
      <c r="V242"/>
    </row>
    <row r="243" spans="1:22" ht="15" hidden="1" customHeight="1">
      <c r="A243" t="str">
        <f t="shared" si="49"/>
        <v>*</v>
      </c>
      <c r="B243" s="894">
        <f t="shared" si="58"/>
        <v>15</v>
      </c>
      <c r="C243" s="19"/>
      <c r="D243" s="861" t="str">
        <f t="shared" si="57"/>
        <v/>
      </c>
      <c r="E243" s="868" t="str">
        <f t="shared" si="50"/>
        <v/>
      </c>
      <c r="F243" s="868" t="str">
        <f t="shared" si="51"/>
        <v/>
      </c>
      <c r="G243" s="868" t="str">
        <f t="shared" si="52"/>
        <v/>
      </c>
      <c r="H243" s="921" t="str">
        <f t="shared" si="53"/>
        <v/>
      </c>
      <c r="I243" s="868" t="str">
        <f t="shared" si="54"/>
        <v/>
      </c>
      <c r="J243" s="868" t="str">
        <f t="shared" si="55"/>
        <v/>
      </c>
      <c r="K243" s="868" t="str">
        <f t="shared" si="56"/>
        <v/>
      </c>
      <c r="L243" s="921" t="str">
        <f t="shared" si="56"/>
        <v/>
      </c>
      <c r="N243"/>
      <c r="O243"/>
      <c r="P243"/>
      <c r="Q243"/>
      <c r="R243"/>
      <c r="S243"/>
      <c r="T243"/>
      <c r="U243"/>
      <c r="V243"/>
    </row>
    <row r="244" spans="1:22" ht="15" hidden="1" customHeight="1">
      <c r="A244" t="str">
        <f t="shared" si="49"/>
        <v>*</v>
      </c>
      <c r="B244" s="894">
        <f t="shared" si="58"/>
        <v>16</v>
      </c>
      <c r="C244" s="19"/>
      <c r="D244" s="861" t="str">
        <f t="shared" si="57"/>
        <v/>
      </c>
      <c r="E244" s="868" t="str">
        <f t="shared" si="50"/>
        <v/>
      </c>
      <c r="F244" s="868" t="str">
        <f t="shared" si="51"/>
        <v/>
      </c>
      <c r="G244" s="868" t="str">
        <f t="shared" si="52"/>
        <v/>
      </c>
      <c r="H244" s="921" t="str">
        <f t="shared" si="53"/>
        <v/>
      </c>
      <c r="I244" s="868" t="str">
        <f t="shared" si="54"/>
        <v/>
      </c>
      <c r="J244" s="868" t="str">
        <f t="shared" si="55"/>
        <v/>
      </c>
      <c r="K244" s="868" t="str">
        <f t="shared" si="56"/>
        <v/>
      </c>
      <c r="L244" s="921" t="str">
        <f t="shared" si="56"/>
        <v/>
      </c>
      <c r="N244"/>
      <c r="O244"/>
      <c r="P244"/>
      <c r="Q244"/>
      <c r="R244"/>
      <c r="S244"/>
      <c r="T244"/>
      <c r="U244"/>
      <c r="V244"/>
    </row>
    <row r="245" spans="1:22" ht="15" hidden="1" customHeight="1">
      <c r="A245" t="str">
        <f t="shared" si="49"/>
        <v>*</v>
      </c>
      <c r="B245" s="894">
        <f t="shared" si="58"/>
        <v>17</v>
      </c>
      <c r="C245" s="19"/>
      <c r="D245" s="861" t="str">
        <f t="shared" si="57"/>
        <v/>
      </c>
      <c r="E245" s="868" t="str">
        <f t="shared" si="50"/>
        <v/>
      </c>
      <c r="F245" s="868" t="str">
        <f t="shared" si="51"/>
        <v/>
      </c>
      <c r="G245" s="868" t="str">
        <f t="shared" si="52"/>
        <v/>
      </c>
      <c r="H245" s="921" t="str">
        <f t="shared" si="53"/>
        <v/>
      </c>
      <c r="I245" s="868" t="str">
        <f t="shared" si="54"/>
        <v/>
      </c>
      <c r="J245" s="868" t="str">
        <f t="shared" si="55"/>
        <v/>
      </c>
      <c r="K245" s="868" t="str">
        <f t="shared" si="56"/>
        <v/>
      </c>
      <c r="L245" s="921" t="str">
        <f t="shared" si="56"/>
        <v/>
      </c>
      <c r="N245"/>
      <c r="O245"/>
      <c r="P245"/>
      <c r="Q245"/>
      <c r="R245"/>
      <c r="S245"/>
      <c r="T245"/>
      <c r="U245"/>
      <c r="V245"/>
    </row>
    <row r="246" spans="1:22" ht="15" hidden="1" customHeight="1">
      <c r="A246" t="str">
        <f t="shared" si="49"/>
        <v>*</v>
      </c>
      <c r="B246" s="894">
        <f t="shared" si="58"/>
        <v>18</v>
      </c>
      <c r="C246" s="19"/>
      <c r="D246" s="861" t="str">
        <f t="shared" si="57"/>
        <v/>
      </c>
      <c r="E246" s="868" t="str">
        <f t="shared" si="50"/>
        <v/>
      </c>
      <c r="F246" s="868" t="str">
        <f t="shared" si="51"/>
        <v/>
      </c>
      <c r="G246" s="868" t="str">
        <f t="shared" si="52"/>
        <v/>
      </c>
      <c r="H246" s="921" t="str">
        <f t="shared" si="53"/>
        <v/>
      </c>
      <c r="I246" s="868" t="str">
        <f t="shared" si="54"/>
        <v/>
      </c>
      <c r="J246" s="868" t="str">
        <f t="shared" si="55"/>
        <v/>
      </c>
      <c r="K246" s="868" t="str">
        <f t="shared" si="56"/>
        <v/>
      </c>
      <c r="L246" s="921" t="str">
        <f t="shared" si="56"/>
        <v/>
      </c>
      <c r="N246"/>
      <c r="O246"/>
      <c r="P246"/>
      <c r="Q246"/>
      <c r="R246"/>
      <c r="S246"/>
      <c r="T246"/>
      <c r="U246"/>
      <c r="V246"/>
    </row>
    <row r="247" spans="1:22" ht="15" hidden="1" customHeight="1">
      <c r="A247" t="str">
        <f>IF(D247="","*","")</f>
        <v>*</v>
      </c>
      <c r="B247" s="894">
        <f t="shared" si="58"/>
        <v>19</v>
      </c>
      <c r="C247" s="19"/>
      <c r="D247" s="861" t="str">
        <f t="shared" si="57"/>
        <v/>
      </c>
      <c r="E247" s="868" t="str">
        <f t="shared" si="50"/>
        <v/>
      </c>
      <c r="F247" s="868" t="str">
        <f t="shared" si="51"/>
        <v/>
      </c>
      <c r="G247" s="868" t="str">
        <f t="shared" si="52"/>
        <v/>
      </c>
      <c r="H247" s="921" t="str">
        <f t="shared" si="53"/>
        <v/>
      </c>
      <c r="I247" s="868" t="str">
        <f t="shared" si="54"/>
        <v/>
      </c>
      <c r="J247" s="868" t="str">
        <f t="shared" si="55"/>
        <v/>
      </c>
      <c r="K247" s="868" t="str">
        <f t="shared" si="56"/>
        <v/>
      </c>
      <c r="L247" s="921" t="str">
        <f t="shared" si="56"/>
        <v/>
      </c>
      <c r="N247"/>
      <c r="O247"/>
      <c r="P247"/>
      <c r="Q247"/>
      <c r="R247"/>
      <c r="S247"/>
      <c r="T247"/>
      <c r="U247"/>
      <c r="V247"/>
    </row>
    <row r="248" spans="1:22" ht="15" hidden="1" customHeight="1">
      <c r="A248" t="str">
        <f>IF(D248="","*","")</f>
        <v>*</v>
      </c>
      <c r="B248" s="894">
        <f t="shared" si="58"/>
        <v>20</v>
      </c>
      <c r="C248" s="926"/>
      <c r="D248" s="861" t="str">
        <f t="shared" si="57"/>
        <v/>
      </c>
      <c r="E248" s="868" t="str">
        <f t="shared" si="50"/>
        <v/>
      </c>
      <c r="F248" s="868" t="str">
        <f t="shared" si="51"/>
        <v/>
      </c>
      <c r="G248" s="868" t="str">
        <f t="shared" si="52"/>
        <v/>
      </c>
      <c r="H248" s="921" t="str">
        <f t="shared" si="53"/>
        <v/>
      </c>
      <c r="I248" s="1100" t="str">
        <f t="shared" si="54"/>
        <v/>
      </c>
      <c r="J248" s="1100" t="str">
        <f t="shared" si="55"/>
        <v/>
      </c>
      <c r="K248" s="1100" t="str">
        <f t="shared" si="56"/>
        <v/>
      </c>
      <c r="L248" s="1099" t="str">
        <f t="shared" si="56"/>
        <v/>
      </c>
      <c r="N248"/>
      <c r="O248"/>
      <c r="P248"/>
      <c r="Q248"/>
      <c r="R248"/>
      <c r="S248"/>
      <c r="T248"/>
      <c r="U248"/>
      <c r="V248"/>
    </row>
    <row r="249" spans="1:22" ht="15" customHeight="1">
      <c r="A249" t="s">
        <v>477</v>
      </c>
      <c r="B249" s="16"/>
      <c r="C249" s="854"/>
      <c r="D249" s="859" t="s">
        <v>551</v>
      </c>
      <c r="E249" s="892">
        <f t="shared" ref="E249:L249" si="59">SUM(E229:E248)</f>
        <v>245.99993953136808</v>
      </c>
      <c r="F249" s="892">
        <f t="shared" si="59"/>
        <v>49.585609433106576</v>
      </c>
      <c r="G249" s="892">
        <f t="shared" si="59"/>
        <v>245.99993953136808</v>
      </c>
      <c r="H249" s="892">
        <f t="shared" si="59"/>
        <v>49.585609433106576</v>
      </c>
      <c r="I249" s="892">
        <f t="shared" si="59"/>
        <v>261.29182766439908</v>
      </c>
      <c r="J249" s="892">
        <f t="shared" si="59"/>
        <v>54.631932517006803</v>
      </c>
      <c r="K249" s="892">
        <f t="shared" si="59"/>
        <v>261.29182766439908</v>
      </c>
      <c r="L249" s="892">
        <f t="shared" si="59"/>
        <v>54.631932517006803</v>
      </c>
      <c r="N249"/>
      <c r="O249"/>
      <c r="P249"/>
      <c r="Q249"/>
      <c r="R249"/>
      <c r="S249"/>
      <c r="T249"/>
      <c r="U249"/>
      <c r="V249"/>
    </row>
    <row r="250" spans="1:22" ht="5.25" customHeight="1">
      <c r="B250" s="16"/>
      <c r="C250" s="40"/>
      <c r="D250" s="858"/>
      <c r="E250" s="858"/>
      <c r="F250" s="858"/>
      <c r="G250" s="858"/>
      <c r="H250" s="858"/>
      <c r="I250" s="858"/>
      <c r="J250" s="858"/>
      <c r="K250" s="858"/>
      <c r="N250"/>
      <c r="O250"/>
      <c r="P250"/>
      <c r="Q250"/>
      <c r="R250"/>
      <c r="S250"/>
      <c r="T250"/>
      <c r="U250"/>
      <c r="V250"/>
    </row>
    <row r="251" spans="1:22" s="25" customFormat="1" ht="15" customHeight="1">
      <c r="B251" s="27"/>
      <c r="C251" s="1101"/>
      <c r="D251" s="1102" t="s">
        <v>797</v>
      </c>
      <c r="E251" s="1103">
        <f>E227+E249</f>
        <v>342.93721300075583</v>
      </c>
      <c r="F251" s="1104">
        <f>F227+F249</f>
        <v>55.246267501133786</v>
      </c>
      <c r="G251" s="1104">
        <f>G227+G249</f>
        <v>342.93721300075583</v>
      </c>
      <c r="H251" s="1105">
        <f>H227+H249</f>
        <v>55.246267501133786</v>
      </c>
      <c r="I251" s="880"/>
      <c r="J251" s="870"/>
      <c r="K251" s="870"/>
    </row>
    <row r="252" spans="1:22" s="25" customFormat="1" ht="15" customHeight="1">
      <c r="B252" s="27"/>
      <c r="F252" s="1101"/>
      <c r="G252" s="1106"/>
      <c r="H252" s="1102" t="s">
        <v>798</v>
      </c>
      <c r="I252" s="1107">
        <f>MAX(I249,I227)</f>
        <v>261.29182766439908</v>
      </c>
      <c r="J252" s="1107">
        <f>MAX(J249,J227)</f>
        <v>54.631932517006803</v>
      </c>
      <c r="K252" s="1107">
        <f>MAX(K249,K227)</f>
        <v>261.29182766439908</v>
      </c>
      <c r="L252" s="1108">
        <f>MAX(L249,L227)</f>
        <v>54.631932517006803</v>
      </c>
    </row>
    <row r="253" spans="1:22" s="25" customFormat="1" ht="15" customHeight="1">
      <c r="B253" s="27"/>
      <c r="I253" s="880"/>
      <c r="J253" s="870"/>
      <c r="K253" s="870"/>
    </row>
    <row r="254" spans="1:22" s="25" customFormat="1" ht="15" customHeight="1">
      <c r="B254" s="27"/>
      <c r="C254" s="880" t="s">
        <v>316</v>
      </c>
      <c r="D254" s="870"/>
      <c r="E254" s="870"/>
      <c r="G254" s="860" t="s">
        <v>560</v>
      </c>
      <c r="H254" s="947">
        <v>1.75</v>
      </c>
      <c r="I254" s="880" t="s">
        <v>317</v>
      </c>
      <c r="J254" s="870"/>
      <c r="K254" s="870"/>
    </row>
    <row r="255" spans="1:22" s="25" customFormat="1" ht="15" customHeight="1">
      <c r="B255" s="27"/>
      <c r="C255" s="1109" t="s">
        <v>771</v>
      </c>
      <c r="D255" s="909"/>
      <c r="E255" s="909"/>
      <c r="F255" s="1110" t="s">
        <v>772</v>
      </c>
      <c r="G255" s="1111"/>
      <c r="H255" s="1111"/>
      <c r="I255" s="1109" t="s">
        <v>771</v>
      </c>
      <c r="J255" s="909"/>
      <c r="K255" s="909"/>
      <c r="L255" s="1110" t="s">
        <v>772</v>
      </c>
    </row>
    <row r="256" spans="1:22" ht="15" customHeight="1">
      <c r="B256" s="16"/>
      <c r="C256" s="69" t="s">
        <v>459</v>
      </c>
      <c r="D256" s="908">
        <f>$H$254*(E251+F251)</f>
        <v>696.82109087830679</v>
      </c>
      <c r="E256" s="858"/>
      <c r="F256" s="69" t="s">
        <v>459</v>
      </c>
      <c r="G256" s="908">
        <f>$H$254*(G251+H251)</f>
        <v>696.82109087830679</v>
      </c>
      <c r="I256" s="69" t="s">
        <v>459</v>
      </c>
      <c r="J256" s="908">
        <f>$H$254*(I252+J252)</f>
        <v>552.86658031746038</v>
      </c>
      <c r="K256" s="858"/>
      <c r="L256" s="69" t="s">
        <v>459</v>
      </c>
      <c r="M256" s="908">
        <f>$H$254*(K252+L252)</f>
        <v>552.86658031746038</v>
      </c>
      <c r="N256"/>
      <c r="O256"/>
      <c r="P256"/>
      <c r="Q256"/>
      <c r="R256"/>
      <c r="S256"/>
      <c r="T256"/>
      <c r="U256"/>
      <c r="V256"/>
    </row>
    <row r="257" spans="1:22" ht="7.5" customHeight="1">
      <c r="B257" s="16"/>
      <c r="C257" s="860"/>
      <c r="D257" s="858"/>
      <c r="E257" s="858"/>
      <c r="I257" s="16"/>
      <c r="J257" s="858"/>
      <c r="K257" s="858"/>
      <c r="N257"/>
      <c r="O257"/>
      <c r="P257"/>
      <c r="Q257"/>
      <c r="R257"/>
      <c r="S257"/>
      <c r="T257"/>
      <c r="U257"/>
      <c r="V257"/>
    </row>
    <row r="258" spans="1:22" ht="15" customHeight="1" thickBot="1">
      <c r="B258" s="16"/>
      <c r="C258" s="1644" t="s">
        <v>447</v>
      </c>
      <c r="D258" s="1644"/>
      <c r="E258" s="1644"/>
      <c r="F258" s="1644"/>
      <c r="G258" s="1644"/>
      <c r="H258" s="1644"/>
      <c r="I258" s="1644"/>
      <c r="J258" s="1644"/>
      <c r="K258" s="1644"/>
      <c r="L258" s="1644"/>
      <c r="M258" s="1644"/>
      <c r="N258"/>
      <c r="O258"/>
      <c r="P258"/>
      <c r="Q258"/>
      <c r="R258"/>
      <c r="S258"/>
      <c r="T258"/>
      <c r="U258"/>
      <c r="V258"/>
    </row>
    <row r="259" spans="1:22" ht="6" customHeight="1">
      <c r="B259" s="16"/>
      <c r="C259" s="43"/>
      <c r="D259" s="43"/>
      <c r="E259" s="43"/>
      <c r="F259" s="43"/>
      <c r="G259" s="43"/>
      <c r="H259" s="43"/>
      <c r="I259" s="43"/>
      <c r="J259" s="43"/>
      <c r="K259" s="43"/>
      <c r="L259" s="43"/>
      <c r="M259" s="43"/>
      <c r="N259"/>
      <c r="O259"/>
      <c r="P259"/>
      <c r="Q259"/>
      <c r="R259"/>
      <c r="S259"/>
      <c r="T259"/>
      <c r="U259"/>
      <c r="V259"/>
    </row>
    <row r="260" spans="1:22" ht="12.75" customHeight="1">
      <c r="B260" s="16"/>
      <c r="C260" s="43"/>
      <c r="D260" s="305" t="s">
        <v>455</v>
      </c>
      <c r="E260" s="39"/>
      <c r="F260" s="25"/>
      <c r="G260" s="39" t="s">
        <v>456</v>
      </c>
      <c r="H260" s="1097">
        <f>BearingDist/12</f>
        <v>1</v>
      </c>
      <c r="I260" s="305" t="s">
        <v>156</v>
      </c>
      <c r="J260" s="43"/>
      <c r="K260" s="43"/>
      <c r="L260" s="43"/>
      <c r="M260" s="43"/>
      <c r="N260"/>
      <c r="O260"/>
      <c r="P260"/>
      <c r="Q260"/>
      <c r="R260"/>
      <c r="S260"/>
      <c r="T260"/>
      <c r="U260"/>
      <c r="V260"/>
    </row>
    <row r="261" spans="1:22" ht="6" customHeight="1">
      <c r="B261" s="16"/>
      <c r="C261" s="43"/>
      <c r="D261" s="43"/>
      <c r="E261" s="43"/>
      <c r="F261" s="43"/>
      <c r="G261" s="43"/>
      <c r="H261" s="43"/>
      <c r="I261" s="43"/>
      <c r="J261" s="43"/>
      <c r="K261" s="43"/>
      <c r="L261" s="43"/>
      <c r="M261" s="43"/>
      <c r="N261"/>
      <c r="O261"/>
      <c r="P261"/>
      <c r="Q261"/>
      <c r="R261"/>
      <c r="S261"/>
      <c r="T261"/>
      <c r="U261"/>
      <c r="V261"/>
    </row>
    <row r="262" spans="1:22" ht="13.5" customHeight="1">
      <c r="B262" s="16"/>
      <c r="C262" s="71"/>
      <c r="E262" s="1633" t="s">
        <v>453</v>
      </c>
      <c r="F262" s="1641"/>
      <c r="G262" s="1641"/>
      <c r="H262" s="1634"/>
      <c r="I262" s="1642" t="s">
        <v>454</v>
      </c>
      <c r="J262" s="1642"/>
      <c r="K262" s="1642"/>
      <c r="L262" s="1643"/>
      <c r="N262"/>
      <c r="O262"/>
      <c r="P262"/>
      <c r="Q262"/>
      <c r="R262"/>
      <c r="S262"/>
      <c r="T262"/>
      <c r="U262"/>
      <c r="V262"/>
    </row>
    <row r="263" spans="1:22" ht="13.5" customHeight="1">
      <c r="B263" s="16"/>
      <c r="C263" s="71"/>
      <c r="E263" s="1646" t="s">
        <v>767</v>
      </c>
      <c r="F263" s="1647"/>
      <c r="G263" s="1633" t="s">
        <v>782</v>
      </c>
      <c r="H263" s="1634"/>
      <c r="I263" s="1646" t="s">
        <v>767</v>
      </c>
      <c r="J263" s="1647"/>
      <c r="K263" s="1633" t="s">
        <v>782</v>
      </c>
      <c r="L263" s="1634"/>
      <c r="N263"/>
      <c r="O263"/>
      <c r="P263"/>
      <c r="Q263"/>
      <c r="R263"/>
      <c r="S263"/>
      <c r="T263"/>
      <c r="U263"/>
      <c r="V263"/>
    </row>
    <row r="264" spans="1:22" ht="15" customHeight="1">
      <c r="B264" s="16"/>
      <c r="C264" s="923"/>
      <c r="D264" s="891" t="s">
        <v>1012</v>
      </c>
      <c r="E264" s="869" t="s">
        <v>997</v>
      </c>
      <c r="F264" s="903" t="s">
        <v>1008</v>
      </c>
      <c r="G264" s="869" t="s">
        <v>997</v>
      </c>
      <c r="H264" s="903" t="s">
        <v>1008</v>
      </c>
      <c r="I264" s="869" t="s">
        <v>997</v>
      </c>
      <c r="J264" s="903" t="s">
        <v>1008</v>
      </c>
      <c r="K264" s="869" t="s">
        <v>997</v>
      </c>
      <c r="L264" s="903" t="s">
        <v>1008</v>
      </c>
      <c r="N264"/>
      <c r="O264"/>
      <c r="P264"/>
      <c r="Q264"/>
      <c r="R264"/>
      <c r="S264"/>
      <c r="T264"/>
      <c r="U264"/>
      <c r="V264"/>
    </row>
    <row r="265" spans="1:22" ht="15" customHeight="1">
      <c r="A265" t="str">
        <f t="shared" ref="A265:A282" si="60">IF(D265="","*","")</f>
        <v/>
      </c>
      <c r="B265" s="894"/>
      <c r="C265" s="19"/>
      <c r="D265" s="861" t="str">
        <f>D207</f>
        <v>Beam 1</v>
      </c>
      <c r="E265" s="873">
        <f t="shared" ref="E265:L274" si="61">IF(OR($D265="",E207=""),"",-E207*$H$260)</f>
        <v>-48.468636734693874</v>
      </c>
      <c r="F265" s="873">
        <f t="shared" si="61"/>
        <v>-2.8303290340136056</v>
      </c>
      <c r="G265" s="873" t="str">
        <f t="shared" si="61"/>
        <v/>
      </c>
      <c r="H265" s="873" t="str">
        <f t="shared" si="61"/>
        <v/>
      </c>
      <c r="I265" s="873">
        <f t="shared" si="61"/>
        <v>-121.2713215419501</v>
      </c>
      <c r="J265" s="873">
        <f t="shared" si="61"/>
        <v>-26.855215020408163</v>
      </c>
      <c r="K265" s="873" t="str">
        <f t="shared" si="61"/>
        <v/>
      </c>
      <c r="L265" s="934" t="str">
        <f t="shared" si="61"/>
        <v/>
      </c>
      <c r="N265"/>
      <c r="O265"/>
      <c r="P265"/>
      <c r="Q265"/>
      <c r="R265"/>
      <c r="S265"/>
      <c r="T265"/>
      <c r="U265"/>
      <c r="V265"/>
    </row>
    <row r="266" spans="1:22" ht="15" customHeight="1">
      <c r="A266" t="str">
        <f t="shared" si="60"/>
        <v/>
      </c>
      <c r="B266" s="894"/>
      <c r="C266" s="19"/>
      <c r="D266" s="861" t="str">
        <f t="shared" ref="D266:D284" si="62">D208</f>
        <v>Beam 2</v>
      </c>
      <c r="E266" s="873">
        <f t="shared" si="61"/>
        <v>-48.468636734693874</v>
      </c>
      <c r="F266" s="873">
        <f t="shared" si="61"/>
        <v>-2.8303290340136056</v>
      </c>
      <c r="G266" s="873" t="str">
        <f t="shared" si="61"/>
        <v/>
      </c>
      <c r="H266" s="873" t="str">
        <f t="shared" si="61"/>
        <v/>
      </c>
      <c r="I266" s="873">
        <f t="shared" si="61"/>
        <v>-121.2713215419501</v>
      </c>
      <c r="J266" s="873">
        <f t="shared" si="61"/>
        <v>-26.855215020408163</v>
      </c>
      <c r="K266" s="873" t="str">
        <f t="shared" si="61"/>
        <v/>
      </c>
      <c r="L266" s="934" t="str">
        <f t="shared" si="61"/>
        <v/>
      </c>
      <c r="N266"/>
      <c r="O266"/>
      <c r="P266"/>
      <c r="Q266"/>
      <c r="R266"/>
      <c r="S266"/>
      <c r="T266"/>
      <c r="U266"/>
      <c r="V266"/>
    </row>
    <row r="267" spans="1:22" ht="15" customHeight="1">
      <c r="A267" t="str">
        <f t="shared" si="60"/>
        <v/>
      </c>
      <c r="B267" s="894"/>
      <c r="C267" s="19"/>
      <c r="D267" s="861" t="str">
        <f t="shared" si="62"/>
        <v>Beam 3</v>
      </c>
      <c r="E267" s="873" t="str">
        <f t="shared" si="61"/>
        <v/>
      </c>
      <c r="F267" s="873" t="str">
        <f t="shared" si="61"/>
        <v/>
      </c>
      <c r="G267" s="873">
        <f t="shared" si="61"/>
        <v>-48.468636734693874</v>
      </c>
      <c r="H267" s="873">
        <f t="shared" si="61"/>
        <v>-2.8303290340136056</v>
      </c>
      <c r="I267" s="873" t="str">
        <f t="shared" si="61"/>
        <v/>
      </c>
      <c r="J267" s="873" t="str">
        <f t="shared" si="61"/>
        <v/>
      </c>
      <c r="K267" s="873">
        <f t="shared" si="61"/>
        <v>-121.2713215419501</v>
      </c>
      <c r="L267" s="934">
        <f t="shared" si="61"/>
        <v>-26.855215020408163</v>
      </c>
      <c r="N267"/>
      <c r="O267"/>
      <c r="P267"/>
      <c r="Q267"/>
      <c r="R267"/>
      <c r="S267"/>
      <c r="T267"/>
      <c r="U267"/>
      <c r="V267"/>
    </row>
    <row r="268" spans="1:22" ht="15" customHeight="1">
      <c r="A268" t="str">
        <f t="shared" si="60"/>
        <v/>
      </c>
      <c r="B268" s="894"/>
      <c r="C268" s="19"/>
      <c r="D268" s="861" t="str">
        <f t="shared" si="62"/>
        <v>Beam 4</v>
      </c>
      <c r="E268" s="873" t="str">
        <f t="shared" si="61"/>
        <v/>
      </c>
      <c r="F268" s="873" t="str">
        <f t="shared" si="61"/>
        <v/>
      </c>
      <c r="G268" s="873">
        <f t="shared" si="61"/>
        <v>-48.468636734693874</v>
      </c>
      <c r="H268" s="873">
        <f t="shared" si="61"/>
        <v>-2.8303290340136056</v>
      </c>
      <c r="I268" s="873" t="str">
        <f t="shared" si="61"/>
        <v/>
      </c>
      <c r="J268" s="873" t="str">
        <f t="shared" si="61"/>
        <v/>
      </c>
      <c r="K268" s="873">
        <f t="shared" si="61"/>
        <v>-121.2713215419501</v>
      </c>
      <c r="L268" s="934">
        <f t="shared" si="61"/>
        <v>-26.855215020408163</v>
      </c>
      <c r="N268"/>
      <c r="O268"/>
      <c r="P268"/>
      <c r="Q268"/>
      <c r="R268"/>
      <c r="S268"/>
      <c r="T268"/>
      <c r="U268"/>
      <c r="V268"/>
    </row>
    <row r="269" spans="1:22" ht="15" customHeight="1">
      <c r="A269" t="str">
        <f t="shared" si="60"/>
        <v>*</v>
      </c>
      <c r="B269" s="894"/>
      <c r="C269" s="19"/>
      <c r="D269" s="861" t="str">
        <f t="shared" si="62"/>
        <v/>
      </c>
      <c r="E269" s="873" t="str">
        <f t="shared" si="61"/>
        <v/>
      </c>
      <c r="F269" s="873" t="str">
        <f t="shared" si="61"/>
        <v/>
      </c>
      <c r="G269" s="873" t="str">
        <f t="shared" si="61"/>
        <v/>
      </c>
      <c r="H269" s="873" t="str">
        <f t="shared" si="61"/>
        <v/>
      </c>
      <c r="I269" s="873" t="str">
        <f t="shared" si="61"/>
        <v/>
      </c>
      <c r="J269" s="873" t="str">
        <f t="shared" si="61"/>
        <v/>
      </c>
      <c r="K269" s="873" t="str">
        <f t="shared" si="61"/>
        <v/>
      </c>
      <c r="L269" s="934" t="str">
        <f t="shared" si="61"/>
        <v/>
      </c>
      <c r="N269"/>
      <c r="O269"/>
      <c r="P269"/>
      <c r="Q269"/>
      <c r="R269"/>
      <c r="S269"/>
      <c r="T269"/>
      <c r="U269"/>
      <c r="V269"/>
    </row>
    <row r="270" spans="1:22" ht="15" hidden="1" customHeight="1">
      <c r="A270" t="str">
        <f t="shared" si="60"/>
        <v>*</v>
      </c>
      <c r="B270" s="894"/>
      <c r="C270" s="19"/>
      <c r="D270" s="861" t="str">
        <f t="shared" si="62"/>
        <v/>
      </c>
      <c r="E270" s="873" t="str">
        <f t="shared" si="61"/>
        <v/>
      </c>
      <c r="F270" s="873" t="str">
        <f t="shared" si="61"/>
        <v/>
      </c>
      <c r="G270" s="873" t="str">
        <f t="shared" si="61"/>
        <v/>
      </c>
      <c r="H270" s="873" t="str">
        <f t="shared" si="61"/>
        <v/>
      </c>
      <c r="I270" s="873" t="str">
        <f t="shared" si="61"/>
        <v/>
      </c>
      <c r="J270" s="873" t="str">
        <f t="shared" si="61"/>
        <v/>
      </c>
      <c r="K270" s="873" t="str">
        <f t="shared" si="61"/>
        <v/>
      </c>
      <c r="L270" s="934" t="str">
        <f t="shared" si="61"/>
        <v/>
      </c>
      <c r="N270"/>
      <c r="O270"/>
      <c r="P270"/>
      <c r="Q270"/>
      <c r="R270"/>
      <c r="S270"/>
      <c r="T270"/>
      <c r="U270"/>
      <c r="V270"/>
    </row>
    <row r="271" spans="1:22" ht="15" hidden="1" customHeight="1">
      <c r="A271" t="str">
        <f t="shared" si="60"/>
        <v>*</v>
      </c>
      <c r="B271" s="894"/>
      <c r="C271" s="19"/>
      <c r="D271" s="861" t="str">
        <f t="shared" si="62"/>
        <v/>
      </c>
      <c r="E271" s="873" t="str">
        <f t="shared" si="61"/>
        <v/>
      </c>
      <c r="F271" s="873" t="str">
        <f t="shared" si="61"/>
        <v/>
      </c>
      <c r="G271" s="873" t="str">
        <f t="shared" si="61"/>
        <v/>
      </c>
      <c r="H271" s="873" t="str">
        <f t="shared" si="61"/>
        <v/>
      </c>
      <c r="I271" s="873" t="str">
        <f t="shared" si="61"/>
        <v/>
      </c>
      <c r="J271" s="873" t="str">
        <f t="shared" si="61"/>
        <v/>
      </c>
      <c r="K271" s="873" t="str">
        <f t="shared" si="61"/>
        <v/>
      </c>
      <c r="L271" s="934" t="str">
        <f t="shared" si="61"/>
        <v/>
      </c>
      <c r="N271"/>
      <c r="O271"/>
      <c r="P271"/>
      <c r="Q271"/>
      <c r="R271"/>
      <c r="S271"/>
      <c r="T271"/>
      <c r="U271"/>
      <c r="V271"/>
    </row>
    <row r="272" spans="1:22" ht="15" hidden="1" customHeight="1">
      <c r="A272" t="str">
        <f t="shared" si="60"/>
        <v>*</v>
      </c>
      <c r="B272" s="894"/>
      <c r="C272" s="19"/>
      <c r="D272" s="861" t="str">
        <f t="shared" si="62"/>
        <v/>
      </c>
      <c r="E272" s="873" t="str">
        <f t="shared" si="61"/>
        <v/>
      </c>
      <c r="F272" s="873" t="str">
        <f t="shared" si="61"/>
        <v/>
      </c>
      <c r="G272" s="873" t="str">
        <f t="shared" si="61"/>
        <v/>
      </c>
      <c r="H272" s="873" t="str">
        <f t="shared" si="61"/>
        <v/>
      </c>
      <c r="I272" s="873" t="str">
        <f t="shared" si="61"/>
        <v/>
      </c>
      <c r="J272" s="873" t="str">
        <f t="shared" si="61"/>
        <v/>
      </c>
      <c r="K272" s="873" t="str">
        <f t="shared" si="61"/>
        <v/>
      </c>
      <c r="L272" s="934" t="str">
        <f t="shared" si="61"/>
        <v/>
      </c>
      <c r="N272"/>
      <c r="O272"/>
      <c r="P272"/>
      <c r="Q272"/>
      <c r="R272"/>
      <c r="S272"/>
      <c r="T272"/>
      <c r="U272"/>
      <c r="V272"/>
    </row>
    <row r="273" spans="1:22" ht="15" hidden="1" customHeight="1">
      <c r="A273" t="str">
        <f t="shared" si="60"/>
        <v>*</v>
      </c>
      <c r="B273" s="894"/>
      <c r="C273" s="19"/>
      <c r="D273" s="861" t="str">
        <f t="shared" si="62"/>
        <v/>
      </c>
      <c r="E273" s="873" t="str">
        <f t="shared" si="61"/>
        <v/>
      </c>
      <c r="F273" s="873" t="str">
        <f t="shared" si="61"/>
        <v/>
      </c>
      <c r="G273" s="873" t="str">
        <f t="shared" si="61"/>
        <v/>
      </c>
      <c r="H273" s="873" t="str">
        <f t="shared" si="61"/>
        <v/>
      </c>
      <c r="I273" s="873" t="str">
        <f t="shared" si="61"/>
        <v/>
      </c>
      <c r="J273" s="873" t="str">
        <f t="shared" si="61"/>
        <v/>
      </c>
      <c r="K273" s="873" t="str">
        <f t="shared" si="61"/>
        <v/>
      </c>
      <c r="L273" s="934" t="str">
        <f t="shared" si="61"/>
        <v/>
      </c>
      <c r="N273"/>
      <c r="O273"/>
      <c r="P273"/>
      <c r="Q273"/>
      <c r="R273"/>
      <c r="S273"/>
      <c r="T273"/>
      <c r="U273"/>
      <c r="V273"/>
    </row>
    <row r="274" spans="1:22" ht="15" hidden="1" customHeight="1">
      <c r="A274" t="str">
        <f t="shared" si="60"/>
        <v>*</v>
      </c>
      <c r="B274" s="894"/>
      <c r="C274" s="19"/>
      <c r="D274" s="861" t="str">
        <f t="shared" si="62"/>
        <v/>
      </c>
      <c r="E274" s="873" t="str">
        <f t="shared" si="61"/>
        <v/>
      </c>
      <c r="F274" s="873" t="str">
        <f t="shared" si="61"/>
        <v/>
      </c>
      <c r="G274" s="873" t="str">
        <f t="shared" si="61"/>
        <v/>
      </c>
      <c r="H274" s="873" t="str">
        <f t="shared" si="61"/>
        <v/>
      </c>
      <c r="I274" s="873" t="str">
        <f t="shared" si="61"/>
        <v/>
      </c>
      <c r="J274" s="873" t="str">
        <f t="shared" si="61"/>
        <v/>
      </c>
      <c r="K274" s="873" t="str">
        <f t="shared" si="61"/>
        <v/>
      </c>
      <c r="L274" s="934" t="str">
        <f t="shared" si="61"/>
        <v/>
      </c>
      <c r="N274"/>
      <c r="O274"/>
      <c r="P274"/>
      <c r="Q274"/>
      <c r="R274"/>
      <c r="S274"/>
      <c r="T274"/>
      <c r="U274"/>
      <c r="V274"/>
    </row>
    <row r="275" spans="1:22" ht="15" hidden="1" customHeight="1">
      <c r="A275" t="str">
        <f t="shared" si="60"/>
        <v>*</v>
      </c>
      <c r="B275" s="894"/>
      <c r="C275" s="19"/>
      <c r="D275" s="861" t="str">
        <f t="shared" si="62"/>
        <v/>
      </c>
      <c r="E275" s="873" t="str">
        <f t="shared" ref="E275:L282" si="63">IF(OR($D275="",E217=""),"",-E217*$H$260)</f>
        <v/>
      </c>
      <c r="F275" s="873" t="str">
        <f t="shared" si="63"/>
        <v/>
      </c>
      <c r="G275" s="873" t="str">
        <f t="shared" si="63"/>
        <v/>
      </c>
      <c r="H275" s="873" t="str">
        <f t="shared" si="63"/>
        <v/>
      </c>
      <c r="I275" s="873" t="str">
        <f t="shared" si="63"/>
        <v/>
      </c>
      <c r="J275" s="873" t="str">
        <f t="shared" si="63"/>
        <v/>
      </c>
      <c r="K275" s="873" t="str">
        <f t="shared" si="63"/>
        <v/>
      </c>
      <c r="L275" s="934" t="str">
        <f t="shared" si="63"/>
        <v/>
      </c>
      <c r="N275"/>
      <c r="O275"/>
      <c r="P275"/>
      <c r="Q275"/>
      <c r="R275"/>
      <c r="S275"/>
      <c r="T275"/>
      <c r="U275"/>
      <c r="V275"/>
    </row>
    <row r="276" spans="1:22" ht="15" hidden="1" customHeight="1">
      <c r="A276" t="str">
        <f t="shared" si="60"/>
        <v>*</v>
      </c>
      <c r="B276" s="894"/>
      <c r="C276" s="19"/>
      <c r="D276" s="861" t="str">
        <f t="shared" si="62"/>
        <v/>
      </c>
      <c r="E276" s="873" t="str">
        <f t="shared" si="63"/>
        <v/>
      </c>
      <c r="F276" s="873" t="str">
        <f t="shared" si="63"/>
        <v/>
      </c>
      <c r="G276" s="873" t="str">
        <f t="shared" si="63"/>
        <v/>
      </c>
      <c r="H276" s="873" t="str">
        <f t="shared" si="63"/>
        <v/>
      </c>
      <c r="I276" s="873" t="str">
        <f t="shared" si="63"/>
        <v/>
      </c>
      <c r="J276" s="873" t="str">
        <f t="shared" si="63"/>
        <v/>
      </c>
      <c r="K276" s="873" t="str">
        <f t="shared" si="63"/>
        <v/>
      </c>
      <c r="L276" s="934" t="str">
        <f t="shared" si="63"/>
        <v/>
      </c>
      <c r="N276"/>
      <c r="O276"/>
      <c r="P276"/>
      <c r="Q276"/>
      <c r="R276"/>
      <c r="S276"/>
      <c r="T276"/>
      <c r="U276"/>
      <c r="V276"/>
    </row>
    <row r="277" spans="1:22" ht="15" hidden="1" customHeight="1">
      <c r="A277" t="str">
        <f t="shared" si="60"/>
        <v>*</v>
      </c>
      <c r="B277" s="894"/>
      <c r="C277" s="19"/>
      <c r="D277" s="861" t="str">
        <f t="shared" si="62"/>
        <v/>
      </c>
      <c r="E277" s="873" t="str">
        <f t="shared" si="63"/>
        <v/>
      </c>
      <c r="F277" s="873" t="str">
        <f t="shared" si="63"/>
        <v/>
      </c>
      <c r="G277" s="873" t="str">
        <f t="shared" si="63"/>
        <v/>
      </c>
      <c r="H277" s="873" t="str">
        <f t="shared" si="63"/>
        <v/>
      </c>
      <c r="I277" s="873" t="str">
        <f t="shared" si="63"/>
        <v/>
      </c>
      <c r="J277" s="873" t="str">
        <f t="shared" si="63"/>
        <v/>
      </c>
      <c r="K277" s="873" t="str">
        <f t="shared" si="63"/>
        <v/>
      </c>
      <c r="L277" s="934" t="str">
        <f t="shared" si="63"/>
        <v/>
      </c>
      <c r="N277"/>
      <c r="O277"/>
      <c r="P277"/>
      <c r="Q277"/>
      <c r="R277"/>
      <c r="S277"/>
      <c r="T277"/>
      <c r="U277"/>
      <c r="V277"/>
    </row>
    <row r="278" spans="1:22" ht="15" hidden="1" customHeight="1">
      <c r="A278" t="str">
        <f t="shared" si="60"/>
        <v>*</v>
      </c>
      <c r="B278" s="894"/>
      <c r="C278" s="19"/>
      <c r="D278" s="861" t="str">
        <f t="shared" si="62"/>
        <v/>
      </c>
      <c r="E278" s="873" t="str">
        <f t="shared" si="63"/>
        <v/>
      </c>
      <c r="F278" s="873" t="str">
        <f t="shared" si="63"/>
        <v/>
      </c>
      <c r="G278" s="873" t="str">
        <f t="shared" si="63"/>
        <v/>
      </c>
      <c r="H278" s="873" t="str">
        <f t="shared" si="63"/>
        <v/>
      </c>
      <c r="I278" s="873" t="str">
        <f t="shared" si="63"/>
        <v/>
      </c>
      <c r="J278" s="873" t="str">
        <f t="shared" si="63"/>
        <v/>
      </c>
      <c r="K278" s="873" t="str">
        <f t="shared" si="63"/>
        <v/>
      </c>
      <c r="L278" s="934" t="str">
        <f t="shared" si="63"/>
        <v/>
      </c>
      <c r="N278"/>
      <c r="O278"/>
      <c r="P278"/>
      <c r="Q278"/>
      <c r="R278"/>
      <c r="S278"/>
      <c r="T278"/>
      <c r="U278"/>
      <c r="V278"/>
    </row>
    <row r="279" spans="1:22" ht="15" hidden="1" customHeight="1">
      <c r="A279" t="str">
        <f t="shared" si="60"/>
        <v>*</v>
      </c>
      <c r="B279" s="894"/>
      <c r="C279" s="19"/>
      <c r="D279" s="861" t="str">
        <f t="shared" si="62"/>
        <v/>
      </c>
      <c r="E279" s="873" t="str">
        <f t="shared" si="63"/>
        <v/>
      </c>
      <c r="F279" s="873" t="str">
        <f t="shared" si="63"/>
        <v/>
      </c>
      <c r="G279" s="873" t="str">
        <f t="shared" si="63"/>
        <v/>
      </c>
      <c r="H279" s="873" t="str">
        <f t="shared" si="63"/>
        <v/>
      </c>
      <c r="I279" s="873" t="str">
        <f t="shared" si="63"/>
        <v/>
      </c>
      <c r="J279" s="873" t="str">
        <f t="shared" si="63"/>
        <v/>
      </c>
      <c r="K279" s="873" t="str">
        <f t="shared" si="63"/>
        <v/>
      </c>
      <c r="L279" s="934" t="str">
        <f t="shared" si="63"/>
        <v/>
      </c>
      <c r="N279"/>
      <c r="O279"/>
      <c r="P279"/>
      <c r="Q279"/>
      <c r="R279"/>
      <c r="S279"/>
      <c r="T279"/>
      <c r="U279"/>
      <c r="V279"/>
    </row>
    <row r="280" spans="1:22" ht="15" hidden="1" customHeight="1">
      <c r="A280" t="str">
        <f t="shared" si="60"/>
        <v>*</v>
      </c>
      <c r="B280" s="894"/>
      <c r="C280" s="19"/>
      <c r="D280" s="861" t="str">
        <f t="shared" si="62"/>
        <v/>
      </c>
      <c r="E280" s="873" t="str">
        <f t="shared" si="63"/>
        <v/>
      </c>
      <c r="F280" s="873" t="str">
        <f t="shared" si="63"/>
        <v/>
      </c>
      <c r="G280" s="873" t="str">
        <f t="shared" si="63"/>
        <v/>
      </c>
      <c r="H280" s="873" t="str">
        <f t="shared" si="63"/>
        <v/>
      </c>
      <c r="I280" s="873" t="str">
        <f t="shared" si="63"/>
        <v/>
      </c>
      <c r="J280" s="873" t="str">
        <f t="shared" si="63"/>
        <v/>
      </c>
      <c r="K280" s="873" t="str">
        <f t="shared" si="63"/>
        <v/>
      </c>
      <c r="L280" s="934" t="str">
        <f t="shared" si="63"/>
        <v/>
      </c>
      <c r="N280"/>
      <c r="O280"/>
      <c r="P280"/>
      <c r="Q280"/>
      <c r="R280"/>
      <c r="S280"/>
      <c r="T280"/>
      <c r="U280"/>
      <c r="V280"/>
    </row>
    <row r="281" spans="1:22" ht="15" hidden="1" customHeight="1">
      <c r="A281" t="str">
        <f t="shared" si="60"/>
        <v>*</v>
      </c>
      <c r="B281" s="894"/>
      <c r="C281" s="19"/>
      <c r="D281" s="861" t="str">
        <f t="shared" si="62"/>
        <v/>
      </c>
      <c r="E281" s="873" t="str">
        <f t="shared" si="63"/>
        <v/>
      </c>
      <c r="F281" s="873" t="str">
        <f t="shared" si="63"/>
        <v/>
      </c>
      <c r="G281" s="873" t="str">
        <f t="shared" si="63"/>
        <v/>
      </c>
      <c r="H281" s="873" t="str">
        <f t="shared" si="63"/>
        <v/>
      </c>
      <c r="I281" s="873" t="str">
        <f t="shared" si="63"/>
        <v/>
      </c>
      <c r="J281" s="873" t="str">
        <f t="shared" si="63"/>
        <v/>
      </c>
      <c r="K281" s="873" t="str">
        <f t="shared" si="63"/>
        <v/>
      </c>
      <c r="L281" s="934" t="str">
        <f t="shared" si="63"/>
        <v/>
      </c>
      <c r="N281"/>
      <c r="O281"/>
      <c r="P281"/>
      <c r="Q281"/>
      <c r="R281"/>
      <c r="S281"/>
      <c r="T281"/>
      <c r="U281"/>
      <c r="V281"/>
    </row>
    <row r="282" spans="1:22" ht="15" hidden="1" customHeight="1">
      <c r="A282" t="str">
        <f t="shared" si="60"/>
        <v>*</v>
      </c>
      <c r="B282" s="894"/>
      <c r="C282" s="19"/>
      <c r="D282" s="861" t="str">
        <f t="shared" si="62"/>
        <v/>
      </c>
      <c r="E282" s="873" t="str">
        <f t="shared" si="63"/>
        <v/>
      </c>
      <c r="F282" s="873" t="str">
        <f t="shared" si="63"/>
        <v/>
      </c>
      <c r="G282" s="873" t="str">
        <f t="shared" si="63"/>
        <v/>
      </c>
      <c r="H282" s="873" t="str">
        <f t="shared" si="63"/>
        <v/>
      </c>
      <c r="I282" s="873" t="str">
        <f t="shared" si="63"/>
        <v/>
      </c>
      <c r="J282" s="873" t="str">
        <f t="shared" si="63"/>
        <v/>
      </c>
      <c r="K282" s="873" t="str">
        <f t="shared" si="63"/>
        <v/>
      </c>
      <c r="L282" s="934" t="str">
        <f t="shared" si="63"/>
        <v/>
      </c>
      <c r="N282"/>
      <c r="O282"/>
      <c r="P282"/>
      <c r="Q282"/>
      <c r="R282"/>
      <c r="S282"/>
      <c r="T282"/>
      <c r="U282"/>
      <c r="V282"/>
    </row>
    <row r="283" spans="1:22" ht="15" hidden="1" customHeight="1">
      <c r="A283" t="str">
        <f>IF(D283="","*","")</f>
        <v>*</v>
      </c>
      <c r="B283" s="894"/>
      <c r="C283" s="19"/>
      <c r="D283" s="861" t="str">
        <f t="shared" si="62"/>
        <v/>
      </c>
      <c r="E283" s="873" t="str">
        <f t="shared" ref="E283:L283" si="64">IF(OR($D283="",E225=""),"",-E225*$H$260)</f>
        <v/>
      </c>
      <c r="F283" s="873" t="str">
        <f t="shared" si="64"/>
        <v/>
      </c>
      <c r="G283" s="873" t="str">
        <f t="shared" si="64"/>
        <v/>
      </c>
      <c r="H283" s="873" t="str">
        <f t="shared" si="64"/>
        <v/>
      </c>
      <c r="I283" s="873" t="str">
        <f t="shared" si="64"/>
        <v/>
      </c>
      <c r="J283" s="873" t="str">
        <f t="shared" si="64"/>
        <v/>
      </c>
      <c r="K283" s="873" t="str">
        <f t="shared" si="64"/>
        <v/>
      </c>
      <c r="L283" s="934" t="str">
        <f t="shared" si="64"/>
        <v/>
      </c>
      <c r="N283"/>
      <c r="O283"/>
      <c r="P283"/>
      <c r="Q283"/>
      <c r="R283"/>
      <c r="S283"/>
      <c r="T283"/>
      <c r="U283"/>
      <c r="V283"/>
    </row>
    <row r="284" spans="1:22" ht="15" hidden="1" customHeight="1">
      <c r="A284" t="str">
        <f>IF(D284="","*","")</f>
        <v>*</v>
      </c>
      <c r="B284" s="894"/>
      <c r="C284" s="19"/>
      <c r="D284" s="861" t="str">
        <f t="shared" si="62"/>
        <v/>
      </c>
      <c r="E284" s="873" t="str">
        <f t="shared" ref="E284:L284" si="65">IF(OR($D284="",E226=""),"",-E226*$H$260)</f>
        <v/>
      </c>
      <c r="F284" s="873" t="str">
        <f t="shared" si="65"/>
        <v/>
      </c>
      <c r="G284" s="873" t="str">
        <f t="shared" si="65"/>
        <v/>
      </c>
      <c r="H284" s="873" t="str">
        <f t="shared" si="65"/>
        <v/>
      </c>
      <c r="I284" s="873" t="str">
        <f t="shared" si="65"/>
        <v/>
      </c>
      <c r="J284" s="873" t="str">
        <f t="shared" si="65"/>
        <v/>
      </c>
      <c r="K284" s="873" t="str">
        <f t="shared" si="65"/>
        <v/>
      </c>
      <c r="L284" s="934" t="str">
        <f t="shared" si="65"/>
        <v/>
      </c>
      <c r="N284"/>
      <c r="O284"/>
      <c r="P284"/>
      <c r="Q284"/>
      <c r="R284"/>
      <c r="S284"/>
      <c r="T284"/>
      <c r="U284"/>
      <c r="V284"/>
    </row>
    <row r="285" spans="1:22" ht="15" customHeight="1">
      <c r="B285" s="894"/>
      <c r="C285" s="923"/>
      <c r="D285" s="891" t="s">
        <v>1009</v>
      </c>
      <c r="E285" s="869" t="s">
        <v>997</v>
      </c>
      <c r="F285" s="903" t="s">
        <v>1008</v>
      </c>
      <c r="G285" s="869" t="s">
        <v>997</v>
      </c>
      <c r="H285" s="903" t="s">
        <v>1008</v>
      </c>
      <c r="I285" s="869" t="s">
        <v>997</v>
      </c>
      <c r="J285" s="903" t="s">
        <v>1008</v>
      </c>
      <c r="K285" s="869" t="s">
        <v>997</v>
      </c>
      <c r="L285" s="903" t="s">
        <v>1008</v>
      </c>
      <c r="N285"/>
      <c r="O285"/>
      <c r="P285"/>
      <c r="Q285"/>
      <c r="R285"/>
      <c r="S285"/>
      <c r="T285"/>
      <c r="U285"/>
      <c r="V285"/>
    </row>
    <row r="286" spans="1:22" ht="15" customHeight="1">
      <c r="A286" t="str">
        <f t="shared" ref="A286:A303" si="66">IF(D286="","*","")</f>
        <v/>
      </c>
      <c r="B286" s="894"/>
      <c r="C286" s="19"/>
      <c r="D286" s="861" t="str">
        <f>D229</f>
        <v>Beam 1</v>
      </c>
      <c r="E286" s="873">
        <f t="shared" ref="E286:L295" si="67">IF(OR($D286="",E229=""),"",E229*$H$260)</f>
        <v>122.99996976568404</v>
      </c>
      <c r="F286" s="873">
        <f t="shared" si="67"/>
        <v>24.792804716553288</v>
      </c>
      <c r="G286" s="873" t="str">
        <f t="shared" si="67"/>
        <v/>
      </c>
      <c r="H286" s="873" t="str">
        <f t="shared" si="67"/>
        <v/>
      </c>
      <c r="I286" s="873">
        <f t="shared" si="67"/>
        <v>130.64591383219954</v>
      </c>
      <c r="J286" s="873">
        <f t="shared" si="67"/>
        <v>27.315966258503401</v>
      </c>
      <c r="K286" s="873" t="str">
        <f t="shared" si="67"/>
        <v/>
      </c>
      <c r="L286" s="934" t="str">
        <f t="shared" si="67"/>
        <v/>
      </c>
      <c r="N286"/>
      <c r="O286"/>
      <c r="P286"/>
      <c r="Q286"/>
      <c r="R286"/>
      <c r="S286"/>
      <c r="T286"/>
      <c r="U286"/>
      <c r="V286"/>
    </row>
    <row r="287" spans="1:22" ht="15" customHeight="1">
      <c r="A287" t="str">
        <f t="shared" si="66"/>
        <v/>
      </c>
      <c r="B287" s="894"/>
      <c r="C287" s="19"/>
      <c r="D287" s="861" t="str">
        <f>D230</f>
        <v>Beam 2</v>
      </c>
      <c r="E287" s="873">
        <f t="shared" si="67"/>
        <v>122.99996976568404</v>
      </c>
      <c r="F287" s="873">
        <f t="shared" si="67"/>
        <v>24.792804716553288</v>
      </c>
      <c r="G287" s="873" t="str">
        <f t="shared" si="67"/>
        <v/>
      </c>
      <c r="H287" s="873" t="str">
        <f t="shared" si="67"/>
        <v/>
      </c>
      <c r="I287" s="873">
        <f t="shared" si="67"/>
        <v>130.64591383219954</v>
      </c>
      <c r="J287" s="873">
        <f t="shared" si="67"/>
        <v>27.315966258503401</v>
      </c>
      <c r="K287" s="873" t="str">
        <f t="shared" si="67"/>
        <v/>
      </c>
      <c r="L287" s="934" t="str">
        <f t="shared" si="67"/>
        <v/>
      </c>
      <c r="N287"/>
      <c r="O287"/>
      <c r="P287"/>
      <c r="Q287"/>
      <c r="R287"/>
      <c r="S287"/>
      <c r="T287"/>
      <c r="U287"/>
      <c r="V287"/>
    </row>
    <row r="288" spans="1:22" ht="15" customHeight="1">
      <c r="A288" t="str">
        <f t="shared" si="66"/>
        <v/>
      </c>
      <c r="B288" s="894"/>
      <c r="C288" s="19"/>
      <c r="D288" s="861" t="str">
        <f t="shared" ref="D288:D305" si="68">D231</f>
        <v>Beam 3</v>
      </c>
      <c r="E288" s="873" t="str">
        <f t="shared" si="67"/>
        <v/>
      </c>
      <c r="F288" s="873" t="str">
        <f t="shared" si="67"/>
        <v/>
      </c>
      <c r="G288" s="873">
        <f t="shared" si="67"/>
        <v>122.99996976568404</v>
      </c>
      <c r="H288" s="873">
        <f t="shared" si="67"/>
        <v>24.792804716553288</v>
      </c>
      <c r="I288" s="873" t="str">
        <f t="shared" si="67"/>
        <v/>
      </c>
      <c r="J288" s="873" t="str">
        <f t="shared" si="67"/>
        <v/>
      </c>
      <c r="K288" s="873">
        <f t="shared" si="67"/>
        <v>130.64591383219954</v>
      </c>
      <c r="L288" s="934">
        <f t="shared" si="67"/>
        <v>27.315966258503401</v>
      </c>
      <c r="N288"/>
      <c r="O288"/>
      <c r="P288"/>
      <c r="Q288"/>
      <c r="R288"/>
      <c r="S288"/>
      <c r="T288"/>
      <c r="U288"/>
      <c r="V288"/>
    </row>
    <row r="289" spans="1:22" ht="15" customHeight="1">
      <c r="A289" t="str">
        <f t="shared" si="66"/>
        <v/>
      </c>
      <c r="B289" s="894"/>
      <c r="C289" s="19"/>
      <c r="D289" s="861" t="str">
        <f t="shared" si="68"/>
        <v>Beam 4</v>
      </c>
      <c r="E289" s="873" t="str">
        <f t="shared" si="67"/>
        <v/>
      </c>
      <c r="F289" s="873" t="str">
        <f t="shared" si="67"/>
        <v/>
      </c>
      <c r="G289" s="873">
        <f t="shared" si="67"/>
        <v>122.99996976568404</v>
      </c>
      <c r="H289" s="873">
        <f t="shared" si="67"/>
        <v>24.792804716553288</v>
      </c>
      <c r="I289" s="873" t="str">
        <f t="shared" si="67"/>
        <v/>
      </c>
      <c r="J289" s="873" t="str">
        <f t="shared" si="67"/>
        <v/>
      </c>
      <c r="K289" s="873">
        <f t="shared" si="67"/>
        <v>130.64591383219954</v>
      </c>
      <c r="L289" s="934">
        <f t="shared" si="67"/>
        <v>27.315966258503401</v>
      </c>
      <c r="N289"/>
      <c r="O289"/>
      <c r="P289"/>
      <c r="Q289"/>
      <c r="R289"/>
      <c r="S289"/>
      <c r="T289"/>
      <c r="U289"/>
      <c r="V289"/>
    </row>
    <row r="290" spans="1:22" ht="15" customHeight="1">
      <c r="A290" t="str">
        <f t="shared" si="66"/>
        <v>*</v>
      </c>
      <c r="B290" s="894"/>
      <c r="C290" s="19"/>
      <c r="D290" s="861" t="str">
        <f t="shared" si="68"/>
        <v/>
      </c>
      <c r="E290" s="873" t="str">
        <f t="shared" si="67"/>
        <v/>
      </c>
      <c r="F290" s="873" t="str">
        <f t="shared" si="67"/>
        <v/>
      </c>
      <c r="G290" s="873" t="str">
        <f t="shared" si="67"/>
        <v/>
      </c>
      <c r="H290" s="873" t="str">
        <f t="shared" si="67"/>
        <v/>
      </c>
      <c r="I290" s="873" t="str">
        <f t="shared" si="67"/>
        <v/>
      </c>
      <c r="J290" s="873" t="str">
        <f t="shared" si="67"/>
        <v/>
      </c>
      <c r="K290" s="873" t="str">
        <f t="shared" si="67"/>
        <v/>
      </c>
      <c r="L290" s="934" t="str">
        <f t="shared" si="67"/>
        <v/>
      </c>
      <c r="N290"/>
      <c r="O290"/>
      <c r="P290"/>
      <c r="Q290"/>
      <c r="R290"/>
      <c r="S290"/>
      <c r="T290"/>
      <c r="U290"/>
      <c r="V290"/>
    </row>
    <row r="291" spans="1:22" ht="15" hidden="1" customHeight="1">
      <c r="A291" t="str">
        <f t="shared" si="66"/>
        <v>*</v>
      </c>
      <c r="B291" s="894"/>
      <c r="C291" s="19"/>
      <c r="D291" s="861" t="str">
        <f t="shared" si="68"/>
        <v/>
      </c>
      <c r="E291" s="873" t="str">
        <f t="shared" si="67"/>
        <v/>
      </c>
      <c r="F291" s="873" t="str">
        <f t="shared" si="67"/>
        <v/>
      </c>
      <c r="G291" s="873" t="str">
        <f t="shared" si="67"/>
        <v/>
      </c>
      <c r="H291" s="873" t="str">
        <f t="shared" si="67"/>
        <v/>
      </c>
      <c r="I291" s="873" t="str">
        <f t="shared" si="67"/>
        <v/>
      </c>
      <c r="J291" s="873" t="str">
        <f t="shared" si="67"/>
        <v/>
      </c>
      <c r="K291" s="873" t="str">
        <f t="shared" si="67"/>
        <v/>
      </c>
      <c r="L291" s="934" t="str">
        <f t="shared" si="67"/>
        <v/>
      </c>
      <c r="N291"/>
      <c r="O291"/>
      <c r="P291"/>
      <c r="Q291"/>
      <c r="R291"/>
      <c r="S291"/>
      <c r="T291"/>
      <c r="U291"/>
      <c r="V291"/>
    </row>
    <row r="292" spans="1:22" ht="15" hidden="1" customHeight="1">
      <c r="A292" t="str">
        <f t="shared" si="66"/>
        <v>*</v>
      </c>
      <c r="B292" s="894"/>
      <c r="C292" s="19"/>
      <c r="D292" s="861" t="str">
        <f t="shared" si="68"/>
        <v/>
      </c>
      <c r="E292" s="873" t="str">
        <f t="shared" si="67"/>
        <v/>
      </c>
      <c r="F292" s="873" t="str">
        <f t="shared" si="67"/>
        <v/>
      </c>
      <c r="G292" s="873" t="str">
        <f t="shared" si="67"/>
        <v/>
      </c>
      <c r="H292" s="873" t="str">
        <f t="shared" si="67"/>
        <v/>
      </c>
      <c r="I292" s="873" t="str">
        <f t="shared" si="67"/>
        <v/>
      </c>
      <c r="J292" s="873" t="str">
        <f t="shared" si="67"/>
        <v/>
      </c>
      <c r="K292" s="873" t="str">
        <f t="shared" si="67"/>
        <v/>
      </c>
      <c r="L292" s="934" t="str">
        <f t="shared" si="67"/>
        <v/>
      </c>
      <c r="N292"/>
      <c r="O292"/>
      <c r="P292"/>
      <c r="Q292"/>
      <c r="R292"/>
      <c r="S292"/>
      <c r="T292"/>
      <c r="U292"/>
      <c r="V292"/>
    </row>
    <row r="293" spans="1:22" ht="15" hidden="1" customHeight="1">
      <c r="A293" t="str">
        <f t="shared" si="66"/>
        <v>*</v>
      </c>
      <c r="B293" s="894"/>
      <c r="C293" s="926"/>
      <c r="D293" s="927" t="str">
        <f t="shared" si="68"/>
        <v/>
      </c>
      <c r="E293" s="874" t="str">
        <f t="shared" si="67"/>
        <v/>
      </c>
      <c r="F293" s="874" t="str">
        <f t="shared" si="67"/>
        <v/>
      </c>
      <c r="G293" s="874" t="str">
        <f t="shared" si="67"/>
        <v/>
      </c>
      <c r="H293" s="874" t="str">
        <f t="shared" si="67"/>
        <v/>
      </c>
      <c r="I293" s="874" t="str">
        <f t="shared" si="67"/>
        <v/>
      </c>
      <c r="J293" s="874" t="str">
        <f t="shared" si="67"/>
        <v/>
      </c>
      <c r="K293" s="874" t="str">
        <f t="shared" si="67"/>
        <v/>
      </c>
      <c r="L293" s="935" t="str">
        <f t="shared" si="67"/>
        <v/>
      </c>
      <c r="N293"/>
      <c r="O293"/>
      <c r="P293"/>
      <c r="Q293"/>
      <c r="R293"/>
      <c r="S293"/>
      <c r="T293"/>
      <c r="U293"/>
      <c r="V293"/>
    </row>
    <row r="294" spans="1:22" ht="15" hidden="1" customHeight="1">
      <c r="A294" t="str">
        <f t="shared" si="66"/>
        <v>*</v>
      </c>
      <c r="B294" s="894"/>
      <c r="C294" s="18"/>
      <c r="D294" s="861" t="str">
        <f t="shared" si="68"/>
        <v/>
      </c>
      <c r="E294" s="873" t="str">
        <f t="shared" si="67"/>
        <v/>
      </c>
      <c r="F294" s="873" t="str">
        <f t="shared" si="67"/>
        <v/>
      </c>
      <c r="G294" s="873" t="str">
        <f t="shared" si="67"/>
        <v/>
      </c>
      <c r="H294" s="873" t="str">
        <f t="shared" si="67"/>
        <v/>
      </c>
      <c r="I294" s="873" t="str">
        <f t="shared" si="67"/>
        <v/>
      </c>
      <c r="J294" s="873" t="str">
        <f t="shared" si="67"/>
        <v/>
      </c>
      <c r="K294" s="873" t="str">
        <f t="shared" si="67"/>
        <v/>
      </c>
      <c r="L294" s="934" t="str">
        <f t="shared" si="67"/>
        <v/>
      </c>
      <c r="N294"/>
      <c r="O294"/>
      <c r="P294"/>
      <c r="Q294"/>
      <c r="R294"/>
      <c r="S294"/>
      <c r="T294"/>
      <c r="U294"/>
      <c r="V294"/>
    </row>
    <row r="295" spans="1:22" ht="15" hidden="1" customHeight="1">
      <c r="A295" t="str">
        <f t="shared" si="66"/>
        <v>*</v>
      </c>
      <c r="B295" s="894"/>
      <c r="C295" s="18"/>
      <c r="D295" s="861" t="str">
        <f t="shared" si="68"/>
        <v/>
      </c>
      <c r="E295" s="873" t="str">
        <f t="shared" si="67"/>
        <v/>
      </c>
      <c r="F295" s="873" t="str">
        <f t="shared" si="67"/>
        <v/>
      </c>
      <c r="G295" s="873" t="str">
        <f t="shared" si="67"/>
        <v/>
      </c>
      <c r="H295" s="873" t="str">
        <f t="shared" si="67"/>
        <v/>
      </c>
      <c r="I295" s="873" t="str">
        <f t="shared" si="67"/>
        <v/>
      </c>
      <c r="J295" s="873" t="str">
        <f t="shared" si="67"/>
        <v/>
      </c>
      <c r="K295" s="873" t="str">
        <f t="shared" si="67"/>
        <v/>
      </c>
      <c r="L295" s="934" t="str">
        <f t="shared" si="67"/>
        <v/>
      </c>
      <c r="N295"/>
      <c r="O295"/>
      <c r="P295"/>
      <c r="Q295"/>
      <c r="R295"/>
      <c r="S295"/>
      <c r="T295"/>
      <c r="U295"/>
      <c r="V295"/>
    </row>
    <row r="296" spans="1:22" ht="15" hidden="1" customHeight="1">
      <c r="A296" t="str">
        <f t="shared" si="66"/>
        <v>*</v>
      </c>
      <c r="B296" s="894"/>
      <c r="C296" s="18"/>
      <c r="D296" s="861" t="str">
        <f t="shared" si="68"/>
        <v/>
      </c>
      <c r="E296" s="873" t="str">
        <f t="shared" ref="E296:L303" si="69">IF(OR($D296="",E239=""),"",E239*$H$260)</f>
        <v/>
      </c>
      <c r="F296" s="873" t="str">
        <f t="shared" si="69"/>
        <v/>
      </c>
      <c r="G296" s="873" t="str">
        <f t="shared" si="69"/>
        <v/>
      </c>
      <c r="H296" s="873" t="str">
        <f t="shared" si="69"/>
        <v/>
      </c>
      <c r="I296" s="873" t="str">
        <f t="shared" si="69"/>
        <v/>
      </c>
      <c r="J296" s="873" t="str">
        <f t="shared" si="69"/>
        <v/>
      </c>
      <c r="K296" s="873" t="str">
        <f t="shared" si="69"/>
        <v/>
      </c>
      <c r="L296" s="934" t="str">
        <f t="shared" si="69"/>
        <v/>
      </c>
      <c r="N296"/>
      <c r="O296"/>
      <c r="P296"/>
      <c r="Q296"/>
      <c r="R296"/>
      <c r="S296"/>
      <c r="T296"/>
      <c r="U296"/>
      <c r="V296"/>
    </row>
    <row r="297" spans="1:22" ht="15" hidden="1" customHeight="1">
      <c r="A297" t="str">
        <f t="shared" si="66"/>
        <v>*</v>
      </c>
      <c r="B297" s="894"/>
      <c r="C297" s="18"/>
      <c r="D297" s="861" t="str">
        <f t="shared" si="68"/>
        <v/>
      </c>
      <c r="E297" s="873" t="str">
        <f t="shared" si="69"/>
        <v/>
      </c>
      <c r="F297" s="873" t="str">
        <f t="shared" si="69"/>
        <v/>
      </c>
      <c r="G297" s="873" t="str">
        <f t="shared" si="69"/>
        <v/>
      </c>
      <c r="H297" s="873" t="str">
        <f t="shared" si="69"/>
        <v/>
      </c>
      <c r="I297" s="873" t="str">
        <f t="shared" si="69"/>
        <v/>
      </c>
      <c r="J297" s="873" t="str">
        <f t="shared" si="69"/>
        <v/>
      </c>
      <c r="K297" s="873" t="str">
        <f t="shared" si="69"/>
        <v/>
      </c>
      <c r="L297" s="934" t="str">
        <f t="shared" si="69"/>
        <v/>
      </c>
      <c r="N297"/>
      <c r="O297"/>
      <c r="P297"/>
      <c r="Q297"/>
      <c r="R297"/>
      <c r="S297"/>
      <c r="T297"/>
      <c r="U297"/>
      <c r="V297"/>
    </row>
    <row r="298" spans="1:22" ht="15" hidden="1" customHeight="1">
      <c r="A298" t="str">
        <f t="shared" si="66"/>
        <v>*</v>
      </c>
      <c r="B298" s="894"/>
      <c r="C298" s="18"/>
      <c r="D298" s="861" t="str">
        <f t="shared" si="68"/>
        <v/>
      </c>
      <c r="E298" s="873" t="str">
        <f t="shared" si="69"/>
        <v/>
      </c>
      <c r="F298" s="873" t="str">
        <f t="shared" si="69"/>
        <v/>
      </c>
      <c r="G298" s="873" t="str">
        <f t="shared" si="69"/>
        <v/>
      </c>
      <c r="H298" s="873" t="str">
        <f t="shared" si="69"/>
        <v/>
      </c>
      <c r="I298" s="873" t="str">
        <f t="shared" si="69"/>
        <v/>
      </c>
      <c r="J298" s="873" t="str">
        <f t="shared" si="69"/>
        <v/>
      </c>
      <c r="K298" s="873" t="str">
        <f t="shared" si="69"/>
        <v/>
      </c>
      <c r="L298" s="934" t="str">
        <f t="shared" si="69"/>
        <v/>
      </c>
      <c r="N298"/>
      <c r="O298"/>
      <c r="P298"/>
      <c r="Q298"/>
      <c r="R298"/>
      <c r="S298"/>
      <c r="T298"/>
      <c r="U298"/>
      <c r="V298"/>
    </row>
    <row r="299" spans="1:22" ht="15" hidden="1" customHeight="1">
      <c r="A299" t="str">
        <f t="shared" si="66"/>
        <v>*</v>
      </c>
      <c r="B299" s="894"/>
      <c r="C299" s="18"/>
      <c r="D299" s="861" t="str">
        <f t="shared" si="68"/>
        <v/>
      </c>
      <c r="E299" s="873" t="str">
        <f t="shared" si="69"/>
        <v/>
      </c>
      <c r="F299" s="873" t="str">
        <f t="shared" si="69"/>
        <v/>
      </c>
      <c r="G299" s="873" t="str">
        <f t="shared" si="69"/>
        <v/>
      </c>
      <c r="H299" s="873" t="str">
        <f t="shared" si="69"/>
        <v/>
      </c>
      <c r="I299" s="873" t="str">
        <f t="shared" si="69"/>
        <v/>
      </c>
      <c r="J299" s="873" t="str">
        <f t="shared" si="69"/>
        <v/>
      </c>
      <c r="K299" s="873" t="str">
        <f t="shared" si="69"/>
        <v/>
      </c>
      <c r="L299" s="934" t="str">
        <f t="shared" si="69"/>
        <v/>
      </c>
      <c r="N299"/>
      <c r="O299"/>
      <c r="P299"/>
      <c r="Q299"/>
      <c r="R299"/>
      <c r="S299"/>
      <c r="T299"/>
      <c r="U299"/>
      <c r="V299"/>
    </row>
    <row r="300" spans="1:22" ht="15" hidden="1" customHeight="1">
      <c r="A300" t="str">
        <f t="shared" si="66"/>
        <v>*</v>
      </c>
      <c r="B300" s="894"/>
      <c r="C300" s="18"/>
      <c r="D300" s="861" t="str">
        <f t="shared" si="68"/>
        <v/>
      </c>
      <c r="E300" s="873" t="str">
        <f t="shared" si="69"/>
        <v/>
      </c>
      <c r="F300" s="873" t="str">
        <f t="shared" si="69"/>
        <v/>
      </c>
      <c r="G300" s="873" t="str">
        <f t="shared" si="69"/>
        <v/>
      </c>
      <c r="H300" s="873" t="str">
        <f t="shared" si="69"/>
        <v/>
      </c>
      <c r="I300" s="873" t="str">
        <f t="shared" si="69"/>
        <v/>
      </c>
      <c r="J300" s="873" t="str">
        <f t="shared" si="69"/>
        <v/>
      </c>
      <c r="K300" s="873" t="str">
        <f t="shared" si="69"/>
        <v/>
      </c>
      <c r="L300" s="934" t="str">
        <f t="shared" si="69"/>
        <v/>
      </c>
      <c r="N300"/>
      <c r="O300"/>
      <c r="P300"/>
      <c r="Q300"/>
      <c r="R300"/>
      <c r="S300"/>
      <c r="T300"/>
      <c r="U300"/>
      <c r="V300"/>
    </row>
    <row r="301" spans="1:22" ht="15" hidden="1" customHeight="1">
      <c r="A301" t="str">
        <f t="shared" si="66"/>
        <v>*</v>
      </c>
      <c r="B301" s="894"/>
      <c r="C301" s="18"/>
      <c r="D301" s="861" t="str">
        <f t="shared" si="68"/>
        <v/>
      </c>
      <c r="E301" s="873" t="str">
        <f t="shared" si="69"/>
        <v/>
      </c>
      <c r="F301" s="873" t="str">
        <f t="shared" si="69"/>
        <v/>
      </c>
      <c r="G301" s="873" t="str">
        <f t="shared" si="69"/>
        <v/>
      </c>
      <c r="H301" s="873" t="str">
        <f t="shared" si="69"/>
        <v/>
      </c>
      <c r="I301" s="873" t="str">
        <f t="shared" si="69"/>
        <v/>
      </c>
      <c r="J301" s="873" t="str">
        <f t="shared" si="69"/>
        <v/>
      </c>
      <c r="K301" s="873" t="str">
        <f t="shared" si="69"/>
        <v/>
      </c>
      <c r="L301" s="934" t="str">
        <f t="shared" si="69"/>
        <v/>
      </c>
      <c r="N301"/>
      <c r="O301"/>
      <c r="P301"/>
      <c r="Q301"/>
      <c r="R301"/>
      <c r="S301"/>
      <c r="T301"/>
      <c r="U301"/>
      <c r="V301"/>
    </row>
    <row r="302" spans="1:22" ht="15" hidden="1" customHeight="1">
      <c r="A302" t="str">
        <f t="shared" si="66"/>
        <v>*</v>
      </c>
      <c r="B302" s="894"/>
      <c r="C302" s="18"/>
      <c r="D302" s="861" t="str">
        <f t="shared" si="68"/>
        <v/>
      </c>
      <c r="E302" s="873" t="str">
        <f t="shared" si="69"/>
        <v/>
      </c>
      <c r="F302" s="873" t="str">
        <f t="shared" si="69"/>
        <v/>
      </c>
      <c r="G302" s="873" t="str">
        <f t="shared" si="69"/>
        <v/>
      </c>
      <c r="H302" s="873" t="str">
        <f t="shared" si="69"/>
        <v/>
      </c>
      <c r="I302" s="873" t="str">
        <f t="shared" si="69"/>
        <v/>
      </c>
      <c r="J302" s="873" t="str">
        <f t="shared" si="69"/>
        <v/>
      </c>
      <c r="K302" s="873" t="str">
        <f t="shared" si="69"/>
        <v/>
      </c>
      <c r="L302" s="934" t="str">
        <f t="shared" si="69"/>
        <v/>
      </c>
      <c r="N302"/>
      <c r="O302"/>
      <c r="P302"/>
      <c r="Q302"/>
      <c r="R302"/>
      <c r="S302"/>
      <c r="T302"/>
      <c r="U302"/>
      <c r="V302"/>
    </row>
    <row r="303" spans="1:22" ht="15" hidden="1" customHeight="1">
      <c r="A303" t="str">
        <f t="shared" si="66"/>
        <v>*</v>
      </c>
      <c r="B303" s="894"/>
      <c r="C303" s="18"/>
      <c r="D303" s="861" t="str">
        <f t="shared" si="68"/>
        <v/>
      </c>
      <c r="E303" s="873" t="str">
        <f t="shared" si="69"/>
        <v/>
      </c>
      <c r="F303" s="873" t="str">
        <f t="shared" si="69"/>
        <v/>
      </c>
      <c r="G303" s="873" t="str">
        <f t="shared" si="69"/>
        <v/>
      </c>
      <c r="H303" s="873" t="str">
        <f t="shared" si="69"/>
        <v/>
      </c>
      <c r="I303" s="873" t="str">
        <f t="shared" si="69"/>
        <v/>
      </c>
      <c r="J303" s="873" t="str">
        <f t="shared" si="69"/>
        <v/>
      </c>
      <c r="K303" s="873" t="str">
        <f t="shared" si="69"/>
        <v/>
      </c>
      <c r="L303" s="934" t="str">
        <f t="shared" si="69"/>
        <v/>
      </c>
      <c r="N303"/>
      <c r="O303"/>
      <c r="P303"/>
      <c r="Q303"/>
      <c r="R303"/>
      <c r="S303"/>
      <c r="T303"/>
      <c r="U303"/>
      <c r="V303"/>
    </row>
    <row r="304" spans="1:22" ht="15" hidden="1" customHeight="1">
      <c r="A304" t="str">
        <f>IF(D304="","*","")</f>
        <v>*</v>
      </c>
      <c r="B304" s="894"/>
      <c r="C304" s="18"/>
      <c r="D304" s="861" t="str">
        <f t="shared" si="68"/>
        <v/>
      </c>
      <c r="E304" s="873" t="str">
        <f t="shared" ref="E304:L304" si="70">IF(OR($D304="",E247=""),"",E247*$H$260)</f>
        <v/>
      </c>
      <c r="F304" s="873" t="str">
        <f t="shared" si="70"/>
        <v/>
      </c>
      <c r="G304" s="873" t="str">
        <f t="shared" si="70"/>
        <v/>
      </c>
      <c r="H304" s="873" t="str">
        <f t="shared" si="70"/>
        <v/>
      </c>
      <c r="I304" s="873" t="str">
        <f t="shared" si="70"/>
        <v/>
      </c>
      <c r="J304" s="873" t="str">
        <f t="shared" si="70"/>
        <v/>
      </c>
      <c r="K304" s="873" t="str">
        <f t="shared" si="70"/>
        <v/>
      </c>
      <c r="L304" s="934" t="str">
        <f t="shared" si="70"/>
        <v/>
      </c>
      <c r="N304"/>
      <c r="O304"/>
      <c r="P304"/>
      <c r="Q304"/>
      <c r="R304"/>
      <c r="S304"/>
      <c r="T304"/>
      <c r="U304"/>
      <c r="V304"/>
    </row>
    <row r="305" spans="1:22" ht="15" hidden="1" customHeight="1">
      <c r="A305" t="str">
        <f>IF(D305="","*","")</f>
        <v>*</v>
      </c>
      <c r="B305" s="894"/>
      <c r="C305" s="32"/>
      <c r="D305" s="927" t="str">
        <f t="shared" si="68"/>
        <v/>
      </c>
      <c r="E305" s="874" t="str">
        <f t="shared" ref="E305:L305" si="71">IF(OR($D305="",E248=""),"",E248*$H$260)</f>
        <v/>
      </c>
      <c r="F305" s="874" t="str">
        <f t="shared" si="71"/>
        <v/>
      </c>
      <c r="G305" s="874" t="str">
        <f t="shared" si="71"/>
        <v/>
      </c>
      <c r="H305" s="874" t="str">
        <f t="shared" si="71"/>
        <v/>
      </c>
      <c r="I305" s="874" t="str">
        <f t="shared" si="71"/>
        <v/>
      </c>
      <c r="J305" s="874" t="str">
        <f t="shared" si="71"/>
        <v/>
      </c>
      <c r="K305" s="874" t="str">
        <f t="shared" si="71"/>
        <v/>
      </c>
      <c r="L305" s="935" t="str">
        <f t="shared" si="71"/>
        <v/>
      </c>
      <c r="N305"/>
      <c r="O305"/>
      <c r="P305"/>
      <c r="Q305"/>
      <c r="R305"/>
      <c r="S305"/>
      <c r="T305"/>
      <c r="U305"/>
      <c r="V305"/>
    </row>
    <row r="306" spans="1:22" ht="15" customHeight="1">
      <c r="A306" t="s">
        <v>670</v>
      </c>
      <c r="B306" s="16"/>
      <c r="C306" s="854"/>
      <c r="D306" s="859" t="s">
        <v>551</v>
      </c>
      <c r="E306" s="875">
        <f>SUM(E265:E305)</f>
        <v>149.06266606198034</v>
      </c>
      <c r="F306" s="875">
        <f>SUM(F265:F305)</f>
        <v>43.924951365079366</v>
      </c>
      <c r="G306" s="875">
        <f>SUM(G265:G305)</f>
        <v>149.06266606198034</v>
      </c>
      <c r="H306" s="875">
        <f>SUM(H265:H305)</f>
        <v>43.924951365079366</v>
      </c>
      <c r="I306" s="875">
        <f>IF(ABS(SUM(I265:I284))&gt;ABS(SUM(I286:I305)),SUM(I265:I284),SUM(I286:I305))</f>
        <v>261.29182766439908</v>
      </c>
      <c r="J306" s="875">
        <f>IF(ABS(SUM(J265:J284))&gt;ABS(SUM(J286:J305)),SUM(J265:J284),SUM(J286:J305))</f>
        <v>54.631932517006803</v>
      </c>
      <c r="K306" s="875">
        <f>IF(ABS(SUM(K265:K284))&gt;ABS(SUM(K286:K305)),SUM(K265:K284),SUM(K286:K305))</f>
        <v>261.29182766439908</v>
      </c>
      <c r="L306" s="875">
        <f>IF(ABS(SUM(L265:L284))&gt;ABS(SUM(L286:L305)),SUM(L265:L284),SUM(L286:L305))</f>
        <v>54.631932517006803</v>
      </c>
      <c r="N306"/>
      <c r="O306"/>
      <c r="P306"/>
      <c r="Q306"/>
      <c r="R306"/>
      <c r="S306"/>
      <c r="T306"/>
      <c r="U306"/>
      <c r="V306"/>
    </row>
    <row r="307" spans="1:22" ht="14.25" customHeight="1">
      <c r="B307" s="16"/>
      <c r="D307" s="860"/>
      <c r="E307" s="858"/>
      <c r="F307" s="858"/>
      <c r="G307" s="858"/>
      <c r="H307" s="858"/>
      <c r="N307"/>
      <c r="O307"/>
      <c r="P307"/>
      <c r="Q307"/>
      <c r="R307"/>
      <c r="S307"/>
      <c r="T307"/>
      <c r="U307"/>
      <c r="V307"/>
    </row>
    <row r="308" spans="1:22" ht="15" customHeight="1">
      <c r="B308" s="16"/>
      <c r="C308" s="880" t="s">
        <v>318</v>
      </c>
      <c r="D308" s="870"/>
      <c r="E308" s="870"/>
      <c r="F308" s="25"/>
      <c r="G308" s="860" t="s">
        <v>560</v>
      </c>
      <c r="H308" s="947">
        <v>1.75</v>
      </c>
      <c r="I308" s="880" t="s">
        <v>319</v>
      </c>
      <c r="J308" s="870"/>
      <c r="K308" s="870"/>
      <c r="L308" s="25"/>
      <c r="M308" s="25"/>
      <c r="N308"/>
      <c r="O308"/>
      <c r="P308"/>
      <c r="Q308"/>
      <c r="R308"/>
      <c r="S308"/>
      <c r="T308"/>
      <c r="U308"/>
      <c r="V308"/>
    </row>
    <row r="309" spans="1:22" ht="15" customHeight="1">
      <c r="B309" s="16"/>
      <c r="C309" s="1109" t="s">
        <v>771</v>
      </c>
      <c r="D309" s="909"/>
      <c r="E309" s="909"/>
      <c r="F309" s="1110" t="s">
        <v>772</v>
      </c>
      <c r="G309" s="1111"/>
      <c r="H309" s="1111"/>
      <c r="I309" s="1109" t="s">
        <v>771</v>
      </c>
      <c r="J309" s="909"/>
      <c r="K309" s="909"/>
      <c r="L309" s="1110" t="s">
        <v>772</v>
      </c>
      <c r="M309" s="25"/>
      <c r="N309"/>
      <c r="O309"/>
      <c r="P309"/>
      <c r="Q309"/>
      <c r="R309"/>
      <c r="S309"/>
      <c r="T309"/>
      <c r="U309"/>
      <c r="V309"/>
    </row>
    <row r="310" spans="1:22" ht="15" customHeight="1">
      <c r="B310" s="16"/>
      <c r="C310" s="69" t="s">
        <v>460</v>
      </c>
      <c r="D310" s="988">
        <f>$H$308*(E306+F306)</f>
        <v>337.72833049735448</v>
      </c>
      <c r="E310" s="858"/>
      <c r="F310" s="69" t="s">
        <v>460</v>
      </c>
      <c r="G310" s="988">
        <f>$H$308*(G306+H306)</f>
        <v>337.72833049735448</v>
      </c>
      <c r="H310" s="18"/>
      <c r="I310" s="69" t="s">
        <v>460</v>
      </c>
      <c r="J310" s="988">
        <f>$H$308*(I306+J306)</f>
        <v>552.86658031746038</v>
      </c>
      <c r="K310" s="858"/>
      <c r="L310" s="69" t="s">
        <v>460</v>
      </c>
      <c r="M310" s="988">
        <f>$H$308*(K306+L306)</f>
        <v>552.86658031746038</v>
      </c>
      <c r="N310"/>
      <c r="O310"/>
      <c r="P310"/>
      <c r="Q310"/>
      <c r="R310"/>
      <c r="S310"/>
      <c r="T310"/>
      <c r="U310"/>
      <c r="V310"/>
    </row>
    <row r="311" spans="1:22" ht="6.75" customHeight="1">
      <c r="B311" s="16"/>
      <c r="C311" s="18"/>
      <c r="D311" s="18"/>
      <c r="E311" s="40"/>
      <c r="F311" s="862"/>
      <c r="G311" s="18"/>
      <c r="H311" s="862"/>
      <c r="L311" s="858"/>
      <c r="M311" s="858"/>
      <c r="N311"/>
      <c r="O311"/>
      <c r="P311"/>
      <c r="Q311"/>
      <c r="R311"/>
      <c r="S311"/>
      <c r="T311"/>
      <c r="U311"/>
      <c r="V311"/>
    </row>
    <row r="312" spans="1:22" ht="14.25" customHeight="1">
      <c r="B312" s="16"/>
      <c r="C312" s="69"/>
      <c r="D312" s="870"/>
      <c r="E312" s="870"/>
      <c r="F312" s="871"/>
      <c r="G312" s="25"/>
      <c r="H312" s="25"/>
      <c r="I312" s="69"/>
      <c r="J312" s="883"/>
      <c r="K312" s="870"/>
      <c r="L312" s="871"/>
      <c r="M312" s="885"/>
      <c r="N312"/>
      <c r="O312"/>
      <c r="P312"/>
      <c r="Q312"/>
      <c r="R312"/>
      <c r="S312"/>
      <c r="T312"/>
      <c r="U312"/>
      <c r="V312"/>
    </row>
    <row r="313" spans="1:22" ht="15" customHeight="1" thickBot="1">
      <c r="B313" s="16"/>
      <c r="C313" s="1644" t="s">
        <v>427</v>
      </c>
      <c r="D313" s="1644"/>
      <c r="E313" s="1644"/>
      <c r="F313" s="1644"/>
      <c r="G313" s="1644"/>
      <c r="H313" s="1644"/>
      <c r="I313" s="1644"/>
      <c r="J313" s="1644"/>
      <c r="K313" s="1644"/>
      <c r="L313" s="1644"/>
      <c r="M313" s="1644"/>
      <c r="N313"/>
      <c r="O313"/>
      <c r="P313"/>
      <c r="Q313"/>
      <c r="R313"/>
      <c r="S313"/>
      <c r="T313"/>
      <c r="U313"/>
      <c r="V313"/>
    </row>
    <row r="314" spans="1:22" ht="6.75" customHeight="1">
      <c r="B314" s="16"/>
      <c r="C314" s="43"/>
      <c r="D314" s="43"/>
      <c r="E314" s="43"/>
      <c r="F314" s="43"/>
      <c r="G314" s="43"/>
      <c r="H314" s="43"/>
      <c r="I314" s="43"/>
      <c r="J314" s="43"/>
      <c r="K314" s="43"/>
      <c r="L314" s="43"/>
      <c r="M314" s="43"/>
      <c r="N314"/>
      <c r="O314"/>
      <c r="P314"/>
      <c r="Q314"/>
      <c r="R314"/>
      <c r="S314"/>
      <c r="T314"/>
      <c r="U314"/>
      <c r="V314"/>
    </row>
    <row r="315" spans="1:22" ht="15" customHeight="1">
      <c r="B315" s="16"/>
      <c r="C315" s="174" t="s">
        <v>424</v>
      </c>
      <c r="D315" s="43"/>
      <c r="E315" s="43"/>
      <c r="F315" s="43"/>
      <c r="G315" s="43"/>
      <c r="H315" s="43"/>
      <c r="I315" s="43"/>
      <c r="J315" s="43"/>
      <c r="K315" s="43"/>
      <c r="L315" s="43"/>
      <c r="M315" s="43"/>
      <c r="N315"/>
      <c r="O315"/>
      <c r="P315"/>
      <c r="Q315"/>
      <c r="R315"/>
      <c r="S315"/>
      <c r="T315"/>
      <c r="U315"/>
      <c r="V315"/>
    </row>
    <row r="316" spans="1:22" ht="17.25" customHeight="1">
      <c r="B316" s="16"/>
      <c r="C316" s="174" t="s">
        <v>1177</v>
      </c>
      <c r="D316" s="43"/>
      <c r="E316" s="43"/>
      <c r="G316" s="1224" t="s">
        <v>1609</v>
      </c>
      <c r="H316" s="43"/>
      <c r="I316" s="43"/>
      <c r="J316" s="43"/>
      <c r="K316" s="43"/>
      <c r="L316" s="43"/>
      <c r="M316" s="43"/>
      <c r="N316"/>
      <c r="O316"/>
      <c r="P316"/>
      <c r="Q316"/>
      <c r="R316"/>
      <c r="S316"/>
      <c r="T316"/>
      <c r="U316"/>
      <c r="V316"/>
    </row>
    <row r="317" spans="1:22" ht="15" customHeight="1">
      <c r="B317" s="16"/>
      <c r="C317" s="174"/>
      <c r="D317" s="1225" t="s">
        <v>1610</v>
      </c>
      <c r="E317" s="29">
        <f>ROUND(capheight*capstemWidth/(2*capheight+2*capstemWidth),2)</f>
        <v>14.21</v>
      </c>
      <c r="F317" s="1179" t="s">
        <v>155</v>
      </c>
      <c r="G317" s="34" t="str">
        <f>"{" &amp; capheight &amp; " in x " &amp; capstemWidth &amp; " in / (2 x (" &amp; capheight &amp; " in + " &amp; capstemWidth &amp; " in}"</f>
        <v>{60 in x 54 in / (2 x (60 in + 54 in}</v>
      </c>
      <c r="H317" s="1385"/>
      <c r="I317" s="1385"/>
      <c r="J317" s="1385"/>
      <c r="K317" s="1385"/>
      <c r="L317" s="1385"/>
      <c r="M317" s="1227" t="s">
        <v>1611</v>
      </c>
      <c r="N317"/>
      <c r="O317"/>
      <c r="P317"/>
      <c r="Q317"/>
      <c r="R317"/>
      <c r="S317"/>
      <c r="T317"/>
      <c r="U317"/>
      <c r="V317"/>
    </row>
    <row r="318" spans="1:22" ht="15" customHeight="1">
      <c r="B318" s="16"/>
      <c r="D318" s="21" t="s">
        <v>425</v>
      </c>
      <c r="E318" s="29">
        <f>2*(capstemWidth-2*cover)+2*(capheight-2*cover)</f>
        <v>209.5</v>
      </c>
      <c r="F318" t="s">
        <v>155</v>
      </c>
      <c r="G318" s="34" t="str">
        <f>"{2 x ("&amp;FIXED(capstemWidth,0)&amp;" in - 2 x "&amp;cover&amp;" in) + 2 x ("&amp;capheight&amp;" in - 2 x "&amp;cover&amp;"in)}"</f>
        <v>{2 x (54 in - 2 x 2.3125 in) + 2 x (60 in - 2 x 2.3125in)}</v>
      </c>
      <c r="N318"/>
      <c r="O318"/>
      <c r="P318"/>
      <c r="Q318"/>
      <c r="R318"/>
      <c r="S318"/>
      <c r="T318"/>
      <c r="U318"/>
      <c r="V318"/>
    </row>
    <row r="319" spans="1:22" ht="16.5" customHeight="1">
      <c r="B319" s="16"/>
      <c r="D319" s="21" t="s">
        <v>426</v>
      </c>
      <c r="E319" s="29">
        <f>(capstemWidth-beSC)*(capheight-beSC)</f>
        <v>1821.9840999999999</v>
      </c>
      <c r="F319" t="s">
        <v>594</v>
      </c>
      <c r="G319" s="34" t="str">
        <f>"{("&amp;capstemWidth&amp;" in - "&amp;beSC&amp;" in) x ("&amp;capheight&amp;" in - "&amp;beSC&amp;" in)}"</f>
        <v>{(54 in - 14.21 in) x (60 in - 14.21 in)}</v>
      </c>
      <c r="M319" s="1227" t="s">
        <v>1614</v>
      </c>
      <c r="N319"/>
      <c r="O319"/>
      <c r="P319"/>
      <c r="Q319"/>
      <c r="R319"/>
      <c r="S319"/>
      <c r="T319"/>
      <c r="U319"/>
      <c r="V319"/>
    </row>
    <row r="320" spans="1:22" ht="6" customHeight="1">
      <c r="B320" s="16"/>
      <c r="C320" s="43"/>
      <c r="D320" s="43"/>
      <c r="E320" s="43"/>
      <c r="F320" s="43"/>
      <c r="G320" s="43"/>
      <c r="H320" s="43"/>
      <c r="I320" s="43"/>
      <c r="J320" s="43"/>
      <c r="K320" s="43"/>
      <c r="L320" s="43"/>
      <c r="M320" s="43"/>
      <c r="N320"/>
      <c r="O320"/>
      <c r="P320"/>
      <c r="Q320"/>
      <c r="R320"/>
      <c r="S320"/>
      <c r="T320"/>
      <c r="U320"/>
      <c r="V320"/>
    </row>
    <row r="321" spans="2:22" ht="15" customHeight="1">
      <c r="B321" s="16"/>
      <c r="D321" s="870"/>
      <c r="E321" s="870"/>
      <c r="F321" s="882"/>
      <c r="G321" s="1648" t="s">
        <v>771</v>
      </c>
      <c r="H321" s="1648"/>
      <c r="I321" s="1648"/>
      <c r="J321" s="1648" t="s">
        <v>772</v>
      </c>
      <c r="K321" s="1648"/>
      <c r="L321" s="1648"/>
      <c r="M321" s="25"/>
      <c r="N321"/>
      <c r="O321"/>
      <c r="P321"/>
      <c r="Q321"/>
      <c r="R321"/>
      <c r="S321"/>
      <c r="T321"/>
      <c r="U321"/>
      <c r="V321"/>
    </row>
    <row r="322" spans="2:22" ht="15" customHeight="1">
      <c r="B322" s="16"/>
      <c r="C322" s="940"/>
      <c r="D322" s="956"/>
      <c r="E322" s="956"/>
      <c r="F322" s="957" t="s">
        <v>311</v>
      </c>
      <c r="G322" s="948" t="s">
        <v>312</v>
      </c>
      <c r="H322" s="948" t="s">
        <v>313</v>
      </c>
      <c r="I322" s="948" t="s">
        <v>314</v>
      </c>
      <c r="J322" s="949" t="s">
        <v>312</v>
      </c>
      <c r="K322" s="948" t="s">
        <v>313</v>
      </c>
      <c r="L322" s="948" t="s">
        <v>314</v>
      </c>
      <c r="M322" s="25"/>
      <c r="N322"/>
      <c r="O322"/>
      <c r="P322"/>
      <c r="Q322"/>
      <c r="R322"/>
      <c r="S322"/>
      <c r="T322"/>
      <c r="U322"/>
      <c r="V322"/>
    </row>
    <row r="323" spans="2:22" ht="15" customHeight="1">
      <c r="B323" s="16"/>
      <c r="C323" s="19"/>
      <c r="D323" s="870"/>
      <c r="E323" s="870"/>
      <c r="F323" s="958" t="s">
        <v>448</v>
      </c>
      <c r="G323" s="1180">
        <f>D109+D256</f>
        <v>1507.5171846283069</v>
      </c>
      <c r="H323" s="1087">
        <f>D172+D310</f>
        <v>398.92286174735449</v>
      </c>
      <c r="I323" s="1183">
        <f>SQRT(G323^2+(0.9*$E$318*H323*12/(2*$E$319))^2)</f>
        <v>1527.7310812820804</v>
      </c>
      <c r="J323" s="1180">
        <f>G109+G256</f>
        <v>1535.8984346283069</v>
      </c>
      <c r="K323" s="1087">
        <f>G172+G310</f>
        <v>397.42911174735451</v>
      </c>
      <c r="L323" s="1183">
        <f>SQRT(J323^2+(0.9*$E$318*K323*12/(2*$E$319))^2)</f>
        <v>1555.5962136953256</v>
      </c>
      <c r="M323" s="25"/>
      <c r="N323"/>
      <c r="O323"/>
      <c r="P323"/>
      <c r="Q323"/>
      <c r="R323"/>
      <c r="S323"/>
      <c r="T323"/>
      <c r="U323"/>
      <c r="V323"/>
    </row>
    <row r="324" spans="2:22" ht="15" customHeight="1">
      <c r="B324" s="16"/>
      <c r="C324" s="19"/>
      <c r="D324" s="870"/>
      <c r="E324" s="870"/>
      <c r="F324" s="958" t="s">
        <v>449</v>
      </c>
      <c r="G324" s="1181">
        <f>D109+J256</f>
        <v>1363.5626740674606</v>
      </c>
      <c r="H324" s="1088">
        <f>D172+J310</f>
        <v>614.06111156746044</v>
      </c>
      <c r="I324" s="1184">
        <f>SQRT(G324^2+(0.9*$E$318*H324*12/(2*$E$319))^2)</f>
        <v>1415.8665624270054</v>
      </c>
      <c r="J324" s="1181">
        <f>G109+M256</f>
        <v>1391.9439240674606</v>
      </c>
      <c r="K324" s="1088">
        <f>G172+M310</f>
        <v>612.56736156746047</v>
      </c>
      <c r="L324" s="1184">
        <f>SQRT(J324^2+(0.9*$E$318*K324*12/(2*$E$319))^2)</f>
        <v>1442.9748554201351</v>
      </c>
      <c r="M324" s="25"/>
      <c r="N324"/>
      <c r="O324"/>
      <c r="P324"/>
      <c r="Q324"/>
      <c r="R324"/>
      <c r="S324"/>
      <c r="T324"/>
      <c r="U324"/>
      <c r="V324"/>
    </row>
    <row r="325" spans="2:22" ht="15" customHeight="1">
      <c r="B325" s="16"/>
      <c r="C325" s="959"/>
      <c r="D325" s="887"/>
      <c r="E325" s="887"/>
      <c r="F325" s="960" t="s">
        <v>450</v>
      </c>
      <c r="G325" s="1182">
        <f>J107</f>
        <v>476.1171875</v>
      </c>
      <c r="H325" s="1089">
        <f>J170</f>
        <v>382.2734375</v>
      </c>
      <c r="I325" s="1185">
        <f>SQRT(G325^2+(0.9*$E$318*H325*12/(2*$E$319))^2)</f>
        <v>532.00309409338411</v>
      </c>
      <c r="J325" s="1182">
        <f>M107</f>
        <v>489.56093750000002</v>
      </c>
      <c r="K325" s="1089">
        <f>M170</f>
        <v>395.71718750000002</v>
      </c>
      <c r="L325" s="1185">
        <f>SQRT(J325^2+(0.9*$E$318*K325*12/(2*$E$319))^2)</f>
        <v>547.76090137979588</v>
      </c>
      <c r="M325" s="25"/>
      <c r="N325"/>
      <c r="O325"/>
      <c r="P325"/>
      <c r="Q325"/>
      <c r="R325"/>
      <c r="S325"/>
      <c r="T325"/>
      <c r="U325"/>
      <c r="V325"/>
    </row>
    <row r="326" spans="2:22" ht="15" customHeight="1">
      <c r="B326" s="16"/>
      <c r="C326" s="69"/>
      <c r="D326" s="870"/>
      <c r="E326" s="870"/>
      <c r="F326" s="27"/>
      <c r="G326" s="909"/>
      <c r="H326" s="910"/>
      <c r="I326" s="909"/>
      <c r="J326" s="909"/>
      <c r="K326" s="910"/>
      <c r="L326" s="909"/>
      <c r="M326" s="25"/>
      <c r="N326"/>
      <c r="O326"/>
      <c r="P326"/>
      <c r="Q326"/>
      <c r="R326"/>
      <c r="S326"/>
      <c r="T326"/>
      <c r="U326"/>
      <c r="V326"/>
    </row>
    <row r="327" spans="2:22" ht="15" customHeight="1" thickBot="1">
      <c r="B327" s="16"/>
      <c r="C327" s="1644" t="s">
        <v>428</v>
      </c>
      <c r="D327" s="1644"/>
      <c r="E327" s="1644"/>
      <c r="F327" s="1644"/>
      <c r="G327" s="1644"/>
      <c r="H327" s="1644"/>
      <c r="I327" s="1644"/>
      <c r="J327" s="1644"/>
      <c r="K327" s="1644"/>
      <c r="L327" s="1644"/>
      <c r="M327" s="1644"/>
      <c r="N327"/>
      <c r="O327"/>
      <c r="P327"/>
      <c r="Q327"/>
      <c r="R327"/>
      <c r="S327"/>
      <c r="T327"/>
      <c r="U327"/>
      <c r="V327"/>
    </row>
    <row r="328" spans="2:22" ht="12" customHeight="1">
      <c r="B328" s="16"/>
      <c r="C328" s="1649" t="s">
        <v>1384</v>
      </c>
      <c r="D328" s="1650"/>
      <c r="E328" s="1650"/>
      <c r="F328" s="1650"/>
      <c r="G328" s="1650"/>
      <c r="H328" s="1650"/>
      <c r="I328" s="1650"/>
      <c r="J328" s="1650"/>
      <c r="K328" s="1650"/>
      <c r="L328" s="1650"/>
      <c r="M328" s="1650"/>
      <c r="N328"/>
      <c r="O328"/>
      <c r="P328"/>
      <c r="Q328"/>
      <c r="R328"/>
      <c r="S328"/>
      <c r="T328"/>
      <c r="U328"/>
      <c r="V328"/>
    </row>
    <row r="329" spans="2:22" ht="19.5" customHeight="1">
      <c r="B329" s="911"/>
      <c r="C329" s="1651"/>
      <c r="D329" s="1651"/>
      <c r="E329" s="1651"/>
      <c r="F329" s="1651"/>
      <c r="G329" s="1651"/>
      <c r="H329" s="1651"/>
      <c r="I329" s="1651"/>
      <c r="J329" s="1651"/>
      <c r="K329" s="1651"/>
      <c r="L329" s="1651"/>
      <c r="M329" s="1651"/>
      <c r="N329" s="1193" t="s">
        <v>1389</v>
      </c>
      <c r="O329"/>
      <c r="P329"/>
      <c r="Q329"/>
      <c r="R329"/>
      <c r="S329"/>
      <c r="T329"/>
      <c r="U329"/>
      <c r="V329"/>
    </row>
    <row r="330" spans="2:22" ht="15" customHeight="1">
      <c r="B330" s="911"/>
      <c r="C330" s="140"/>
      <c r="D330" s="140"/>
      <c r="E330" s="1263" t="s">
        <v>1613</v>
      </c>
      <c r="F330" s="665" t="s">
        <v>1035</v>
      </c>
      <c r="G330" s="140"/>
      <c r="H330" s="1196" t="s">
        <v>1387</v>
      </c>
      <c r="I330" s="1006"/>
      <c r="J330" s="1006"/>
      <c r="K330" s="140"/>
      <c r="L330" s="140"/>
      <c r="M330" s="140"/>
      <c r="N330" s="1193" t="s">
        <v>1389</v>
      </c>
      <c r="O330"/>
      <c r="P330"/>
      <c r="Q330"/>
      <c r="R330"/>
      <c r="S330"/>
      <c r="T330"/>
      <c r="U330"/>
      <c r="V330"/>
    </row>
    <row r="331" spans="2:22" ht="15" customHeight="1">
      <c r="B331" s="911"/>
      <c r="C331" s="140"/>
      <c r="D331" s="140"/>
      <c r="E331" s="16" t="s">
        <v>90</v>
      </c>
      <c r="F331">
        <f>ROUND(IF(F330="Left",MAX(OSOHBack,OSOH,Geometry!G38,Geometry!G39),MAX(OSOHBackRT,OSOHRT,Geometry!G41,Geometry!G42)),2)</f>
        <v>3</v>
      </c>
      <c r="G331" t="s">
        <v>156</v>
      </c>
      <c r="H331" s="100" t="s">
        <v>452</v>
      </c>
      <c r="I331" s="105">
        <f>IF(8+F332&lt;F334+F331,1.2*(F331+F334-F332-F333/2)/F334,1.2*0.5*(F331+F334-F332-2)/F334)</f>
        <v>0.95454545454545436</v>
      </c>
      <c r="J331" s="118" t="str">
        <f>"     "&amp;IF(8+F332&lt;F334+F331,"{1.2 x ("&amp;F331&amp;"ft + "&amp;FIXED(F334,3)&amp; "ft - "&amp;F332&amp;"ft - "&amp;F333&amp;"ft / 2) / "&amp;FIXED(F334,3)&amp;"ft}","{1.2 x 0.5 x ("&amp;F331&amp;"ft + "&amp;FIXED(F334,3)&amp;"ft - "&amp;F332&amp;"ft - 2) / "&amp;FIXED(F334,3)&amp;"ft}")</f>
        <v xml:space="preserve">     {1.2 x (3ft + 14.667ft - 1ft - 10ft / 2) / 14.667ft}</v>
      </c>
      <c r="K331" s="1006"/>
      <c r="L331" s="1006"/>
      <c r="M331" s="1006"/>
      <c r="N331" s="1193" t="s">
        <v>1389</v>
      </c>
      <c r="O331"/>
      <c r="P331"/>
      <c r="Q331"/>
      <c r="R331"/>
      <c r="S331"/>
      <c r="T331"/>
      <c r="U331"/>
      <c r="V331"/>
    </row>
    <row r="332" spans="2:22" ht="15" customHeight="1">
      <c r="B332" s="911"/>
      <c r="C332" s="140"/>
      <c r="D332" s="140"/>
      <c r="E332" s="16" t="s">
        <v>1002</v>
      </c>
      <c r="F332">
        <f>ROUND(IF(F330="Left",RailWidth,RailWidthRt),2)</f>
        <v>1</v>
      </c>
      <c r="G332" t="s">
        <v>156</v>
      </c>
      <c r="H332" s="1196" t="s">
        <v>1388</v>
      </c>
      <c r="I332" s="290"/>
      <c r="J332" s="290"/>
      <c r="K332" s="290"/>
      <c r="L332" s="1006"/>
      <c r="M332" s="1006"/>
      <c r="N332" s="1193" t="s">
        <v>1389</v>
      </c>
      <c r="O332"/>
      <c r="P332"/>
      <c r="Q332"/>
      <c r="R332"/>
      <c r="S332"/>
      <c r="T332"/>
      <c r="U332"/>
      <c r="V332"/>
    </row>
    <row r="333" spans="2:22" ht="15" customHeight="1">
      <c r="B333" s="911"/>
      <c r="E333" s="265" t="s">
        <v>1003</v>
      </c>
      <c r="F333">
        <v>10</v>
      </c>
      <c r="G333" t="s">
        <v>156</v>
      </c>
      <c r="H333" s="1195" t="s">
        <v>1385</v>
      </c>
      <c r="I333" s="105">
        <f>(0.36+F334/25)</f>
        <v>0.94666666666666666</v>
      </c>
      <c r="J333" s="679" t="str">
        <f>"      {(0.36 + "&amp;FIXED(F334,3)&amp;" ft / 25)} (Includes 1.2 factor)"</f>
        <v xml:space="preserve">      {(0.36 + 14.667 ft / 25)} (Includes 1.2 factor)</v>
      </c>
      <c r="K333" s="290"/>
      <c r="L333" s="290"/>
      <c r="M333" s="290"/>
      <c r="N333" s="1193" t="s">
        <v>1389</v>
      </c>
      <c r="O333"/>
      <c r="P333"/>
      <c r="Q333"/>
      <c r="R333"/>
      <c r="S333"/>
      <c r="T333"/>
      <c r="U333"/>
      <c r="V333"/>
    </row>
    <row r="334" spans="2:22" ht="15" customHeight="1">
      <c r="B334" s="911"/>
      <c r="E334" s="16" t="s">
        <v>451</v>
      </c>
      <c r="F334" s="15">
        <f>MAX(BkSpa,FdSpa)</f>
        <v>14.666666666666666</v>
      </c>
      <c r="G334" t="s">
        <v>156</v>
      </c>
      <c r="H334" s="1195" t="s">
        <v>1386</v>
      </c>
      <c r="I334" s="105">
        <f>0.2+F334/12-(F334/35)^2</f>
        <v>1.2466213151927437</v>
      </c>
      <c r="J334" s="679" t="str">
        <f>"      {(0.2 + "&amp;FIXED(F334,3)&amp;" ft / 12 + ("&amp;FIXED(F334,3)&amp;" ft / 35)^2)}"</f>
        <v xml:space="preserve">      {(0.2 + 14.667 ft / 12 + (14.667 ft / 35)^2)}</v>
      </c>
      <c r="K334" s="290"/>
      <c r="L334" s="290"/>
      <c r="M334" s="290"/>
      <c r="N334" s="1193" t="s">
        <v>1389</v>
      </c>
      <c r="O334"/>
      <c r="P334"/>
      <c r="Q334"/>
      <c r="R334"/>
      <c r="S334"/>
      <c r="T334"/>
      <c r="U334"/>
      <c r="V334"/>
    </row>
    <row r="335" spans="2:22" ht="15" customHeight="1">
      <c r="B335" s="911"/>
      <c r="C335" s="69"/>
      <c r="D335" s="870"/>
      <c r="E335" s="870"/>
      <c r="F335" s="871"/>
      <c r="G335" s="25"/>
      <c r="H335" s="1194" t="s">
        <v>452</v>
      </c>
      <c r="I335" s="105">
        <f>MAX(I333,I334)</f>
        <v>1.2466213151927437</v>
      </c>
      <c r="J335" s="679" t="str">
        <f>"      {maximum of one and two or more lanes}"</f>
        <v xml:space="preserve">      {maximum of one and two or more lanes}</v>
      </c>
      <c r="K335" s="1007"/>
      <c r="L335" s="680"/>
      <c r="M335" s="211"/>
      <c r="N335" s="1193" t="s">
        <v>1389</v>
      </c>
      <c r="O335"/>
      <c r="P335"/>
      <c r="Q335"/>
      <c r="R335"/>
      <c r="S335"/>
      <c r="T335"/>
      <c r="U335"/>
      <c r="V335"/>
    </row>
    <row r="336" spans="2:22" ht="15" customHeight="1">
      <c r="B336" s="911"/>
      <c r="C336" s="69"/>
      <c r="D336" s="870"/>
      <c r="E336" s="40"/>
      <c r="F336" s="1191" t="s">
        <v>997</v>
      </c>
      <c r="G336" s="1191" t="s">
        <v>1008</v>
      </c>
      <c r="H336" s="1194"/>
      <c r="I336" s="105"/>
      <c r="J336" s="679"/>
      <c r="K336" s="1007"/>
      <c r="L336" s="680"/>
      <c r="M336" s="211"/>
      <c r="N336" s="1193" t="s">
        <v>1389</v>
      </c>
      <c r="O336"/>
      <c r="P336"/>
      <c r="Q336"/>
      <c r="R336"/>
      <c r="S336"/>
      <c r="T336"/>
      <c r="U336"/>
      <c r="V336"/>
    </row>
    <row r="337" spans="2:22" ht="15" customHeight="1">
      <c r="B337" s="911"/>
      <c r="C337" s="69"/>
      <c r="D337" s="1197"/>
      <c r="E337" s="1198" t="s">
        <v>1012</v>
      </c>
      <c r="F337" s="865">
        <f>'Live Load'!F15+IF(J338="Backward",LLTruckBoth,0)</f>
        <v>32</v>
      </c>
      <c r="G337" s="865">
        <f>IF(J338="Backward",LLTruckBoth,0)*'Live Load'!F11/100</f>
        <v>0</v>
      </c>
      <c r="H337" s="1194"/>
      <c r="I337" s="890"/>
      <c r="J337" s="889"/>
      <c r="K337" s="1007"/>
      <c r="L337" s="680"/>
      <c r="M337" s="211"/>
      <c r="N337" s="1199" t="b">
        <v>1</v>
      </c>
      <c r="O337" s="1193" t="s">
        <v>1389</v>
      </c>
      <c r="Q337"/>
      <c r="R337"/>
      <c r="S337"/>
      <c r="T337"/>
      <c r="U337"/>
      <c r="V337"/>
    </row>
    <row r="338" spans="2:22" ht="15" customHeight="1">
      <c r="B338" s="911"/>
      <c r="C338" s="69"/>
      <c r="D338" s="1197"/>
      <c r="E338" s="1198" t="s">
        <v>1009</v>
      </c>
      <c r="F338" s="920">
        <f>'Live Load'!F17+IF(J338="Backward",0,LLTruckBoth)</f>
        <v>105.54666666666665</v>
      </c>
      <c r="G338" s="920">
        <f>IF(J338="Backward",0,LLTruckBoth)*'Live Load'!F11/100</f>
        <v>22.158399999999997</v>
      </c>
      <c r="H338" s="1194"/>
      <c r="I338" s="890" t="s">
        <v>315</v>
      </c>
      <c r="J338" s="889" t="str">
        <f>IF(BkSpanLong&gt;FdSpanLong,"Backward",IF(BkSpanLong&lt;FdSpanLong,"Forward","Spans are Equal - Use Forward Span"))</f>
        <v>Forward</v>
      </c>
      <c r="K338" s="1007"/>
      <c r="L338" s="680"/>
      <c r="M338" s="211"/>
      <c r="N338" s="1193" t="s">
        <v>1389</v>
      </c>
      <c r="O338"/>
      <c r="P338"/>
      <c r="Q338"/>
      <c r="R338"/>
      <c r="S338"/>
      <c r="T338"/>
      <c r="U338"/>
      <c r="V338"/>
    </row>
    <row r="339" spans="2:22" ht="15" customHeight="1">
      <c r="B339" s="911"/>
      <c r="F339" s="16" t="s">
        <v>461</v>
      </c>
      <c r="G339" s="912">
        <f>MAX(F337:F338)</f>
        <v>105.54666666666665</v>
      </c>
      <c r="H339" s="25"/>
      <c r="I339" s="890"/>
      <c r="J339" s="889"/>
      <c r="K339" s="870"/>
      <c r="L339" s="871"/>
      <c r="M339" s="25"/>
      <c r="N339" s="1193" t="s">
        <v>1389</v>
      </c>
      <c r="O339"/>
      <c r="P339"/>
      <c r="Q339"/>
      <c r="R339"/>
      <c r="S339"/>
      <c r="T339"/>
      <c r="U339"/>
      <c r="V339"/>
    </row>
    <row r="340" spans="2:22" ht="15" customHeight="1">
      <c r="B340" s="911"/>
      <c r="F340" s="16" t="s">
        <v>462</v>
      </c>
      <c r="G340" s="912">
        <f>MAX(G337:G338)</f>
        <v>22.158399999999997</v>
      </c>
      <c r="H340" s="25"/>
      <c r="I340" s="34"/>
      <c r="J340" s="870"/>
      <c r="K340" s="870"/>
      <c r="L340" s="871"/>
      <c r="M340" s="25"/>
      <c r="N340" s="1193" t="s">
        <v>1389</v>
      </c>
      <c r="O340"/>
      <c r="S340"/>
      <c r="T340"/>
      <c r="U340"/>
      <c r="V340"/>
    </row>
    <row r="341" spans="2:22" ht="15" customHeight="1">
      <c r="B341" s="911"/>
      <c r="F341" s="16" t="s">
        <v>463</v>
      </c>
      <c r="G341" s="912">
        <f>IF(N337=TRUE,MAX(I335,I331),I331)*(G339+G340)</f>
        <v>159.199858164777</v>
      </c>
      <c r="I341" s="34" t="str">
        <f>"{"&amp;FIXED(IF(N337=TRUE,MAX(I335,I331),I331),3)&amp;" x ("&amp;FIXED(G339,1)&amp;" k + "&amp;FIXED(G340,1)&amp;" k)}"</f>
        <v>{1.247 x (105.5 k + 22.2 k)}</v>
      </c>
      <c r="J341" s="870"/>
      <c r="K341" s="870"/>
      <c r="L341" s="871"/>
      <c r="M341" s="25"/>
      <c r="N341" s="1193" t="s">
        <v>1389</v>
      </c>
      <c r="O341"/>
      <c r="S341"/>
      <c r="T341"/>
      <c r="U341"/>
      <c r="V341"/>
    </row>
    <row r="342" spans="2:22" ht="15" customHeight="1">
      <c r="B342" s="911"/>
      <c r="F342" s="16" t="s">
        <v>464</v>
      </c>
      <c r="G342" s="912">
        <f>I335*(G339+G340)</f>
        <v>159.199858164777</v>
      </c>
      <c r="H342" s="25"/>
      <c r="I342" s="34" t="str">
        <f>"{"&amp;FIXED(I335,3)&amp;" x ("&amp;FIXED(G339,1)&amp;" k + "&amp;FIXED(G340,1)&amp;" k)}"</f>
        <v>{1.247 x (105.5 k + 22.2 k)}</v>
      </c>
      <c r="J342" s="870"/>
      <c r="K342" s="870"/>
      <c r="L342" s="871"/>
      <c r="M342" s="25"/>
      <c r="N342" s="1193" t="s">
        <v>1389</v>
      </c>
      <c r="O342"/>
      <c r="S342"/>
      <c r="T342"/>
      <c r="U342"/>
      <c r="V342"/>
    </row>
    <row r="343" spans="2:22" ht="15" customHeight="1">
      <c r="B343" s="911"/>
      <c r="F343" s="16"/>
      <c r="G343" s="912"/>
      <c r="H343" s="25"/>
      <c r="I343" s="69"/>
      <c r="J343" s="870"/>
      <c r="K343" s="870"/>
      <c r="L343" s="871"/>
      <c r="M343" s="25"/>
      <c r="N343"/>
      <c r="O343"/>
      <c r="P343"/>
      <c r="Q343"/>
      <c r="R343"/>
      <c r="S343"/>
      <c r="T343"/>
      <c r="U343"/>
      <c r="V343"/>
    </row>
    <row r="344" spans="2:22" ht="15" customHeight="1">
      <c r="B344" s="911"/>
      <c r="F344" s="16" t="s">
        <v>465</v>
      </c>
      <c r="G344" s="912">
        <f>MAX('Conc DL'!D24:D25,'Conc DL'!D74:D75)</f>
        <v>143.78375</v>
      </c>
      <c r="I344" s="69"/>
      <c r="K344" s="16" t="s">
        <v>467</v>
      </c>
      <c r="L344" s="912">
        <f>MAX('Conc DL'!D26:D27,'Conc DL'!D76:D77)</f>
        <v>2.25</v>
      </c>
      <c r="M344" s="25"/>
      <c r="N344"/>
      <c r="O344"/>
      <c r="P344"/>
      <c r="Q344"/>
      <c r="R344"/>
      <c r="S344"/>
      <c r="T344"/>
      <c r="U344"/>
      <c r="V344"/>
    </row>
    <row r="345" spans="2:22" ht="15" customHeight="1">
      <c r="B345" s="911"/>
      <c r="F345" s="16" t="s">
        <v>466</v>
      </c>
      <c r="G345" s="912">
        <f>MAX('Conc DL'!K32:K49,'Conc DL'!K83:K100)</f>
        <v>172.79</v>
      </c>
      <c r="H345" s="912"/>
      <c r="I345" s="69"/>
      <c r="K345" s="16" t="s">
        <v>468</v>
      </c>
      <c r="L345" s="912">
        <f>MAX('Conc DL'!L32:L49,'Conc DL'!L83:L100)</f>
        <v>2.25</v>
      </c>
      <c r="M345" s="25"/>
      <c r="N345"/>
      <c r="O345"/>
      <c r="P345"/>
      <c r="Q345"/>
      <c r="R345"/>
      <c r="S345"/>
      <c r="T345"/>
      <c r="U345"/>
      <c r="V345"/>
    </row>
    <row r="346" spans="2:22" ht="12.75" customHeight="1">
      <c r="B346" s="911"/>
      <c r="N346"/>
      <c r="O346"/>
      <c r="P346"/>
      <c r="Q346"/>
      <c r="R346"/>
      <c r="S346"/>
      <c r="T346"/>
      <c r="U346"/>
      <c r="V346"/>
    </row>
    <row r="347" spans="2:22" ht="12.75" customHeight="1">
      <c r="B347" s="911"/>
      <c r="F347" s="16" t="s">
        <v>802</v>
      </c>
      <c r="G347" s="912">
        <f>G344+L344+G341</f>
        <v>305.23360816477702</v>
      </c>
      <c r="I347" s="34" t="str">
        <f>"{"&amp;FIXED(G344,1)&amp;" k + "&amp;FIXED(L344,1)&amp;" k + "&amp;FIXED(G341,1)&amp;" k}"</f>
        <v>{143.8 k + 2.3 k + 159.2 k}</v>
      </c>
      <c r="N347"/>
      <c r="O347"/>
      <c r="P347"/>
      <c r="Q347"/>
      <c r="R347"/>
      <c r="S347"/>
      <c r="T347"/>
      <c r="U347"/>
      <c r="V347"/>
    </row>
    <row r="348" spans="2:22" ht="12.75" customHeight="1">
      <c r="B348" s="911"/>
      <c r="F348" s="16" t="s">
        <v>803</v>
      </c>
      <c r="G348" s="912">
        <f>G345+L345+G342</f>
        <v>334.23985816477699</v>
      </c>
      <c r="I348" s="34" t="str">
        <f>"{"&amp;FIXED(G345,1)&amp;" k + "&amp;FIXED(L345,1)&amp;" k + "&amp;FIXED(G342,1)&amp;" k}"</f>
        <v>{172.8 k + 2.3 k + 159.2 k}</v>
      </c>
      <c r="N348"/>
      <c r="O348"/>
      <c r="P348"/>
      <c r="Q348"/>
      <c r="R348"/>
      <c r="S348"/>
      <c r="T348"/>
      <c r="U348"/>
      <c r="V348"/>
    </row>
    <row r="349" spans="2:22" ht="12.75" customHeight="1">
      <c r="B349" s="911"/>
      <c r="N349"/>
      <c r="O349"/>
      <c r="P349"/>
      <c r="Q349"/>
      <c r="R349"/>
      <c r="S349"/>
      <c r="T349"/>
      <c r="U349"/>
      <c r="V349"/>
    </row>
    <row r="350" spans="2:22" ht="12.75" customHeight="1">
      <c r="B350" s="911"/>
      <c r="F350" s="16" t="s">
        <v>472</v>
      </c>
      <c r="G350" s="912">
        <f>1.25*G344+1.5*L344+1.75*G341</f>
        <v>461.70443928835977</v>
      </c>
      <c r="I350" s="34" t="str">
        <f>"{1.25 x "&amp;FIXED(G344,1)&amp;" k + 1.5 x "&amp;FIXED(L344,1)&amp;" k + 1.75 x "&amp;FIXED(G341,1)&amp;" k}"</f>
        <v>{1.25 x 143.8 k + 1.5 x 2.3 k + 1.75 x 159.2 k}</v>
      </c>
      <c r="N350"/>
      <c r="O350"/>
      <c r="P350"/>
      <c r="Q350"/>
      <c r="R350"/>
      <c r="S350"/>
      <c r="T350"/>
      <c r="U350"/>
      <c r="V350"/>
    </row>
    <row r="351" spans="2:22" ht="12.75" customHeight="1">
      <c r="B351" s="911"/>
      <c r="F351" s="16" t="s">
        <v>473</v>
      </c>
      <c r="G351" s="912">
        <f>1.25*G345+1.5*L345+1.75*G342</f>
        <v>497.96225178835971</v>
      </c>
      <c r="I351" s="34" t="str">
        <f>"{1.25 x "&amp;FIXED(G345,1)&amp;" k + 1.5 x "&amp;FIXED(L345,1)&amp;" k + 1.75 x "&amp;FIXED(G342,1)&amp;" k}"</f>
        <v>{1.25 x 172.8 k + 1.5 x 2.3 k + 1.75 x 159.2 k}</v>
      </c>
      <c r="N351"/>
      <c r="O351"/>
      <c r="P351"/>
      <c r="Q351"/>
      <c r="R351"/>
      <c r="S351"/>
      <c r="T351"/>
      <c r="U351"/>
      <c r="V351"/>
    </row>
    <row r="352" spans="2:22" ht="12.75" customHeight="1">
      <c r="B352" s="911"/>
      <c r="F352" s="16"/>
      <c r="G352" s="912"/>
      <c r="I352" s="34"/>
      <c r="N352"/>
      <c r="O352"/>
      <c r="P352"/>
      <c r="Q352"/>
      <c r="R352"/>
      <c r="S352"/>
      <c r="T352"/>
      <c r="U352"/>
      <c r="V352"/>
    </row>
    <row r="353" spans="2:22" ht="12.75" customHeight="1" thickBot="1">
      <c r="B353" s="911"/>
      <c r="C353" s="1644" t="s">
        <v>474</v>
      </c>
      <c r="D353" s="1644"/>
      <c r="E353" s="1644"/>
      <c r="F353" s="1644"/>
      <c r="G353" s="1644"/>
      <c r="H353" s="1644"/>
      <c r="I353" s="1644"/>
      <c r="J353" s="1644"/>
      <c r="K353" s="1644"/>
      <c r="L353" s="1644"/>
      <c r="M353" s="1644"/>
      <c r="N353"/>
      <c r="O353"/>
      <c r="P353"/>
      <c r="Q353"/>
      <c r="R353"/>
      <c r="S353"/>
      <c r="T353"/>
      <c r="U353"/>
      <c r="V353"/>
    </row>
    <row r="354" spans="2:22" ht="15" customHeight="1">
      <c r="B354" s="911"/>
      <c r="N354"/>
      <c r="O354"/>
      <c r="P354"/>
      <c r="Q354"/>
      <c r="R354"/>
      <c r="S354"/>
      <c r="T354"/>
      <c r="U354"/>
      <c r="V354"/>
    </row>
    <row r="355" spans="2:22" ht="15" customHeight="1">
      <c r="B355" s="911"/>
      <c r="D355" s="44" t="s">
        <v>801</v>
      </c>
      <c r="N355"/>
      <c r="O355"/>
      <c r="P355"/>
      <c r="Q355"/>
      <c r="R355"/>
      <c r="S355"/>
      <c r="T355"/>
      <c r="U355"/>
      <c r="V355"/>
    </row>
    <row r="356" spans="2:22" ht="15" customHeight="1">
      <c r="B356" s="911"/>
      <c r="G356" s="1125" t="s">
        <v>430</v>
      </c>
      <c r="H356" s="1125"/>
      <c r="I356" s="1125" t="s">
        <v>431</v>
      </c>
      <c r="N356"/>
      <c r="O356"/>
      <c r="P356"/>
      <c r="Q356"/>
      <c r="R356"/>
      <c r="S356"/>
      <c r="T356"/>
      <c r="U356"/>
      <c r="V356"/>
    </row>
    <row r="357" spans="2:22" ht="15" customHeight="1">
      <c r="B357" s="911"/>
      <c r="D357" t="s">
        <v>804</v>
      </c>
      <c r="F357" s="174" t="s">
        <v>321</v>
      </c>
      <c r="G357" s="1005">
        <f>G347</f>
        <v>305.23360816477702</v>
      </c>
      <c r="H357" s="26"/>
      <c r="I357" s="1005">
        <f>G350</f>
        <v>461.70443928835977</v>
      </c>
      <c r="N357"/>
      <c r="O357"/>
      <c r="P357"/>
      <c r="Q357"/>
      <c r="R357"/>
      <c r="S357"/>
      <c r="T357"/>
      <c r="U357"/>
      <c r="V357"/>
    </row>
    <row r="358" spans="2:22" ht="15" customHeight="1">
      <c r="B358" s="990"/>
      <c r="D358" t="s">
        <v>805</v>
      </c>
      <c r="F358" s="174" t="s">
        <v>322</v>
      </c>
      <c r="G358" s="1005">
        <f>G348</f>
        <v>334.23985816477699</v>
      </c>
      <c r="H358" s="26"/>
      <c r="I358" s="1005">
        <f>G351</f>
        <v>497.96225178835971</v>
      </c>
      <c r="N358"/>
      <c r="O358"/>
      <c r="P358"/>
      <c r="Q358"/>
      <c r="R358"/>
      <c r="S358"/>
      <c r="T358"/>
      <c r="U358"/>
      <c r="V358"/>
    </row>
    <row r="359" spans="2:22" s="290" customFormat="1" ht="15" customHeight="1">
      <c r="B359" s="1126"/>
      <c r="E359" s="116"/>
      <c r="F359" s="1127"/>
      <c r="G359" s="1128"/>
      <c r="H359" s="1127"/>
    </row>
    <row r="360" spans="2:22" s="290" customFormat="1" ht="15" customHeight="1">
      <c r="B360" s="1126"/>
      <c r="D360" s="973" t="s">
        <v>320</v>
      </c>
      <c r="E360" s="116"/>
      <c r="F360" s="1127"/>
      <c r="G360" s="1128"/>
      <c r="H360" s="1127"/>
    </row>
    <row r="361" spans="2:22" ht="15" customHeight="1">
      <c r="B361" s="899"/>
      <c r="F361" s="1186" t="s">
        <v>1379</v>
      </c>
      <c r="G361" s="1187">
        <f>MAX(I323:I325,L323:L325)</f>
        <v>1555.5962136953256</v>
      </c>
      <c r="N361"/>
      <c r="O361"/>
      <c r="P361"/>
      <c r="Q361"/>
      <c r="R361"/>
      <c r="S361"/>
      <c r="T361"/>
      <c r="U361"/>
      <c r="V361"/>
    </row>
    <row r="362" spans="2:22" ht="15" customHeight="1">
      <c r="B362" s="16"/>
      <c r="N362"/>
      <c r="O362"/>
      <c r="P362"/>
      <c r="Q362"/>
      <c r="R362"/>
      <c r="S362"/>
      <c r="T362"/>
      <c r="U362"/>
      <c r="V362"/>
    </row>
    <row r="363" spans="2:22" ht="15" customHeight="1">
      <c r="B363" s="16"/>
      <c r="D363" s="973" t="s">
        <v>1375</v>
      </c>
      <c r="E363" s="116"/>
      <c r="F363" s="1127"/>
      <c r="G363" s="1128"/>
      <c r="N363"/>
      <c r="O363"/>
      <c r="P363"/>
      <c r="Q363"/>
      <c r="R363"/>
      <c r="S363"/>
      <c r="T363"/>
      <c r="U363"/>
      <c r="V363"/>
    </row>
    <row r="364" spans="2:22" ht="15" customHeight="1">
      <c r="B364" s="16"/>
      <c r="F364" s="174" t="s">
        <v>323</v>
      </c>
      <c r="G364" s="1187">
        <f>MAX(G323,J323)</f>
        <v>1535.8984346283069</v>
      </c>
      <c r="H364" s="1188"/>
      <c r="I364" s="1189" t="s">
        <v>1376</v>
      </c>
      <c r="J364" s="1190">
        <f>IF(G364=G323,H323,K323)</f>
        <v>397.42911174735451</v>
      </c>
      <c r="N364"/>
      <c r="O364"/>
      <c r="P364"/>
      <c r="Q364"/>
      <c r="R364"/>
      <c r="S364"/>
      <c r="T364"/>
      <c r="U364"/>
      <c r="V364"/>
    </row>
    <row r="365" spans="2:22" ht="15" customHeight="1">
      <c r="B365" s="16"/>
      <c r="F365" s="1186" t="s">
        <v>1378</v>
      </c>
      <c r="G365" s="1187">
        <f>IF(J365=H324,G324,J324)</f>
        <v>1363.5626740674606</v>
      </c>
      <c r="H365" s="1188"/>
      <c r="I365" s="1189" t="s">
        <v>1377</v>
      </c>
      <c r="J365" s="1190">
        <f>IF(ABS(H324)&gt;ABS(K324),H324,K324)</f>
        <v>614.06111156746044</v>
      </c>
      <c r="N365"/>
      <c r="O365"/>
      <c r="P365"/>
      <c r="Q365"/>
      <c r="R365"/>
      <c r="S365"/>
      <c r="T365"/>
      <c r="U365"/>
      <c r="V365"/>
    </row>
    <row r="366" spans="2:22" ht="15" customHeight="1">
      <c r="B366" s="16"/>
      <c r="N366"/>
      <c r="O366"/>
      <c r="P366"/>
      <c r="Q366"/>
      <c r="R366"/>
      <c r="S366"/>
      <c r="T366"/>
      <c r="U366"/>
      <c r="V366"/>
    </row>
    <row r="367" spans="2:22" ht="15" customHeight="1">
      <c r="B367" s="16"/>
      <c r="N367"/>
      <c r="O367"/>
      <c r="P367"/>
      <c r="Q367"/>
      <c r="R367"/>
      <c r="S367"/>
      <c r="T367"/>
      <c r="U367"/>
      <c r="V367"/>
    </row>
    <row r="368" spans="2:22" ht="15" customHeight="1">
      <c r="B368" s="16"/>
      <c r="N368"/>
      <c r="O368"/>
      <c r="P368"/>
      <c r="Q368"/>
      <c r="R368"/>
      <c r="S368"/>
      <c r="T368"/>
      <c r="U368"/>
      <c r="V368"/>
    </row>
    <row r="369" spans="2:22" ht="15" customHeight="1">
      <c r="B369" s="16"/>
      <c r="N369"/>
      <c r="O369"/>
      <c r="P369"/>
      <c r="Q369"/>
      <c r="R369"/>
      <c r="S369"/>
      <c r="T369"/>
      <c r="U369"/>
      <c r="V369"/>
    </row>
    <row r="376" spans="2:22" s="337" customFormat="1">
      <c r="B376" s="347"/>
    </row>
    <row r="377" spans="2:22" s="337" customFormat="1">
      <c r="B377" s="347"/>
    </row>
    <row r="378" spans="2:22" s="337" customFormat="1">
      <c r="B378" s="347"/>
    </row>
    <row r="379" spans="2:22" s="337" customFormat="1">
      <c r="B379" s="347"/>
    </row>
    <row r="380" spans="2:22" s="337" customFormat="1">
      <c r="B380" s="347"/>
    </row>
    <row r="381" spans="2:22" s="337" customFormat="1">
      <c r="B381" s="347"/>
    </row>
    <row r="382" spans="2:22" s="337" customFormat="1">
      <c r="B382" s="347"/>
    </row>
    <row r="383" spans="2:22" s="337" customFormat="1">
      <c r="B383" s="347"/>
    </row>
    <row r="384" spans="2:22" s="337" customFormat="1">
      <c r="B384" s="347"/>
    </row>
    <row r="385" spans="2:2" s="337" customFormat="1">
      <c r="B385" s="347"/>
    </row>
    <row r="386" spans="2:2" s="337" customFormat="1">
      <c r="B386" s="347"/>
    </row>
    <row r="387" spans="2:2" s="337" customFormat="1">
      <c r="B387" s="347"/>
    </row>
    <row r="388" spans="2:2" s="337" customFormat="1">
      <c r="B388" s="347"/>
    </row>
    <row r="389" spans="2:2" s="337" customFormat="1">
      <c r="B389" s="347"/>
    </row>
    <row r="390" spans="2:2" s="337" customFormat="1">
      <c r="B390" s="347"/>
    </row>
    <row r="391" spans="2:2" s="337" customFormat="1">
      <c r="B391" s="347"/>
    </row>
    <row r="392" spans="2:2" s="337" customFormat="1">
      <c r="B392" s="347"/>
    </row>
    <row r="393" spans="2:2" s="337" customFormat="1">
      <c r="B393" s="347"/>
    </row>
    <row r="394" spans="2:2" s="337" customFormat="1">
      <c r="B394" s="347"/>
    </row>
    <row r="395" spans="2:2" s="337" customFormat="1">
      <c r="B395" s="347"/>
    </row>
    <row r="396" spans="2:2" s="337" customFormat="1">
      <c r="B396" s="347"/>
    </row>
    <row r="397" spans="2:2" s="337" customFormat="1">
      <c r="B397" s="347"/>
    </row>
    <row r="398" spans="2:2" s="337" customFormat="1">
      <c r="B398" s="347"/>
    </row>
    <row r="399" spans="2:2" s="337" customFormat="1">
      <c r="B399" s="347"/>
    </row>
    <row r="400" spans="2:2" s="337" customFormat="1">
      <c r="B400" s="347"/>
    </row>
    <row r="401" spans="2:2" s="337" customFormat="1">
      <c r="B401" s="347"/>
    </row>
    <row r="402" spans="2:2" s="337" customFormat="1">
      <c r="B402" s="347"/>
    </row>
    <row r="403" spans="2:2" s="337" customFormat="1">
      <c r="B403" s="347"/>
    </row>
    <row r="404" spans="2:2" s="337" customFormat="1">
      <c r="B404" s="347"/>
    </row>
    <row r="405" spans="2:2" s="337" customFormat="1">
      <c r="B405" s="347"/>
    </row>
    <row r="406" spans="2:2" s="337" customFormat="1">
      <c r="B406" s="347"/>
    </row>
    <row r="407" spans="2:2" s="337" customFormat="1">
      <c r="B407" s="347"/>
    </row>
    <row r="408" spans="2:2" s="337" customFormat="1">
      <c r="B408" s="347"/>
    </row>
    <row r="409" spans="2:2" s="337" customFormat="1">
      <c r="B409" s="347"/>
    </row>
    <row r="410" spans="2:2" s="337" customFormat="1">
      <c r="B410" s="347"/>
    </row>
    <row r="411" spans="2:2" s="337" customFormat="1">
      <c r="B411" s="347"/>
    </row>
    <row r="412" spans="2:2" s="337" customFormat="1">
      <c r="B412" s="347"/>
    </row>
    <row r="413" spans="2:2" s="337" customFormat="1">
      <c r="B413" s="347"/>
    </row>
    <row r="414" spans="2:2" s="337" customFormat="1">
      <c r="B414" s="347"/>
    </row>
    <row r="415" spans="2:2" s="337" customFormat="1">
      <c r="B415" s="347"/>
    </row>
    <row r="416" spans="2:2" s="337" customFormat="1">
      <c r="B416" s="347"/>
    </row>
    <row r="417" spans="2:2" s="337" customFormat="1">
      <c r="B417" s="347"/>
    </row>
    <row r="418" spans="2:2" s="337" customFormat="1">
      <c r="B418" s="347"/>
    </row>
    <row r="419" spans="2:2" s="337" customFormat="1">
      <c r="B419" s="347"/>
    </row>
    <row r="420" spans="2:2" s="337" customFormat="1">
      <c r="B420" s="347"/>
    </row>
    <row r="421" spans="2:2" s="337" customFormat="1">
      <c r="B421" s="347"/>
    </row>
    <row r="422" spans="2:2" s="337" customFormat="1">
      <c r="B422" s="347"/>
    </row>
    <row r="423" spans="2:2" s="337" customFormat="1">
      <c r="B423" s="347"/>
    </row>
    <row r="424" spans="2:2" s="337" customFormat="1">
      <c r="B424" s="347"/>
    </row>
    <row r="425" spans="2:2" s="337" customFormat="1">
      <c r="B425" s="347"/>
    </row>
    <row r="426" spans="2:2" s="337" customFormat="1">
      <c r="B426" s="347"/>
    </row>
    <row r="427" spans="2:2" s="337" customFormat="1">
      <c r="B427" s="347"/>
    </row>
    <row r="428" spans="2:2" s="337" customFormat="1">
      <c r="B428" s="347"/>
    </row>
    <row r="429" spans="2:2" s="337" customFormat="1">
      <c r="B429" s="347"/>
    </row>
    <row r="430" spans="2:2" s="337" customFormat="1">
      <c r="B430" s="347"/>
    </row>
    <row r="431" spans="2:2" s="337" customFormat="1">
      <c r="B431" s="347"/>
    </row>
    <row r="432" spans="2:2" s="337" customFormat="1">
      <c r="B432" s="347"/>
    </row>
    <row r="433" spans="2:2" s="337" customFormat="1">
      <c r="B433" s="347"/>
    </row>
    <row r="434" spans="2:2" s="337" customFormat="1">
      <c r="B434" s="347"/>
    </row>
    <row r="435" spans="2:2" s="337" customFormat="1">
      <c r="B435" s="347"/>
    </row>
    <row r="436" spans="2:2" s="337" customFormat="1">
      <c r="B436" s="347"/>
    </row>
    <row r="437" spans="2:2" s="337" customFormat="1">
      <c r="B437" s="347"/>
    </row>
    <row r="438" spans="2:2" s="337" customFormat="1">
      <c r="B438" s="347"/>
    </row>
    <row r="439" spans="2:2" s="337" customFormat="1">
      <c r="B439" s="347"/>
    </row>
    <row r="440" spans="2:2" s="337" customFormat="1">
      <c r="B440" s="347"/>
    </row>
    <row r="441" spans="2:2" s="337" customFormat="1">
      <c r="B441" s="347"/>
    </row>
    <row r="442" spans="2:2" s="337" customFormat="1">
      <c r="B442" s="347"/>
    </row>
    <row r="443" spans="2:2" s="337" customFormat="1">
      <c r="B443" s="347"/>
    </row>
    <row r="444" spans="2:2" s="337" customFormat="1">
      <c r="B444" s="347"/>
    </row>
    <row r="445" spans="2:2" s="337" customFormat="1">
      <c r="B445" s="347"/>
    </row>
    <row r="446" spans="2:2" s="337" customFormat="1">
      <c r="B446" s="347"/>
    </row>
    <row r="447" spans="2:2" s="337" customFormat="1">
      <c r="B447" s="347"/>
    </row>
    <row r="448" spans="2:2" s="337" customFormat="1">
      <c r="B448" s="347"/>
    </row>
    <row r="449" spans="2:2" s="337" customFormat="1">
      <c r="B449" s="347"/>
    </row>
    <row r="450" spans="2:2" s="337" customFormat="1">
      <c r="B450" s="347"/>
    </row>
    <row r="451" spans="2:2" s="337" customFormat="1">
      <c r="B451" s="347"/>
    </row>
    <row r="452" spans="2:2" s="337" customFormat="1">
      <c r="B452" s="347"/>
    </row>
    <row r="453" spans="2:2" s="337" customFormat="1">
      <c r="B453" s="347"/>
    </row>
    <row r="454" spans="2:2" s="337" customFormat="1">
      <c r="B454" s="347"/>
    </row>
    <row r="455" spans="2:2" s="337" customFormat="1">
      <c r="B455" s="347"/>
    </row>
    <row r="456" spans="2:2" s="337" customFormat="1">
      <c r="B456" s="347"/>
    </row>
    <row r="457" spans="2:2" s="337" customFormat="1">
      <c r="B457" s="347"/>
    </row>
    <row r="458" spans="2:2" s="337" customFormat="1">
      <c r="B458" s="347"/>
    </row>
    <row r="459" spans="2:2" s="337" customFormat="1">
      <c r="B459" s="347"/>
    </row>
    <row r="460" spans="2:2" s="337" customFormat="1">
      <c r="B460" s="347"/>
    </row>
    <row r="461" spans="2:2" s="337" customFormat="1">
      <c r="B461" s="347"/>
    </row>
    <row r="462" spans="2:2" s="337" customFormat="1">
      <c r="B462" s="347"/>
    </row>
    <row r="463" spans="2:2" s="337" customFormat="1">
      <c r="B463" s="347"/>
    </row>
    <row r="464" spans="2:2" s="337" customFormat="1">
      <c r="B464" s="347"/>
    </row>
    <row r="465" spans="2:2" s="337" customFormat="1">
      <c r="B465" s="347"/>
    </row>
    <row r="466" spans="2:2" s="337" customFormat="1">
      <c r="B466" s="347"/>
    </row>
    <row r="467" spans="2:2" s="337" customFormat="1">
      <c r="B467" s="347"/>
    </row>
    <row r="468" spans="2:2" s="337" customFormat="1">
      <c r="B468" s="347"/>
    </row>
    <row r="469" spans="2:2" s="337" customFormat="1">
      <c r="B469" s="347"/>
    </row>
    <row r="470" spans="2:2" s="337" customFormat="1">
      <c r="B470" s="347"/>
    </row>
    <row r="471" spans="2:2" s="337" customFormat="1">
      <c r="B471" s="347"/>
    </row>
    <row r="472" spans="2:2" s="337" customFormat="1">
      <c r="B472" s="347"/>
    </row>
    <row r="473" spans="2:2" s="337" customFormat="1">
      <c r="B473" s="347"/>
    </row>
    <row r="474" spans="2:2" s="337" customFormat="1">
      <c r="B474" s="347"/>
    </row>
    <row r="475" spans="2:2" s="337" customFormat="1">
      <c r="B475" s="347"/>
    </row>
    <row r="476" spans="2:2" s="337" customFormat="1">
      <c r="B476" s="347"/>
    </row>
    <row r="477" spans="2:2" s="337" customFormat="1">
      <c r="B477" s="347"/>
    </row>
    <row r="478" spans="2:2" s="337" customFormat="1">
      <c r="B478" s="347"/>
    </row>
    <row r="479" spans="2:2" s="337" customFormat="1">
      <c r="B479" s="347"/>
    </row>
    <row r="480" spans="2:2" s="337" customFormat="1">
      <c r="B480" s="347"/>
    </row>
    <row r="481" spans="2:2" s="337" customFormat="1">
      <c r="B481" s="347"/>
    </row>
    <row r="482" spans="2:2" s="337" customFormat="1">
      <c r="B482" s="347"/>
    </row>
    <row r="483" spans="2:2" s="337" customFormat="1">
      <c r="B483" s="347"/>
    </row>
    <row r="484" spans="2:2" s="337" customFormat="1">
      <c r="B484" s="347"/>
    </row>
    <row r="485" spans="2:2" s="337" customFormat="1">
      <c r="B485" s="347"/>
    </row>
    <row r="486" spans="2:2" s="337" customFormat="1">
      <c r="B486" s="347"/>
    </row>
    <row r="487" spans="2:2" s="337" customFormat="1">
      <c r="B487" s="347"/>
    </row>
    <row r="488" spans="2:2" s="337" customFormat="1">
      <c r="B488" s="347"/>
    </row>
    <row r="489" spans="2:2" s="337" customFormat="1">
      <c r="B489" s="347"/>
    </row>
    <row r="490" spans="2:2" s="337" customFormat="1">
      <c r="B490" s="347"/>
    </row>
    <row r="491" spans="2:2" s="337" customFormat="1">
      <c r="B491" s="347"/>
    </row>
    <row r="492" spans="2:2" s="337" customFormat="1">
      <c r="B492" s="347"/>
    </row>
    <row r="493" spans="2:2" s="337" customFormat="1">
      <c r="B493" s="347"/>
    </row>
    <row r="494" spans="2:2" s="337" customFormat="1">
      <c r="B494" s="347"/>
    </row>
    <row r="495" spans="2:2" s="337" customFormat="1">
      <c r="B495" s="347"/>
    </row>
    <row r="496" spans="2:2" s="337" customFormat="1">
      <c r="B496" s="347"/>
    </row>
    <row r="497" spans="2:2" s="337" customFormat="1">
      <c r="B497" s="347"/>
    </row>
    <row r="498" spans="2:2" s="337" customFormat="1">
      <c r="B498" s="347"/>
    </row>
    <row r="499" spans="2:2" s="337" customFormat="1">
      <c r="B499" s="347"/>
    </row>
    <row r="500" spans="2:2" s="337" customFormat="1">
      <c r="B500" s="347"/>
    </row>
    <row r="501" spans="2:2" s="337" customFormat="1">
      <c r="B501" s="347"/>
    </row>
    <row r="502" spans="2:2" s="337" customFormat="1">
      <c r="B502" s="347"/>
    </row>
    <row r="503" spans="2:2" s="337" customFormat="1">
      <c r="B503" s="347"/>
    </row>
    <row r="504" spans="2:2" s="337" customFormat="1">
      <c r="B504" s="347"/>
    </row>
    <row r="505" spans="2:2" s="337" customFormat="1">
      <c r="B505" s="347"/>
    </row>
    <row r="506" spans="2:2" s="337" customFormat="1">
      <c r="B506" s="347"/>
    </row>
    <row r="507" spans="2:2" s="337" customFormat="1">
      <c r="B507" s="347"/>
    </row>
    <row r="508" spans="2:2" s="337" customFormat="1">
      <c r="B508" s="347"/>
    </row>
    <row r="509" spans="2:2" s="337" customFormat="1">
      <c r="B509" s="347"/>
    </row>
    <row r="510" spans="2:2" s="337" customFormat="1">
      <c r="B510" s="347"/>
    </row>
    <row r="511" spans="2:2" s="337" customFormat="1">
      <c r="B511" s="347"/>
    </row>
    <row r="512" spans="2:2" s="337" customFormat="1">
      <c r="B512" s="347"/>
    </row>
    <row r="513" spans="2:2" s="337" customFormat="1">
      <c r="B513" s="347"/>
    </row>
    <row r="514" spans="2:2" s="337" customFormat="1">
      <c r="B514" s="347"/>
    </row>
    <row r="515" spans="2:2" s="337" customFormat="1">
      <c r="B515" s="347"/>
    </row>
    <row r="516" spans="2:2" s="337" customFormat="1">
      <c r="B516" s="347"/>
    </row>
    <row r="517" spans="2:2" s="337" customFormat="1">
      <c r="B517" s="347"/>
    </row>
    <row r="518" spans="2:2" s="337" customFormat="1">
      <c r="B518" s="347"/>
    </row>
    <row r="519" spans="2:2" s="337" customFormat="1">
      <c r="B519" s="347"/>
    </row>
    <row r="520" spans="2:2" s="337" customFormat="1">
      <c r="B520" s="347"/>
    </row>
    <row r="521" spans="2:2" s="337" customFormat="1">
      <c r="B521" s="347"/>
    </row>
    <row r="522" spans="2:2" s="337" customFormat="1">
      <c r="B522" s="347"/>
    </row>
    <row r="523" spans="2:2" s="337" customFormat="1">
      <c r="B523" s="347"/>
    </row>
    <row r="524" spans="2:2" s="337" customFormat="1">
      <c r="B524" s="347"/>
    </row>
    <row r="525" spans="2:2" s="337" customFormat="1">
      <c r="B525" s="347"/>
    </row>
    <row r="526" spans="2:2" s="337" customFormat="1">
      <c r="B526" s="347"/>
    </row>
    <row r="527" spans="2:2" s="337" customFormat="1">
      <c r="B527" s="347"/>
    </row>
    <row r="528" spans="2:2" s="337" customFormat="1">
      <c r="B528" s="347"/>
    </row>
    <row r="529" spans="2:2" s="337" customFormat="1">
      <c r="B529" s="347"/>
    </row>
    <row r="530" spans="2:2" s="337" customFormat="1">
      <c r="B530" s="347"/>
    </row>
    <row r="531" spans="2:2" s="337" customFormat="1">
      <c r="B531" s="347"/>
    </row>
    <row r="532" spans="2:2" s="337" customFormat="1">
      <c r="B532" s="347"/>
    </row>
    <row r="533" spans="2:2" s="337" customFormat="1">
      <c r="B533" s="347"/>
    </row>
    <row r="534" spans="2:2" s="337" customFormat="1">
      <c r="B534" s="347"/>
    </row>
    <row r="535" spans="2:2" s="337" customFormat="1">
      <c r="B535" s="347"/>
    </row>
    <row r="536" spans="2:2" s="337" customFormat="1">
      <c r="B536" s="347"/>
    </row>
    <row r="537" spans="2:2" s="337" customFormat="1">
      <c r="B537" s="347"/>
    </row>
    <row r="538" spans="2:2" s="337" customFormat="1">
      <c r="B538" s="347"/>
    </row>
    <row r="539" spans="2:2" s="337" customFormat="1">
      <c r="B539" s="347"/>
    </row>
    <row r="540" spans="2:2" s="337" customFormat="1">
      <c r="B540" s="347"/>
    </row>
    <row r="541" spans="2:2" s="337" customFormat="1">
      <c r="B541" s="347"/>
    </row>
    <row r="542" spans="2:2" s="337" customFormat="1">
      <c r="B542" s="347"/>
    </row>
    <row r="543" spans="2:2" s="337" customFormat="1">
      <c r="B543" s="347"/>
    </row>
    <row r="544" spans="2:2" s="337" customFormat="1">
      <c r="B544" s="347"/>
    </row>
    <row r="545" spans="2:2" s="337" customFormat="1">
      <c r="B545" s="347"/>
    </row>
    <row r="546" spans="2:2" s="337" customFormat="1">
      <c r="B546" s="347"/>
    </row>
    <row r="547" spans="2:2" s="337" customFormat="1">
      <c r="B547" s="347"/>
    </row>
    <row r="548" spans="2:2" s="337" customFormat="1">
      <c r="B548" s="347"/>
    </row>
    <row r="549" spans="2:2" s="337" customFormat="1">
      <c r="B549" s="347"/>
    </row>
    <row r="550" spans="2:2" s="337" customFormat="1">
      <c r="B550" s="347"/>
    </row>
    <row r="551" spans="2:2" s="337" customFormat="1">
      <c r="B551" s="347"/>
    </row>
    <row r="552" spans="2:2" s="337" customFormat="1">
      <c r="B552" s="347"/>
    </row>
    <row r="553" spans="2:2" s="337" customFormat="1">
      <c r="B553" s="347"/>
    </row>
    <row r="554" spans="2:2" s="337" customFormat="1">
      <c r="B554" s="347"/>
    </row>
    <row r="555" spans="2:2" s="337" customFormat="1">
      <c r="B555" s="347"/>
    </row>
    <row r="556" spans="2:2" s="337" customFormat="1">
      <c r="B556" s="347"/>
    </row>
    <row r="557" spans="2:2" s="337" customFormat="1">
      <c r="B557" s="347"/>
    </row>
    <row r="558" spans="2:2" s="337" customFormat="1">
      <c r="B558" s="347"/>
    </row>
    <row r="559" spans="2:2" s="337" customFormat="1">
      <c r="B559" s="347"/>
    </row>
    <row r="560" spans="2:2" s="337" customFormat="1">
      <c r="B560" s="347"/>
    </row>
    <row r="561" spans="2:2" s="337" customFormat="1">
      <c r="B561" s="347"/>
    </row>
    <row r="562" spans="2:2" s="337" customFormat="1">
      <c r="B562" s="347"/>
    </row>
    <row r="563" spans="2:2" s="337" customFormat="1">
      <c r="B563" s="347"/>
    </row>
    <row r="564" spans="2:2" s="337" customFormat="1">
      <c r="B564" s="347"/>
    </row>
    <row r="565" spans="2:2" s="337" customFormat="1">
      <c r="B565" s="347"/>
    </row>
    <row r="566" spans="2:2" s="337" customFormat="1">
      <c r="B566" s="347"/>
    </row>
    <row r="567" spans="2:2" s="337" customFormat="1">
      <c r="B567" s="347"/>
    </row>
    <row r="568" spans="2:2" s="337" customFormat="1">
      <c r="B568" s="347"/>
    </row>
    <row r="569" spans="2:2" s="337" customFormat="1">
      <c r="B569" s="347"/>
    </row>
    <row r="570" spans="2:2" s="337" customFormat="1">
      <c r="B570" s="347"/>
    </row>
    <row r="571" spans="2:2" s="337" customFormat="1">
      <c r="B571" s="347"/>
    </row>
    <row r="572" spans="2:2" s="337" customFormat="1">
      <c r="B572" s="347"/>
    </row>
    <row r="573" spans="2:2" s="337" customFormat="1">
      <c r="B573" s="347"/>
    </row>
    <row r="574" spans="2:2" s="337" customFormat="1">
      <c r="B574" s="347"/>
    </row>
    <row r="575" spans="2:2" s="337" customFormat="1">
      <c r="B575" s="347"/>
    </row>
    <row r="576" spans="2:2" s="337" customFormat="1">
      <c r="B576" s="347"/>
    </row>
    <row r="577" spans="2:2" s="337" customFormat="1">
      <c r="B577" s="347"/>
    </row>
    <row r="578" spans="2:2" s="337" customFormat="1">
      <c r="B578" s="347"/>
    </row>
    <row r="579" spans="2:2" s="337" customFormat="1">
      <c r="B579" s="347"/>
    </row>
    <row r="580" spans="2:2" s="337" customFormat="1">
      <c r="B580" s="347"/>
    </row>
    <row r="581" spans="2:2" s="337" customFormat="1">
      <c r="B581" s="347"/>
    </row>
    <row r="582" spans="2:2" s="337" customFormat="1">
      <c r="B582" s="347"/>
    </row>
    <row r="583" spans="2:2" s="337" customFormat="1">
      <c r="B583" s="347"/>
    </row>
    <row r="584" spans="2:2" s="337" customFormat="1">
      <c r="B584" s="347"/>
    </row>
    <row r="585" spans="2:2" s="337" customFormat="1">
      <c r="B585" s="347"/>
    </row>
    <row r="586" spans="2:2" s="337" customFormat="1">
      <c r="B586" s="347"/>
    </row>
    <row r="587" spans="2:2" s="337" customFormat="1">
      <c r="B587" s="347"/>
    </row>
    <row r="588" spans="2:2" s="337" customFormat="1">
      <c r="B588" s="347"/>
    </row>
    <row r="589" spans="2:2" s="337" customFormat="1">
      <c r="B589" s="347"/>
    </row>
    <row r="590" spans="2:2" s="337" customFormat="1">
      <c r="B590" s="347"/>
    </row>
    <row r="591" spans="2:2" s="337" customFormat="1">
      <c r="B591" s="347"/>
    </row>
    <row r="592" spans="2:2" s="337" customFormat="1">
      <c r="B592" s="347"/>
    </row>
    <row r="593" spans="2:2" s="337" customFormat="1">
      <c r="B593" s="347"/>
    </row>
    <row r="594" spans="2:2" s="337" customFormat="1">
      <c r="B594" s="347"/>
    </row>
    <row r="595" spans="2:2" s="337" customFormat="1">
      <c r="B595" s="347"/>
    </row>
    <row r="596" spans="2:2" s="337" customFormat="1">
      <c r="B596" s="347"/>
    </row>
    <row r="597" spans="2:2" s="337" customFormat="1">
      <c r="B597" s="347"/>
    </row>
    <row r="598" spans="2:2" s="337" customFormat="1">
      <c r="B598" s="347"/>
    </row>
    <row r="599" spans="2:2" s="337" customFormat="1">
      <c r="B599" s="347"/>
    </row>
    <row r="600" spans="2:2" s="337" customFormat="1">
      <c r="B600" s="347"/>
    </row>
    <row r="601" spans="2:2" s="337" customFormat="1">
      <c r="B601" s="347"/>
    </row>
    <row r="602" spans="2:2" s="337" customFormat="1">
      <c r="B602" s="347"/>
    </row>
    <row r="603" spans="2:2" s="337" customFormat="1">
      <c r="B603" s="347"/>
    </row>
    <row r="604" spans="2:2" s="337" customFormat="1">
      <c r="B604" s="347"/>
    </row>
    <row r="605" spans="2:2" s="337" customFormat="1">
      <c r="B605" s="347"/>
    </row>
    <row r="606" spans="2:2" s="337" customFormat="1">
      <c r="B606" s="347"/>
    </row>
    <row r="607" spans="2:2" s="337" customFormat="1">
      <c r="B607" s="347"/>
    </row>
    <row r="608" spans="2:2" s="337" customFormat="1">
      <c r="B608" s="347"/>
    </row>
    <row r="609" spans="2:2" s="337" customFormat="1">
      <c r="B609" s="347"/>
    </row>
    <row r="610" spans="2:2" s="337" customFormat="1">
      <c r="B610" s="347"/>
    </row>
    <row r="611" spans="2:2" s="337" customFormat="1">
      <c r="B611" s="347"/>
    </row>
    <row r="612" spans="2:2" s="337" customFormat="1">
      <c r="B612" s="347"/>
    </row>
    <row r="613" spans="2:2" s="337" customFormat="1">
      <c r="B613" s="347"/>
    </row>
    <row r="614" spans="2:2" s="337" customFormat="1">
      <c r="B614" s="347"/>
    </row>
    <row r="615" spans="2:2" s="337" customFormat="1">
      <c r="B615" s="347"/>
    </row>
    <row r="616" spans="2:2" s="337" customFormat="1">
      <c r="B616" s="347"/>
    </row>
    <row r="617" spans="2:2" s="337" customFormat="1">
      <c r="B617" s="347"/>
    </row>
    <row r="618" spans="2:2" s="337" customFormat="1">
      <c r="B618" s="347"/>
    </row>
    <row r="619" spans="2:2" s="337" customFormat="1">
      <c r="B619" s="347"/>
    </row>
    <row r="620" spans="2:2" s="337" customFormat="1">
      <c r="B620" s="347"/>
    </row>
    <row r="621" spans="2:2" s="337" customFormat="1">
      <c r="B621" s="347"/>
    </row>
    <row r="622" spans="2:2" s="337" customFormat="1">
      <c r="B622" s="347"/>
    </row>
    <row r="623" spans="2:2" s="337" customFormat="1">
      <c r="B623" s="347"/>
    </row>
    <row r="624" spans="2:2" s="337" customFormat="1">
      <c r="B624" s="347"/>
    </row>
    <row r="625" spans="2:2" s="337" customFormat="1">
      <c r="B625" s="347"/>
    </row>
    <row r="626" spans="2:2" s="337" customFormat="1">
      <c r="B626" s="347"/>
    </row>
    <row r="627" spans="2:2" s="337" customFormat="1">
      <c r="B627" s="347"/>
    </row>
    <row r="628" spans="2:2" s="337" customFormat="1">
      <c r="B628" s="347"/>
    </row>
    <row r="629" spans="2:2" s="337" customFormat="1">
      <c r="B629" s="347"/>
    </row>
    <row r="630" spans="2:2" s="337" customFormat="1">
      <c r="B630" s="347"/>
    </row>
    <row r="631" spans="2:2" s="337" customFormat="1">
      <c r="B631" s="347"/>
    </row>
    <row r="632" spans="2:2" s="337" customFormat="1">
      <c r="B632" s="347"/>
    </row>
    <row r="633" spans="2:2" s="337" customFormat="1">
      <c r="B633" s="347"/>
    </row>
    <row r="634" spans="2:2" s="337" customFormat="1">
      <c r="B634" s="347"/>
    </row>
    <row r="635" spans="2:2" s="337" customFormat="1">
      <c r="B635" s="347"/>
    </row>
    <row r="636" spans="2:2" s="337" customFormat="1">
      <c r="B636" s="347"/>
    </row>
    <row r="637" spans="2:2" s="337" customFormat="1">
      <c r="B637" s="347"/>
    </row>
    <row r="638" spans="2:2" s="337" customFormat="1">
      <c r="B638" s="347"/>
    </row>
    <row r="639" spans="2:2" s="337" customFormat="1">
      <c r="B639" s="347"/>
    </row>
    <row r="640" spans="2:2" s="337" customFormat="1">
      <c r="B640" s="347"/>
    </row>
    <row r="641" spans="2:2" s="337" customFormat="1">
      <c r="B641" s="347"/>
    </row>
    <row r="642" spans="2:2" s="337" customFormat="1">
      <c r="B642" s="347"/>
    </row>
    <row r="643" spans="2:2" s="337" customFormat="1">
      <c r="B643" s="347"/>
    </row>
    <row r="644" spans="2:2" s="337" customFormat="1">
      <c r="B644" s="347"/>
    </row>
    <row r="645" spans="2:2" s="337" customFormat="1">
      <c r="B645" s="347"/>
    </row>
    <row r="646" spans="2:2" s="337" customFormat="1">
      <c r="B646" s="347"/>
    </row>
    <row r="647" spans="2:2" s="337" customFormat="1">
      <c r="B647" s="347"/>
    </row>
    <row r="648" spans="2:2" s="337" customFormat="1">
      <c r="B648" s="347"/>
    </row>
    <row r="649" spans="2:2" s="337" customFormat="1">
      <c r="B649" s="347"/>
    </row>
    <row r="650" spans="2:2" s="337" customFormat="1">
      <c r="B650" s="347"/>
    </row>
    <row r="651" spans="2:2" s="337" customFormat="1">
      <c r="B651" s="347"/>
    </row>
    <row r="652" spans="2:2" s="337" customFormat="1">
      <c r="B652" s="347"/>
    </row>
    <row r="653" spans="2:2" s="337" customFormat="1">
      <c r="B653" s="347"/>
    </row>
    <row r="654" spans="2:2" s="337" customFormat="1">
      <c r="B654" s="347"/>
    </row>
    <row r="655" spans="2:2" s="337" customFormat="1">
      <c r="B655" s="347"/>
    </row>
    <row r="656" spans="2:2" s="337" customFormat="1">
      <c r="B656" s="347"/>
    </row>
    <row r="657" spans="2:2" s="337" customFormat="1">
      <c r="B657" s="347"/>
    </row>
    <row r="658" spans="2:2" s="337" customFormat="1">
      <c r="B658" s="347"/>
    </row>
    <row r="659" spans="2:2" s="337" customFormat="1">
      <c r="B659" s="347"/>
    </row>
    <row r="660" spans="2:2" s="337" customFormat="1">
      <c r="B660" s="347"/>
    </row>
    <row r="661" spans="2:2" s="337" customFormat="1">
      <c r="B661" s="347"/>
    </row>
    <row r="662" spans="2:2" s="337" customFormat="1">
      <c r="B662" s="347"/>
    </row>
    <row r="663" spans="2:2" s="337" customFormat="1">
      <c r="B663" s="347"/>
    </row>
    <row r="664" spans="2:2" s="337" customFormat="1">
      <c r="B664" s="347"/>
    </row>
    <row r="665" spans="2:2" s="337" customFormat="1">
      <c r="B665" s="347"/>
    </row>
    <row r="666" spans="2:2" s="337" customFormat="1">
      <c r="B666" s="347"/>
    </row>
    <row r="667" spans="2:2" s="337" customFormat="1">
      <c r="B667" s="347"/>
    </row>
    <row r="668" spans="2:2" s="337" customFormat="1">
      <c r="B668" s="347"/>
    </row>
    <row r="669" spans="2:2" s="337" customFormat="1">
      <c r="B669" s="347"/>
    </row>
    <row r="670" spans="2:2" s="337" customFormat="1">
      <c r="B670" s="347"/>
    </row>
    <row r="671" spans="2:2" s="337" customFormat="1">
      <c r="B671" s="347"/>
    </row>
    <row r="672" spans="2:2" s="337" customFormat="1">
      <c r="B672" s="347"/>
    </row>
    <row r="673" spans="2:2" s="337" customFormat="1">
      <c r="B673" s="347"/>
    </row>
    <row r="674" spans="2:2" s="337" customFormat="1">
      <c r="B674" s="347"/>
    </row>
    <row r="675" spans="2:2" s="337" customFormat="1">
      <c r="B675" s="347"/>
    </row>
    <row r="676" spans="2:2" s="337" customFormat="1">
      <c r="B676" s="347"/>
    </row>
    <row r="677" spans="2:2" s="337" customFormat="1">
      <c r="B677" s="347"/>
    </row>
    <row r="678" spans="2:2" s="337" customFormat="1">
      <c r="B678" s="347"/>
    </row>
    <row r="679" spans="2:2" s="337" customFormat="1">
      <c r="B679" s="347"/>
    </row>
    <row r="680" spans="2:2" s="337" customFormat="1">
      <c r="B680" s="347"/>
    </row>
    <row r="681" spans="2:2" s="337" customFormat="1">
      <c r="B681" s="347"/>
    </row>
    <row r="682" spans="2:2" s="337" customFormat="1">
      <c r="B682" s="347"/>
    </row>
    <row r="683" spans="2:2" s="337" customFormat="1">
      <c r="B683" s="347"/>
    </row>
    <row r="684" spans="2:2" s="337" customFormat="1">
      <c r="B684" s="347"/>
    </row>
    <row r="685" spans="2:2" s="337" customFormat="1">
      <c r="B685" s="347"/>
    </row>
    <row r="686" spans="2:2" s="337" customFormat="1">
      <c r="B686" s="347"/>
    </row>
    <row r="687" spans="2:2" s="337" customFormat="1">
      <c r="B687" s="347"/>
    </row>
    <row r="688" spans="2:2" s="337" customFormat="1">
      <c r="B688" s="347"/>
    </row>
    <row r="689" spans="2:2" s="337" customFormat="1">
      <c r="B689" s="347"/>
    </row>
    <row r="690" spans="2:2" s="337" customFormat="1">
      <c r="B690" s="347"/>
    </row>
    <row r="691" spans="2:2" s="337" customFormat="1">
      <c r="B691" s="347"/>
    </row>
    <row r="692" spans="2:2" s="337" customFormat="1">
      <c r="B692" s="347"/>
    </row>
    <row r="693" spans="2:2" s="337" customFormat="1">
      <c r="B693" s="347"/>
    </row>
    <row r="694" spans="2:2" s="337" customFormat="1">
      <c r="B694" s="347"/>
    </row>
    <row r="695" spans="2:2" s="337" customFormat="1">
      <c r="B695" s="347"/>
    </row>
    <row r="696" spans="2:2" s="337" customFormat="1">
      <c r="B696" s="347"/>
    </row>
    <row r="697" spans="2:2" s="337" customFormat="1">
      <c r="B697" s="347"/>
    </row>
    <row r="698" spans="2:2" s="337" customFormat="1">
      <c r="B698" s="347"/>
    </row>
    <row r="699" spans="2:2" s="337" customFormat="1">
      <c r="B699" s="347"/>
    </row>
    <row r="700" spans="2:2" s="337" customFormat="1">
      <c r="B700" s="347"/>
    </row>
    <row r="701" spans="2:2" s="337" customFormat="1">
      <c r="B701" s="347"/>
    </row>
    <row r="702" spans="2:2" s="337" customFormat="1">
      <c r="B702" s="347"/>
    </row>
    <row r="703" spans="2:2" s="337" customFormat="1">
      <c r="B703" s="347"/>
    </row>
    <row r="704" spans="2:2" s="337" customFormat="1">
      <c r="B704" s="347"/>
    </row>
    <row r="705" spans="2:2" s="337" customFormat="1">
      <c r="B705" s="347"/>
    </row>
    <row r="706" spans="2:2" s="337" customFormat="1">
      <c r="B706" s="347"/>
    </row>
    <row r="707" spans="2:2" s="337" customFormat="1">
      <c r="B707" s="347"/>
    </row>
    <row r="708" spans="2:2" s="337" customFormat="1">
      <c r="B708" s="347"/>
    </row>
    <row r="709" spans="2:2" s="337" customFormat="1">
      <c r="B709" s="347"/>
    </row>
    <row r="710" spans="2:2" s="337" customFormat="1">
      <c r="B710" s="347"/>
    </row>
    <row r="711" spans="2:2" s="337" customFormat="1">
      <c r="B711" s="347"/>
    </row>
    <row r="712" spans="2:2" s="337" customFormat="1">
      <c r="B712" s="347"/>
    </row>
    <row r="713" spans="2:2" s="337" customFormat="1">
      <c r="B713" s="347"/>
    </row>
    <row r="714" spans="2:2" s="337" customFormat="1">
      <c r="B714" s="347"/>
    </row>
    <row r="715" spans="2:2" s="337" customFormat="1">
      <c r="B715" s="347"/>
    </row>
    <row r="716" spans="2:2" s="337" customFormat="1">
      <c r="B716" s="347"/>
    </row>
    <row r="717" spans="2:2" s="337" customFormat="1">
      <c r="B717" s="347"/>
    </row>
    <row r="718" spans="2:2" s="337" customFormat="1">
      <c r="B718" s="347"/>
    </row>
    <row r="719" spans="2:2" s="337" customFormat="1">
      <c r="B719" s="347"/>
    </row>
    <row r="720" spans="2:2" s="337" customFormat="1">
      <c r="B720" s="347"/>
    </row>
    <row r="721" spans="2:2" s="337" customFormat="1">
      <c r="B721" s="347"/>
    </row>
    <row r="722" spans="2:2" s="337" customFormat="1">
      <c r="B722" s="347"/>
    </row>
    <row r="723" spans="2:2" s="337" customFormat="1">
      <c r="B723" s="347"/>
    </row>
    <row r="724" spans="2:2" s="337" customFormat="1">
      <c r="B724" s="347"/>
    </row>
    <row r="725" spans="2:2" s="337" customFormat="1">
      <c r="B725" s="347"/>
    </row>
    <row r="726" spans="2:2" s="337" customFormat="1">
      <c r="B726" s="347"/>
    </row>
  </sheetData>
  <sheetProtection algorithmName="SHA-512" hashValue="IY/0gvGMEnPn5juORqjo06T09UVjrlStcKr8g5V/hTvwC1riPEJm+Fdpngi9Tyy3UQ0TVgTLTa0K6qAYvlRzuw==" saltValue="wy0xbXjjm5ydqGRWnqXB8A==" spinCount="100000" sheet="1" objects="1" scenarios="1"/>
  <protectedRanges>
    <protectedRange sqref="N337" name="Range1"/>
  </protectedRanges>
  <mergeCells count="128">
    <mergeCell ref="J71:K71"/>
    <mergeCell ref="D143:F143"/>
    <mergeCell ref="G143:I143"/>
    <mergeCell ref="C111:M111"/>
    <mergeCell ref="L71:M71"/>
    <mergeCell ref="D116:F116"/>
    <mergeCell ref="G116:I116"/>
    <mergeCell ref="D71:E71"/>
    <mergeCell ref="F71:G71"/>
    <mergeCell ref="C327:M327"/>
    <mergeCell ref="C353:M353"/>
    <mergeCell ref="I205:J205"/>
    <mergeCell ref="E205:F205"/>
    <mergeCell ref="G205:H205"/>
    <mergeCell ref="K205:L205"/>
    <mergeCell ref="C258:M258"/>
    <mergeCell ref="C313:M313"/>
    <mergeCell ref="J321:L321"/>
    <mergeCell ref="G321:I321"/>
    <mergeCell ref="C328:M329"/>
    <mergeCell ref="E204:H204"/>
    <mergeCell ref="I204:L204"/>
    <mergeCell ref="C202:M202"/>
    <mergeCell ref="E263:F263"/>
    <mergeCell ref="I263:J263"/>
    <mergeCell ref="F61:G61"/>
    <mergeCell ref="F62:G62"/>
    <mergeCell ref="F54:G54"/>
    <mergeCell ref="F55:G55"/>
    <mergeCell ref="F63:G63"/>
    <mergeCell ref="L54:M54"/>
    <mergeCell ref="L59:M59"/>
    <mergeCell ref="L60:M60"/>
    <mergeCell ref="L61:M61"/>
    <mergeCell ref="L62:M62"/>
    <mergeCell ref="L55:M55"/>
    <mergeCell ref="L56:M56"/>
    <mergeCell ref="L57:M57"/>
    <mergeCell ref="L58:M58"/>
    <mergeCell ref="C174:M174"/>
    <mergeCell ref="F178:G178"/>
    <mergeCell ref="D178:E178"/>
    <mergeCell ref="L178:M178"/>
    <mergeCell ref="J178:K178"/>
    <mergeCell ref="C8:M8"/>
    <mergeCell ref="E262:H262"/>
    <mergeCell ref="I262:L262"/>
    <mergeCell ref="G263:H263"/>
    <mergeCell ref="K263:L263"/>
    <mergeCell ref="C67:M67"/>
    <mergeCell ref="C13:M13"/>
    <mergeCell ref="C40:M40"/>
    <mergeCell ref="F58:G58"/>
    <mergeCell ref="F59:G59"/>
    <mergeCell ref="F60:G60"/>
    <mergeCell ref="L53:M53"/>
    <mergeCell ref="F56:G56"/>
    <mergeCell ref="F57:G57"/>
    <mergeCell ref="F50:G50"/>
    <mergeCell ref="F51:G51"/>
    <mergeCell ref="F52:G52"/>
    <mergeCell ref="F53:G53"/>
    <mergeCell ref="L45:M45"/>
    <mergeCell ref="L46:M46"/>
    <mergeCell ref="L49:M49"/>
    <mergeCell ref="L50:M50"/>
    <mergeCell ref="L51:M51"/>
    <mergeCell ref="L52:M52"/>
    <mergeCell ref="F17:G17"/>
    <mergeCell ref="F16:G16"/>
    <mergeCell ref="L16:M16"/>
    <mergeCell ref="L17:M17"/>
    <mergeCell ref="L18:M18"/>
    <mergeCell ref="L33:M33"/>
    <mergeCell ref="L34:M34"/>
    <mergeCell ref="L35:M35"/>
    <mergeCell ref="L36:M36"/>
    <mergeCell ref="L27:M27"/>
    <mergeCell ref="L28:M28"/>
    <mergeCell ref="L29:M29"/>
    <mergeCell ref="L30:M30"/>
    <mergeCell ref="L31:M31"/>
    <mergeCell ref="L32:M32"/>
    <mergeCell ref="F19:G19"/>
    <mergeCell ref="F20:G20"/>
    <mergeCell ref="F21:G21"/>
    <mergeCell ref="L21:M21"/>
    <mergeCell ref="L22:M22"/>
    <mergeCell ref="L23:M23"/>
    <mergeCell ref="L24:M24"/>
    <mergeCell ref="L25:M25"/>
    <mergeCell ref="L26:M26"/>
    <mergeCell ref="L63:M63"/>
    <mergeCell ref="L64:M64"/>
    <mergeCell ref="F64:G64"/>
    <mergeCell ref="F65:G65"/>
    <mergeCell ref="L65:M65"/>
    <mergeCell ref="F18:G18"/>
    <mergeCell ref="L37:M37"/>
    <mergeCell ref="L38:M38"/>
    <mergeCell ref="F37:G37"/>
    <mergeCell ref="L44:M44"/>
    <mergeCell ref="F44:G44"/>
    <mergeCell ref="L47:M47"/>
    <mergeCell ref="L48:M48"/>
    <mergeCell ref="F45:G45"/>
    <mergeCell ref="F46:G46"/>
    <mergeCell ref="F47:G47"/>
    <mergeCell ref="F48:G48"/>
    <mergeCell ref="F49:G49"/>
    <mergeCell ref="F22:G22"/>
    <mergeCell ref="F23:G23"/>
    <mergeCell ref="F24:G24"/>
    <mergeCell ref="F38:G38"/>
    <mergeCell ref="L19:M19"/>
    <mergeCell ref="L20:M20"/>
    <mergeCell ref="F31:G31"/>
    <mergeCell ref="F32:G32"/>
    <mergeCell ref="F33:G33"/>
    <mergeCell ref="F34:G34"/>
    <mergeCell ref="F35:G35"/>
    <mergeCell ref="F36:G36"/>
    <mergeCell ref="F25:G25"/>
    <mergeCell ref="F26:G26"/>
    <mergeCell ref="F27:G27"/>
    <mergeCell ref="F28:G28"/>
    <mergeCell ref="F29:G29"/>
    <mergeCell ref="F30:G30"/>
  </mergeCells>
  <phoneticPr fontId="0" type="noConversion"/>
  <dataValidations count="1">
    <dataValidation type="list" allowBlank="1" showInputMessage="1" showErrorMessage="1" sqref="F330" xr:uid="{C9D4A9B4-79DF-4277-A7C6-CF0B7EA6E359}">
      <formula1>"Left,Right"</formula1>
    </dataValidation>
  </dataValidations>
  <pageMargins left="0.75" right="0.375" top="0.25" bottom="0.25" header="0.75" footer="0.25"/>
  <pageSetup scale="97" orientation="portrait" blackAndWhite="1" r:id="rId1"/>
  <headerFooter alignWithMargins="0">
    <oddHeader>&amp;L&amp;6
&amp;Z&amp;F&amp;R&amp;P                                &amp;N</oddHeader>
    <oddFooter>&amp;L&amp;D   &amp;T&amp;C&amp;8Rev. 8.0</oddFooter>
  </headerFooter>
  <rowBreaks count="5" manualBreakCount="5">
    <brk id="66" min="2" max="12" man="1"/>
    <brk id="110" min="2" max="12" man="1"/>
    <brk id="173" min="2" max="12" man="1"/>
    <brk id="257" min="2" max="12" man="1"/>
    <brk id="326" min="2"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56712" r:id="rId4" name="LLDF_ExtBm">
              <controlPr defaultSize="0" print="0" autoFill="0" autoLine="0" autoPict="0" macro="[0]!DrilledShaft" altText="Generate Cap Design Data Sheets">
                <anchor moveWithCells="1">
                  <from>
                    <xdr:col>8</xdr:col>
                    <xdr:colOff>561975</xdr:colOff>
                    <xdr:row>335</xdr:row>
                    <xdr:rowOff>57150</xdr:rowOff>
                  </from>
                  <to>
                    <xdr:col>12</xdr:col>
                    <xdr:colOff>409575</xdr:colOff>
                    <xdr:row>336</xdr:row>
                    <xdr:rowOff>161925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2">
    <tabColor indexed="47"/>
  </sheetPr>
  <dimension ref="A2:AQ687"/>
  <sheetViews>
    <sheetView showGridLines="0" view="pageBreakPreview" topLeftCell="A185" zoomScaleSheetLayoutView="100" workbookViewId="0">
      <selection activeCell="B201" sqref="B201"/>
    </sheetView>
  </sheetViews>
  <sheetFormatPr defaultRowHeight="12.75"/>
  <cols>
    <col min="1" max="1" width="4.28515625" customWidth="1"/>
    <col min="2" max="2" width="20.42578125" style="347" customWidth="1"/>
    <col min="3" max="3" width="8.85546875" customWidth="1"/>
    <col min="4" max="4" width="9.140625" customWidth="1"/>
    <col min="5" max="5" width="8.42578125" customWidth="1"/>
    <col min="6" max="6" width="9.42578125" customWidth="1"/>
    <col min="7" max="7" width="8.7109375" customWidth="1"/>
    <col min="8" max="8" width="8.42578125" customWidth="1"/>
    <col min="9" max="10" width="8.85546875" customWidth="1"/>
    <col min="11" max="11" width="9.28515625" customWidth="1"/>
    <col min="12" max="12" width="8.28515625" customWidth="1"/>
    <col min="13" max="13" width="8.7109375" customWidth="1"/>
    <col min="14" max="14" width="8" style="337" customWidth="1"/>
    <col min="15" max="23" width="9.7109375" style="337" customWidth="1"/>
    <col min="24" max="24" width="8" style="337" customWidth="1"/>
    <col min="25" max="32" width="9.7109375" style="337" customWidth="1"/>
    <col min="33" max="33" width="10.7109375" style="337" customWidth="1"/>
    <col min="34" max="34" width="8" style="337" customWidth="1"/>
    <col min="35" max="41" width="9.7109375" style="337" customWidth="1"/>
    <col min="42" max="43" width="9.7109375" customWidth="1"/>
    <col min="44" max="44" width="8" customWidth="1"/>
    <col min="45" max="52" width="9.7109375" customWidth="1"/>
  </cols>
  <sheetData>
    <row r="2" spans="1:41">
      <c r="P2" s="1522"/>
      <c r="Q2" s="1522"/>
      <c r="R2" s="1522"/>
      <c r="S2" s="1522"/>
      <c r="T2" s="1522"/>
      <c r="U2" s="1522"/>
      <c r="V2" s="1522"/>
      <c r="W2" s="1522"/>
    </row>
    <row r="3" spans="1:41">
      <c r="P3" s="339"/>
      <c r="Q3" s="339"/>
      <c r="R3" s="339"/>
      <c r="S3" s="339"/>
      <c r="T3" s="339"/>
      <c r="U3" s="339"/>
      <c r="V3" s="339"/>
      <c r="W3" s="339"/>
    </row>
    <row r="4" spans="1:41">
      <c r="P4" s="339"/>
      <c r="Q4" s="339"/>
    </row>
    <row r="5" spans="1:41">
      <c r="P5" s="340"/>
      <c r="Q5" s="340"/>
      <c r="R5" s="338"/>
      <c r="S5" s="338"/>
      <c r="T5" s="338"/>
      <c r="U5" s="338"/>
      <c r="V5" s="338"/>
      <c r="W5" s="338"/>
      <c r="X5" s="338"/>
      <c r="Y5" s="338"/>
    </row>
    <row r="6" spans="1:41">
      <c r="P6" s="338"/>
      <c r="Q6" s="338"/>
      <c r="R6" s="390"/>
      <c r="S6" s="338"/>
      <c r="T6" s="338"/>
      <c r="U6" s="338"/>
      <c r="V6" s="338"/>
      <c r="W6" s="338"/>
      <c r="X6" s="338"/>
      <c r="Y6" s="338"/>
    </row>
    <row r="7" spans="1:41">
      <c r="P7" s="338"/>
      <c r="Q7" s="338"/>
      <c r="R7" s="390"/>
      <c r="S7" s="338"/>
      <c r="T7" s="338"/>
      <c r="U7" s="338"/>
      <c r="V7" s="338"/>
      <c r="W7" s="338"/>
      <c r="X7" s="338"/>
      <c r="Y7" s="338"/>
    </row>
    <row r="8" spans="1:41" ht="19.5" customHeight="1" thickBot="1">
      <c r="C8" s="1598" t="s">
        <v>1233</v>
      </c>
      <c r="D8" s="1598"/>
      <c r="E8" s="1598"/>
      <c r="F8" s="1598"/>
      <c r="G8" s="1598"/>
      <c r="H8" s="1598"/>
      <c r="I8" s="1598"/>
      <c r="J8" s="1598"/>
      <c r="K8" s="1598"/>
      <c r="L8" s="1598"/>
      <c r="M8" s="1598"/>
      <c r="P8" s="338"/>
      <c r="Q8" s="338"/>
      <c r="R8" s="338"/>
      <c r="S8" s="338"/>
      <c r="T8" s="338"/>
      <c r="U8" s="338"/>
      <c r="V8" s="338"/>
      <c r="W8" s="338"/>
      <c r="X8" s="338"/>
      <c r="Y8" s="338"/>
    </row>
    <row r="9" spans="1:41" ht="12" customHeight="1" thickTop="1">
      <c r="B9" s="16"/>
      <c r="C9" s="888" t="s">
        <v>884</v>
      </c>
      <c r="N9"/>
      <c r="O9"/>
      <c r="P9"/>
      <c r="Q9"/>
      <c r="R9"/>
      <c r="S9"/>
      <c r="T9"/>
      <c r="U9"/>
      <c r="V9"/>
      <c r="W9"/>
      <c r="X9"/>
      <c r="Y9"/>
      <c r="Z9"/>
      <c r="AA9"/>
      <c r="AB9"/>
      <c r="AC9"/>
      <c r="AD9"/>
      <c r="AE9"/>
      <c r="AF9"/>
      <c r="AG9"/>
      <c r="AH9"/>
      <c r="AI9"/>
      <c r="AJ9"/>
      <c r="AK9"/>
      <c r="AL9"/>
      <c r="AM9"/>
      <c r="AN9"/>
      <c r="AO9"/>
    </row>
    <row r="10" spans="1:41" ht="6" customHeight="1">
      <c r="B10" s="16"/>
      <c r="C10" s="230"/>
      <c r="N10"/>
      <c r="O10"/>
      <c r="P10"/>
      <c r="Q10"/>
      <c r="R10"/>
      <c r="S10"/>
      <c r="T10"/>
      <c r="U10"/>
      <c r="V10"/>
      <c r="W10"/>
      <c r="X10"/>
      <c r="Y10"/>
      <c r="Z10"/>
      <c r="AA10"/>
      <c r="AB10"/>
      <c r="AC10"/>
      <c r="AD10"/>
      <c r="AE10"/>
      <c r="AF10"/>
      <c r="AG10"/>
      <c r="AH10"/>
      <c r="AI10"/>
      <c r="AJ10"/>
      <c r="AK10"/>
      <c r="AL10"/>
      <c r="AM10"/>
      <c r="AN10"/>
      <c r="AO10"/>
    </row>
    <row r="11" spans="1:41" ht="15" customHeight="1" thickBot="1">
      <c r="B11" s="16"/>
      <c r="C11" s="1644" t="s">
        <v>1081</v>
      </c>
      <c r="D11" s="1644"/>
      <c r="E11" s="1644"/>
      <c r="F11" s="1644"/>
      <c r="G11" s="1644"/>
      <c r="H11" s="1644"/>
      <c r="I11" s="1644"/>
      <c r="J11" s="1644"/>
      <c r="K11" s="1644"/>
      <c r="L11" s="1644"/>
      <c r="M11" s="1644"/>
      <c r="N11"/>
      <c r="O11"/>
      <c r="P11"/>
      <c r="Q11"/>
      <c r="R11"/>
      <c r="S11"/>
      <c r="T11"/>
      <c r="U11"/>
      <c r="V11"/>
      <c r="W11"/>
      <c r="X11"/>
      <c r="Y11"/>
      <c r="Z11"/>
      <c r="AA11"/>
      <c r="AB11"/>
      <c r="AC11"/>
      <c r="AD11"/>
      <c r="AE11"/>
      <c r="AF11"/>
      <c r="AG11"/>
      <c r="AH11"/>
      <c r="AI11"/>
      <c r="AJ11"/>
      <c r="AK11"/>
      <c r="AL11"/>
      <c r="AM11"/>
      <c r="AN11"/>
      <c r="AO11"/>
    </row>
    <row r="12" spans="1:41" ht="6" customHeight="1">
      <c r="B12" s="16"/>
      <c r="C12" s="46"/>
      <c r="I12" s="44"/>
      <c r="K12" s="44"/>
      <c r="N12"/>
      <c r="O12"/>
      <c r="P12"/>
      <c r="Q12"/>
      <c r="R12"/>
      <c r="S12"/>
      <c r="T12"/>
      <c r="U12"/>
      <c r="V12"/>
      <c r="W12"/>
      <c r="X12"/>
      <c r="Y12"/>
      <c r="Z12"/>
      <c r="AA12"/>
      <c r="AB12"/>
      <c r="AC12"/>
      <c r="AD12"/>
      <c r="AE12"/>
      <c r="AF12"/>
      <c r="AG12"/>
      <c r="AH12"/>
      <c r="AI12"/>
      <c r="AJ12"/>
      <c r="AK12"/>
      <c r="AL12"/>
      <c r="AM12"/>
      <c r="AN12"/>
      <c r="AO12"/>
    </row>
    <row r="13" spans="1:41" ht="15" customHeight="1">
      <c r="B13" s="16"/>
      <c r="C13" s="44" t="s">
        <v>1012</v>
      </c>
      <c r="I13" s="44" t="s">
        <v>1009</v>
      </c>
      <c r="K13" s="44"/>
      <c r="N13"/>
      <c r="O13"/>
      <c r="P13"/>
      <c r="Q13"/>
      <c r="R13"/>
      <c r="S13"/>
      <c r="T13"/>
      <c r="U13"/>
      <c r="V13"/>
      <c r="W13"/>
      <c r="X13"/>
      <c r="Y13"/>
      <c r="Z13"/>
      <c r="AA13"/>
      <c r="AB13"/>
      <c r="AC13"/>
      <c r="AD13"/>
      <c r="AE13"/>
      <c r="AF13"/>
      <c r="AG13"/>
      <c r="AH13"/>
      <c r="AI13"/>
      <c r="AJ13"/>
      <c r="AK13"/>
      <c r="AL13"/>
      <c r="AM13"/>
      <c r="AN13"/>
      <c r="AO13"/>
    </row>
    <row r="14" spans="1:41" ht="15" customHeight="1">
      <c r="B14" s="16"/>
      <c r="C14" s="980"/>
      <c r="D14" s="854"/>
      <c r="E14" s="854"/>
      <c r="F14" s="984" t="s">
        <v>243</v>
      </c>
      <c r="G14" s="984" t="s">
        <v>244</v>
      </c>
      <c r="I14" s="980"/>
      <c r="J14" s="854"/>
      <c r="K14" s="854"/>
      <c r="L14" s="984" t="s">
        <v>243</v>
      </c>
      <c r="M14" s="984" t="s">
        <v>244</v>
      </c>
      <c r="N14"/>
      <c r="O14"/>
      <c r="P14"/>
      <c r="Q14"/>
      <c r="R14"/>
      <c r="S14"/>
      <c r="T14"/>
      <c r="U14"/>
      <c r="V14"/>
      <c r="W14"/>
      <c r="X14"/>
      <c r="Y14"/>
      <c r="Z14"/>
      <c r="AA14"/>
      <c r="AB14"/>
      <c r="AC14"/>
      <c r="AD14"/>
      <c r="AE14"/>
      <c r="AF14"/>
      <c r="AG14"/>
      <c r="AH14"/>
      <c r="AI14"/>
      <c r="AJ14"/>
      <c r="AK14"/>
      <c r="AL14"/>
      <c r="AM14"/>
      <c r="AN14"/>
      <c r="AO14"/>
    </row>
    <row r="15" spans="1:41" ht="15" customHeight="1">
      <c r="B15" s="16"/>
      <c r="C15" s="926"/>
      <c r="D15" s="32"/>
      <c r="E15" s="32"/>
      <c r="F15" s="985" t="s">
        <v>458</v>
      </c>
      <c r="G15" s="986" t="s">
        <v>457</v>
      </c>
      <c r="I15" s="926"/>
      <c r="J15" s="32"/>
      <c r="K15" s="32"/>
      <c r="L15" s="985" t="s">
        <v>458</v>
      </c>
      <c r="M15" s="986" t="s">
        <v>457</v>
      </c>
      <c r="N15"/>
      <c r="O15"/>
      <c r="P15"/>
      <c r="Q15"/>
      <c r="R15"/>
      <c r="S15"/>
      <c r="T15"/>
      <c r="U15"/>
      <c r="V15"/>
      <c r="W15"/>
      <c r="X15"/>
      <c r="Y15"/>
      <c r="Z15"/>
      <c r="AA15"/>
      <c r="AB15"/>
      <c r="AC15"/>
      <c r="AD15"/>
      <c r="AE15"/>
      <c r="AF15"/>
      <c r="AG15"/>
      <c r="AH15"/>
      <c r="AI15"/>
      <c r="AJ15"/>
      <c r="AK15"/>
      <c r="AL15"/>
      <c r="AM15"/>
      <c r="AN15"/>
      <c r="AO15"/>
    </row>
    <row r="16" spans="1:41" ht="15" customHeight="1">
      <c r="A16" t="str">
        <f>IF(AND(E16="",K16=""),"*","")</f>
        <v/>
      </c>
      <c r="C16" s="923"/>
      <c r="D16" s="18"/>
      <c r="E16" s="981">
        <v>1</v>
      </c>
      <c r="F16" s="855">
        <f>Geometry!I128-ColSpa1</f>
        <v>-22</v>
      </c>
      <c r="G16" s="855">
        <f>ColSpa2-'Inv Tee'!F16</f>
        <v>22</v>
      </c>
      <c r="I16" s="923"/>
      <c r="J16" s="854"/>
      <c r="K16" s="981">
        <v>1</v>
      </c>
      <c r="L16" s="855">
        <f>Geometry!I156-ColSpa1</f>
        <v>-22</v>
      </c>
      <c r="M16" s="855">
        <f>ColSpa2-'Inv Tee'!L16</f>
        <v>22</v>
      </c>
      <c r="N16"/>
      <c r="O16"/>
      <c r="P16"/>
      <c r="Q16"/>
      <c r="R16"/>
      <c r="S16"/>
      <c r="T16"/>
      <c r="U16"/>
      <c r="V16"/>
      <c r="W16"/>
      <c r="X16"/>
      <c r="Y16"/>
      <c r="Z16"/>
      <c r="AA16"/>
      <c r="AB16"/>
      <c r="AC16"/>
      <c r="AD16"/>
      <c r="AE16"/>
      <c r="AF16"/>
      <c r="AG16"/>
      <c r="AH16"/>
      <c r="AI16"/>
      <c r="AJ16"/>
      <c r="AK16"/>
      <c r="AL16"/>
      <c r="AM16"/>
      <c r="AN16"/>
      <c r="AO16"/>
    </row>
    <row r="17" spans="1:41" ht="15" customHeight="1">
      <c r="A17" t="str">
        <f t="shared" ref="A17:A35" si="0">IF(AND(E17="",K17=""),"*","")</f>
        <v/>
      </c>
      <c r="C17" s="19"/>
      <c r="D17" s="18"/>
      <c r="E17" s="979">
        <f>IF(Geometry!$G$123&gt;E16,1+E16,"")</f>
        <v>2</v>
      </c>
      <c r="F17" s="856">
        <f>IF(E17="","",Geometry!I129-ColSpa1)</f>
        <v>-7.3333333333333357</v>
      </c>
      <c r="G17" s="856">
        <f>IF(F17="","",ColSpa2-'Inv Tee'!F17)</f>
        <v>7.3333333333333357</v>
      </c>
      <c r="I17" s="19"/>
      <c r="J17" s="18"/>
      <c r="K17" s="979">
        <f>IF(Geometry!$G$151&gt;K16,K16+1,"")</f>
        <v>2</v>
      </c>
      <c r="L17" s="856">
        <f>IF(K17="","",Geometry!I157-ColSpa1)</f>
        <v>-7.3333333333333357</v>
      </c>
      <c r="M17" s="856">
        <f>IF(L17="","",ColSpa2-'Inv Tee'!L17)</f>
        <v>7.3333333333333357</v>
      </c>
      <c r="N17"/>
      <c r="O17"/>
      <c r="P17"/>
      <c r="Q17"/>
      <c r="R17"/>
      <c r="S17"/>
      <c r="T17"/>
      <c r="U17"/>
      <c r="V17"/>
      <c r="W17"/>
      <c r="X17"/>
      <c r="Y17"/>
      <c r="Z17"/>
      <c r="AA17"/>
      <c r="AB17"/>
      <c r="AC17"/>
      <c r="AD17"/>
      <c r="AE17"/>
      <c r="AF17"/>
      <c r="AG17"/>
      <c r="AH17"/>
      <c r="AI17"/>
      <c r="AJ17"/>
      <c r="AK17"/>
      <c r="AL17"/>
      <c r="AM17"/>
      <c r="AN17"/>
      <c r="AO17"/>
    </row>
    <row r="18" spans="1:41" ht="15" customHeight="1">
      <c r="A18" t="str">
        <f t="shared" si="0"/>
        <v/>
      </c>
      <c r="C18" s="19"/>
      <c r="D18" s="18"/>
      <c r="E18" s="979">
        <f>IF(Geometry!$G$123&gt;E17,1+E17,"")</f>
        <v>3</v>
      </c>
      <c r="F18" s="856">
        <f>IF(E18="","",Geometry!I130-ColSpa1)</f>
        <v>7.3333333333333286</v>
      </c>
      <c r="G18" s="856">
        <f>IF(F18="","",ColSpa2-'Inv Tee'!F18)</f>
        <v>-7.3333333333333286</v>
      </c>
      <c r="I18" s="19"/>
      <c r="J18" s="18"/>
      <c r="K18" s="979">
        <f>IF(Geometry!$G$151&gt;K17,K17+1,"")</f>
        <v>3</v>
      </c>
      <c r="L18" s="856">
        <f>IF(K18="","",Geometry!I158-ColSpa1)</f>
        <v>7.3333333333333286</v>
      </c>
      <c r="M18" s="856">
        <f>IF(L18="","",ColSpa2-'Inv Tee'!L18)</f>
        <v>-7.3333333333333286</v>
      </c>
      <c r="N18"/>
      <c r="O18"/>
      <c r="P18"/>
      <c r="Q18"/>
      <c r="R18"/>
      <c r="S18"/>
      <c r="T18"/>
      <c r="U18"/>
      <c r="V18"/>
      <c r="W18"/>
      <c r="X18"/>
      <c r="Y18"/>
      <c r="Z18"/>
      <c r="AA18"/>
      <c r="AB18"/>
      <c r="AC18"/>
      <c r="AD18"/>
      <c r="AE18"/>
      <c r="AF18"/>
      <c r="AG18"/>
      <c r="AH18"/>
      <c r="AI18"/>
      <c r="AJ18"/>
      <c r="AK18"/>
      <c r="AL18"/>
      <c r="AM18"/>
      <c r="AN18"/>
      <c r="AO18"/>
    </row>
    <row r="19" spans="1:41" ht="15" customHeight="1">
      <c r="A19" t="str">
        <f t="shared" si="0"/>
        <v/>
      </c>
      <c r="C19" s="19"/>
      <c r="D19" s="18"/>
      <c r="E19" s="979">
        <f>IF(Geometry!$G$123&gt;E18,1+E18,"")</f>
        <v>4</v>
      </c>
      <c r="F19" s="856">
        <f>IF(E19="","",Geometry!I131-ColSpa1)</f>
        <v>21.999999999999993</v>
      </c>
      <c r="G19" s="856">
        <f>IF(F19="","",ColSpa2-'Inv Tee'!F19)</f>
        <v>-21.999999999999993</v>
      </c>
      <c r="I19" s="19"/>
      <c r="J19" s="18"/>
      <c r="K19" s="979">
        <f>IF(Geometry!$G$151&gt;K18,K18+1,"")</f>
        <v>4</v>
      </c>
      <c r="L19" s="856">
        <f>IF(K19="","",Geometry!I159-ColSpa1)</f>
        <v>21.999999999999993</v>
      </c>
      <c r="M19" s="856">
        <f>IF(L19="","",ColSpa2-'Inv Tee'!L19)</f>
        <v>-21.999999999999993</v>
      </c>
      <c r="N19"/>
      <c r="O19"/>
      <c r="P19"/>
      <c r="Q19"/>
      <c r="R19"/>
      <c r="S19"/>
      <c r="T19"/>
      <c r="U19"/>
      <c r="V19"/>
      <c r="W19"/>
      <c r="X19"/>
      <c r="Y19"/>
      <c r="Z19"/>
      <c r="AA19"/>
      <c r="AB19"/>
      <c r="AC19"/>
      <c r="AD19"/>
      <c r="AE19"/>
      <c r="AF19"/>
      <c r="AG19"/>
      <c r="AH19"/>
      <c r="AI19"/>
      <c r="AJ19"/>
      <c r="AK19"/>
      <c r="AL19"/>
      <c r="AM19"/>
      <c r="AN19"/>
      <c r="AO19"/>
    </row>
    <row r="20" spans="1:41" ht="15" customHeight="1">
      <c r="A20" t="str">
        <f t="shared" si="0"/>
        <v>*</v>
      </c>
      <c r="C20" s="19"/>
      <c r="D20" s="18"/>
      <c r="E20" s="979" t="str">
        <f>IF(Geometry!$G$123&gt;E19,1+E19,"")</f>
        <v/>
      </c>
      <c r="F20" s="856" t="str">
        <f>IF(E20="","",Geometry!I132-ColSpa1)</f>
        <v/>
      </c>
      <c r="G20" s="856" t="str">
        <f>IF(F20="","",ColSpa2-'Inv Tee'!F20)</f>
        <v/>
      </c>
      <c r="I20" s="19"/>
      <c r="J20" s="18"/>
      <c r="K20" s="979" t="str">
        <f>IF(Geometry!$G$151&gt;K19,K19+1,"")</f>
        <v/>
      </c>
      <c r="L20" s="856" t="str">
        <f>IF(K20="","",Geometry!I160-ColSpa1)</f>
        <v/>
      </c>
      <c r="M20" s="856" t="str">
        <f>IF(L20="","",ColSpa2-'Inv Tee'!L20)</f>
        <v/>
      </c>
      <c r="N20"/>
      <c r="O20"/>
      <c r="P20"/>
      <c r="Q20"/>
      <c r="R20"/>
      <c r="S20"/>
      <c r="T20"/>
      <c r="U20"/>
      <c r="V20"/>
      <c r="W20"/>
      <c r="X20"/>
      <c r="Y20"/>
      <c r="Z20"/>
      <c r="AA20"/>
      <c r="AB20"/>
      <c r="AC20"/>
      <c r="AD20"/>
      <c r="AE20"/>
      <c r="AF20"/>
      <c r="AG20"/>
      <c r="AH20"/>
      <c r="AI20"/>
      <c r="AJ20"/>
      <c r="AK20"/>
      <c r="AL20"/>
      <c r="AM20"/>
      <c r="AN20"/>
      <c r="AO20"/>
    </row>
    <row r="21" spans="1:41" ht="15" customHeight="1">
      <c r="A21" t="str">
        <f t="shared" si="0"/>
        <v>*</v>
      </c>
      <c r="C21" s="19"/>
      <c r="D21" s="18"/>
      <c r="E21" s="979" t="str">
        <f>IF(Geometry!$G$123&gt;E20,1+E20,"")</f>
        <v/>
      </c>
      <c r="F21" s="856" t="str">
        <f>IF(E21="","",Geometry!I133-ColSpa1)</f>
        <v/>
      </c>
      <c r="G21" s="856" t="str">
        <f>IF(F21="","",ColSpa2-'Inv Tee'!F21)</f>
        <v/>
      </c>
      <c r="I21" s="19"/>
      <c r="J21" s="18"/>
      <c r="K21" s="979" t="str">
        <f>IF(Geometry!$G$151&gt;K20,K20+1,"")</f>
        <v/>
      </c>
      <c r="L21" s="856" t="str">
        <f>IF(K21="","",Geometry!I161-ColSpa1)</f>
        <v/>
      </c>
      <c r="M21" s="856" t="str">
        <f>IF(L21="","",ColSpa2-'Inv Tee'!L21)</f>
        <v/>
      </c>
      <c r="N21"/>
      <c r="O21"/>
      <c r="P21"/>
      <c r="Q21"/>
      <c r="R21"/>
      <c r="S21"/>
      <c r="T21"/>
      <c r="U21"/>
      <c r="V21"/>
      <c r="W21"/>
      <c r="X21"/>
      <c r="Y21"/>
      <c r="Z21"/>
      <c r="AA21"/>
      <c r="AB21"/>
      <c r="AC21"/>
      <c r="AD21"/>
      <c r="AE21"/>
      <c r="AF21"/>
      <c r="AG21"/>
      <c r="AH21"/>
      <c r="AI21"/>
      <c r="AJ21"/>
      <c r="AK21"/>
      <c r="AL21"/>
      <c r="AM21"/>
      <c r="AN21"/>
      <c r="AO21"/>
    </row>
    <row r="22" spans="1:41" ht="15" hidden="1" customHeight="1">
      <c r="A22" t="str">
        <f t="shared" si="0"/>
        <v>*</v>
      </c>
      <c r="C22" s="19"/>
      <c r="D22" s="18"/>
      <c r="E22" s="979" t="str">
        <f>IF(Geometry!$G$123&gt;E21,1+E21,"")</f>
        <v/>
      </c>
      <c r="F22" s="856" t="str">
        <f>IF(E22="","",Geometry!I134-ColSpa1)</f>
        <v/>
      </c>
      <c r="G22" s="856" t="str">
        <f>IF(F22="","",ColSpa2-'Inv Tee'!F22)</f>
        <v/>
      </c>
      <c r="I22" s="19"/>
      <c r="J22" s="18"/>
      <c r="K22" s="979" t="str">
        <f>IF(Geometry!$G$151&gt;K21,K21+1,"")</f>
        <v/>
      </c>
      <c r="L22" s="856" t="str">
        <f>IF(K22="","",Geometry!I162-ColSpa1)</f>
        <v/>
      </c>
      <c r="M22" s="856" t="str">
        <f>IF(L22="","",ColSpa2-'Inv Tee'!L22)</f>
        <v/>
      </c>
      <c r="N22"/>
      <c r="O22"/>
      <c r="P22"/>
      <c r="Q22"/>
      <c r="R22"/>
      <c r="S22"/>
      <c r="T22"/>
      <c r="U22"/>
      <c r="V22"/>
      <c r="W22"/>
      <c r="X22"/>
      <c r="Y22"/>
      <c r="Z22"/>
      <c r="AA22"/>
      <c r="AB22"/>
      <c r="AC22"/>
      <c r="AD22"/>
      <c r="AE22"/>
      <c r="AF22"/>
      <c r="AG22"/>
      <c r="AH22"/>
      <c r="AI22"/>
      <c r="AJ22"/>
      <c r="AK22"/>
      <c r="AL22"/>
      <c r="AM22"/>
      <c r="AN22"/>
      <c r="AO22"/>
    </row>
    <row r="23" spans="1:41" ht="15" hidden="1" customHeight="1">
      <c r="A23" t="str">
        <f t="shared" si="0"/>
        <v>*</v>
      </c>
      <c r="C23" s="19"/>
      <c r="D23" s="18"/>
      <c r="E23" s="979" t="str">
        <f>IF(Geometry!$G$123&gt;E22,1+E22,"")</f>
        <v/>
      </c>
      <c r="F23" s="856" t="str">
        <f>IF(E23="","",Geometry!I135-ColSpa1)</f>
        <v/>
      </c>
      <c r="G23" s="856" t="str">
        <f>IF(F23="","",ColSpa2-'Inv Tee'!F23)</f>
        <v/>
      </c>
      <c r="I23" s="19"/>
      <c r="J23" s="18"/>
      <c r="K23" s="979" t="str">
        <f>IF(Geometry!$G$151&gt;K22,K22+1,"")</f>
        <v/>
      </c>
      <c r="L23" s="856" t="str">
        <f>IF(K23="","",Geometry!I163-ColSpa1)</f>
        <v/>
      </c>
      <c r="M23" s="856" t="str">
        <f>IF(L23="","",ColSpa2-'Inv Tee'!L23)</f>
        <v/>
      </c>
      <c r="N23"/>
      <c r="O23"/>
      <c r="P23"/>
      <c r="Q23"/>
      <c r="R23"/>
      <c r="S23"/>
      <c r="T23"/>
      <c r="U23"/>
      <c r="V23"/>
      <c r="W23"/>
      <c r="X23"/>
      <c r="Y23"/>
      <c r="Z23"/>
      <c r="AA23"/>
      <c r="AB23"/>
      <c r="AC23"/>
      <c r="AD23"/>
      <c r="AE23"/>
      <c r="AF23"/>
      <c r="AG23"/>
      <c r="AH23"/>
      <c r="AI23"/>
      <c r="AJ23"/>
      <c r="AK23"/>
      <c r="AL23"/>
      <c r="AM23"/>
      <c r="AN23"/>
      <c r="AO23"/>
    </row>
    <row r="24" spans="1:41" ht="15" hidden="1" customHeight="1">
      <c r="A24" t="str">
        <f t="shared" si="0"/>
        <v>*</v>
      </c>
      <c r="C24" s="19"/>
      <c r="D24" s="18"/>
      <c r="E24" s="979" t="str">
        <f>IF(Geometry!$G$123&gt;E23,1+E23,"")</f>
        <v/>
      </c>
      <c r="F24" s="856" t="str">
        <f>IF(E24="","",Geometry!I136-ColSpa1)</f>
        <v/>
      </c>
      <c r="G24" s="856" t="str">
        <f>IF(F24="","",ColSpa2-'Inv Tee'!F24)</f>
        <v/>
      </c>
      <c r="I24" s="19"/>
      <c r="J24" s="18"/>
      <c r="K24" s="979" t="str">
        <f>IF(Geometry!$G$151&gt;K23,K23+1,"")</f>
        <v/>
      </c>
      <c r="L24" s="856" t="str">
        <f>IF(K24="","",Geometry!I164-ColSpa1)</f>
        <v/>
      </c>
      <c r="M24" s="856" t="str">
        <f>IF(L24="","",ColSpa2-'Inv Tee'!L24)</f>
        <v/>
      </c>
      <c r="N24"/>
      <c r="O24"/>
      <c r="P24"/>
      <c r="Q24"/>
      <c r="R24"/>
      <c r="S24"/>
      <c r="T24"/>
      <c r="U24"/>
      <c r="V24"/>
      <c r="W24"/>
      <c r="X24"/>
      <c r="Y24"/>
      <c r="Z24"/>
      <c r="AA24"/>
      <c r="AB24"/>
      <c r="AC24"/>
      <c r="AD24"/>
      <c r="AE24"/>
      <c r="AF24"/>
      <c r="AG24"/>
      <c r="AH24"/>
      <c r="AI24"/>
      <c r="AJ24"/>
      <c r="AK24"/>
      <c r="AL24"/>
      <c r="AM24"/>
      <c r="AN24"/>
      <c r="AO24"/>
    </row>
    <row r="25" spans="1:41" ht="15" hidden="1" customHeight="1">
      <c r="A25" t="str">
        <f t="shared" si="0"/>
        <v>*</v>
      </c>
      <c r="C25" s="19"/>
      <c r="D25" s="18"/>
      <c r="E25" s="979" t="str">
        <f>IF(Geometry!$G$123&gt;E24,1+E24,"")</f>
        <v/>
      </c>
      <c r="F25" s="856" t="str">
        <f>IF(E25="","",Geometry!I137-ColSpa1)</f>
        <v/>
      </c>
      <c r="G25" s="856" t="str">
        <f>IF(F25="","",ColSpa2-'Inv Tee'!F25)</f>
        <v/>
      </c>
      <c r="I25" s="19"/>
      <c r="J25" s="18"/>
      <c r="K25" s="979" t="str">
        <f>IF(Geometry!$G$151&gt;K24,K24+1,"")</f>
        <v/>
      </c>
      <c r="L25" s="856" t="str">
        <f>IF(K25="","",Geometry!I165-ColSpa1)</f>
        <v/>
      </c>
      <c r="M25" s="856" t="str">
        <f>IF(L25="","",ColSpa2-'Inv Tee'!L25)</f>
        <v/>
      </c>
      <c r="N25"/>
      <c r="O25"/>
      <c r="P25"/>
      <c r="Q25"/>
      <c r="R25"/>
      <c r="S25"/>
      <c r="T25"/>
      <c r="U25"/>
      <c r="V25"/>
      <c r="W25"/>
      <c r="X25"/>
      <c r="Y25"/>
      <c r="Z25"/>
      <c r="AA25"/>
      <c r="AB25"/>
      <c r="AC25"/>
      <c r="AD25"/>
      <c r="AE25"/>
      <c r="AF25"/>
      <c r="AG25"/>
      <c r="AH25"/>
      <c r="AI25"/>
      <c r="AJ25"/>
      <c r="AK25"/>
      <c r="AL25"/>
      <c r="AM25"/>
      <c r="AN25"/>
      <c r="AO25"/>
    </row>
    <row r="26" spans="1:41" ht="15" hidden="1" customHeight="1">
      <c r="A26" t="str">
        <f t="shared" si="0"/>
        <v>*</v>
      </c>
      <c r="C26" s="19"/>
      <c r="D26" s="18"/>
      <c r="E26" s="979" t="str">
        <f>IF(Geometry!$G$123&gt;E25,1+E25,"")</f>
        <v/>
      </c>
      <c r="F26" s="856" t="str">
        <f>IF(E26="","",Geometry!I138-ColSpa1)</f>
        <v/>
      </c>
      <c r="G26" s="856" t="str">
        <f>IF(F26="","",ColSpa2-'Inv Tee'!F26)</f>
        <v/>
      </c>
      <c r="I26" s="19"/>
      <c r="J26" s="18"/>
      <c r="K26" s="979" t="str">
        <f>IF(Geometry!$G$151&gt;K25,K25+1,"")</f>
        <v/>
      </c>
      <c r="L26" s="856" t="str">
        <f>IF(K26="","",Geometry!I166-ColSpa1)</f>
        <v/>
      </c>
      <c r="M26" s="856" t="str">
        <f>IF(L26="","",ColSpa2-'Inv Tee'!L26)</f>
        <v/>
      </c>
      <c r="N26"/>
      <c r="O26"/>
      <c r="P26"/>
      <c r="Q26"/>
      <c r="R26"/>
      <c r="S26"/>
      <c r="T26"/>
      <c r="U26"/>
      <c r="V26"/>
      <c r="W26"/>
      <c r="X26"/>
      <c r="Y26"/>
      <c r="Z26"/>
      <c r="AA26"/>
      <c r="AB26"/>
      <c r="AC26"/>
      <c r="AD26"/>
      <c r="AE26"/>
      <c r="AF26"/>
      <c r="AG26"/>
      <c r="AH26"/>
      <c r="AI26"/>
      <c r="AJ26"/>
      <c r="AK26"/>
      <c r="AL26"/>
      <c r="AM26"/>
      <c r="AN26"/>
      <c r="AO26"/>
    </row>
    <row r="27" spans="1:41" ht="15" hidden="1" customHeight="1">
      <c r="A27" t="str">
        <f t="shared" si="0"/>
        <v>*</v>
      </c>
      <c r="C27" s="19"/>
      <c r="D27" s="18"/>
      <c r="E27" s="979" t="str">
        <f>IF(Geometry!$G$123&gt;E26,1+E26,"")</f>
        <v/>
      </c>
      <c r="F27" s="856" t="str">
        <f>IF(E27="","",Geometry!I139-ColSpa1)</f>
        <v/>
      </c>
      <c r="G27" s="856" t="str">
        <f>IF(F27="","",ColSpa2-'Inv Tee'!F27)</f>
        <v/>
      </c>
      <c r="I27" s="19"/>
      <c r="J27" s="18"/>
      <c r="K27" s="979" t="str">
        <f>IF(Geometry!$G$151&gt;K26,K26+1,"")</f>
        <v/>
      </c>
      <c r="L27" s="856" t="str">
        <f>IF(K27="","",Geometry!I167-ColSpa1)</f>
        <v/>
      </c>
      <c r="M27" s="856" t="str">
        <f>IF(L27="","",ColSpa2-'Inv Tee'!L27)</f>
        <v/>
      </c>
      <c r="N27"/>
      <c r="O27"/>
      <c r="P27"/>
      <c r="Q27"/>
      <c r="R27"/>
      <c r="S27"/>
      <c r="T27"/>
      <c r="U27"/>
      <c r="V27"/>
      <c r="W27"/>
      <c r="X27"/>
      <c r="Y27"/>
      <c r="Z27"/>
      <c r="AA27"/>
      <c r="AB27"/>
      <c r="AC27"/>
      <c r="AD27"/>
      <c r="AE27"/>
      <c r="AF27"/>
      <c r="AG27"/>
      <c r="AH27"/>
      <c r="AI27"/>
      <c r="AJ27"/>
      <c r="AK27"/>
      <c r="AL27"/>
      <c r="AM27"/>
      <c r="AN27"/>
      <c r="AO27"/>
    </row>
    <row r="28" spans="1:41" ht="15" hidden="1" customHeight="1">
      <c r="A28" t="str">
        <f t="shared" si="0"/>
        <v>*</v>
      </c>
      <c r="C28" s="19"/>
      <c r="D28" s="18"/>
      <c r="E28" s="979" t="str">
        <f>IF(Geometry!$G$123&gt;E27,1+E27,"")</f>
        <v/>
      </c>
      <c r="F28" s="856" t="str">
        <f>IF(E28="","",Geometry!I140-ColSpa1)</f>
        <v/>
      </c>
      <c r="G28" s="856" t="str">
        <f>IF(F28="","",ColSpa2-'Inv Tee'!F28)</f>
        <v/>
      </c>
      <c r="I28" s="19"/>
      <c r="J28" s="18"/>
      <c r="K28" s="979" t="str">
        <f>IF(Geometry!$G$151&gt;K27,K27+1,"")</f>
        <v/>
      </c>
      <c r="L28" s="856" t="str">
        <f>IF(K28="","",Geometry!I168-ColSpa1)</f>
        <v/>
      </c>
      <c r="M28" s="856" t="str">
        <f>IF(L28="","",ColSpa2-'Inv Tee'!L28)</f>
        <v/>
      </c>
      <c r="N28"/>
      <c r="O28"/>
      <c r="P28"/>
      <c r="Q28"/>
      <c r="R28"/>
      <c r="S28"/>
      <c r="T28"/>
      <c r="U28"/>
      <c r="V28"/>
      <c r="W28"/>
      <c r="X28"/>
      <c r="Y28"/>
      <c r="Z28"/>
      <c r="AA28"/>
      <c r="AB28"/>
      <c r="AC28"/>
      <c r="AD28"/>
      <c r="AE28"/>
      <c r="AF28"/>
      <c r="AG28"/>
      <c r="AH28"/>
      <c r="AI28"/>
      <c r="AJ28"/>
      <c r="AK28"/>
      <c r="AL28"/>
      <c r="AM28"/>
      <c r="AN28"/>
      <c r="AO28"/>
    </row>
    <row r="29" spans="1:41" ht="15" hidden="1" customHeight="1">
      <c r="A29" t="str">
        <f t="shared" si="0"/>
        <v>*</v>
      </c>
      <c r="C29" s="19"/>
      <c r="D29" s="18"/>
      <c r="E29" s="979" t="str">
        <f>IF(Geometry!$G$123&gt;E28,1+E28,"")</f>
        <v/>
      </c>
      <c r="F29" s="856" t="str">
        <f>IF(E29="","",Geometry!I141-ColSpa1)</f>
        <v/>
      </c>
      <c r="G29" s="856" t="str">
        <f>IF(F29="","",ColSpa2-'Inv Tee'!F29)</f>
        <v/>
      </c>
      <c r="I29" s="19"/>
      <c r="J29" s="18"/>
      <c r="K29" s="979" t="str">
        <f>IF(Geometry!$G$151&gt;K28,K28+1,"")</f>
        <v/>
      </c>
      <c r="L29" s="856" t="str">
        <f>IF(K29="","",Geometry!I169-ColSpa1)</f>
        <v/>
      </c>
      <c r="M29" s="856" t="str">
        <f>IF(L29="","",ColSpa2-'Inv Tee'!L29)</f>
        <v/>
      </c>
      <c r="N29"/>
      <c r="O29"/>
      <c r="P29"/>
      <c r="Q29"/>
      <c r="R29"/>
      <c r="S29"/>
      <c r="T29"/>
      <c r="U29"/>
      <c r="V29"/>
      <c r="W29"/>
      <c r="X29"/>
      <c r="Y29"/>
      <c r="Z29"/>
      <c r="AA29"/>
      <c r="AB29"/>
      <c r="AC29"/>
      <c r="AD29"/>
      <c r="AE29"/>
      <c r="AF29"/>
      <c r="AG29"/>
      <c r="AH29"/>
      <c r="AI29"/>
      <c r="AJ29"/>
      <c r="AK29"/>
      <c r="AL29"/>
      <c r="AM29"/>
      <c r="AN29"/>
      <c r="AO29"/>
    </row>
    <row r="30" spans="1:41" ht="15" hidden="1" customHeight="1">
      <c r="A30" t="str">
        <f t="shared" si="0"/>
        <v>*</v>
      </c>
      <c r="C30" s="19"/>
      <c r="D30" s="18"/>
      <c r="E30" s="979" t="str">
        <f>IF(Geometry!$G$123&gt;E29,1+E29,"")</f>
        <v/>
      </c>
      <c r="F30" s="856" t="str">
        <f>IF(E30="","",Geometry!I142-ColSpa1)</f>
        <v/>
      </c>
      <c r="G30" s="856" t="str">
        <f>IF(F30="","",ColSpa2-'Inv Tee'!F30)</f>
        <v/>
      </c>
      <c r="I30" s="19"/>
      <c r="J30" s="18"/>
      <c r="K30" s="979" t="str">
        <f>IF(Geometry!$G$151&gt;K29,K29+1,"")</f>
        <v/>
      </c>
      <c r="L30" s="856" t="str">
        <f>IF(K30="","",Geometry!I170-ColSpa1)</f>
        <v/>
      </c>
      <c r="M30" s="856" t="str">
        <f>IF(L30="","",ColSpa2-'Inv Tee'!L30)</f>
        <v/>
      </c>
      <c r="N30"/>
      <c r="O30"/>
      <c r="P30"/>
      <c r="Q30"/>
      <c r="R30"/>
      <c r="S30"/>
      <c r="T30"/>
      <c r="U30"/>
      <c r="V30"/>
      <c r="W30"/>
      <c r="X30"/>
      <c r="Y30"/>
      <c r="Z30"/>
      <c r="AA30"/>
      <c r="AB30"/>
      <c r="AC30"/>
      <c r="AD30"/>
      <c r="AE30"/>
      <c r="AF30"/>
      <c r="AG30"/>
      <c r="AH30"/>
      <c r="AI30"/>
      <c r="AJ30"/>
      <c r="AK30"/>
      <c r="AL30"/>
      <c r="AM30"/>
      <c r="AN30"/>
      <c r="AO30"/>
    </row>
    <row r="31" spans="1:41" ht="15" hidden="1" customHeight="1">
      <c r="A31" t="str">
        <f t="shared" si="0"/>
        <v>*</v>
      </c>
      <c r="C31" s="19"/>
      <c r="D31" s="18"/>
      <c r="E31" s="979" t="str">
        <f>IF(Geometry!$G$123&gt;E30,1+E30,"")</f>
        <v/>
      </c>
      <c r="F31" s="856" t="str">
        <f>IF(E31="","",Geometry!I143-ColSpa1)</f>
        <v/>
      </c>
      <c r="G31" s="856" t="str">
        <f>IF(F31="","",ColSpa2-'Inv Tee'!F31)</f>
        <v/>
      </c>
      <c r="I31" s="19"/>
      <c r="J31" s="18"/>
      <c r="K31" s="979" t="str">
        <f>IF(Geometry!$G$151&gt;K30,K30+1,"")</f>
        <v/>
      </c>
      <c r="L31" s="856" t="str">
        <f>IF(K31="","",Geometry!I171-ColSpa1)</f>
        <v/>
      </c>
      <c r="M31" s="856" t="str">
        <f>IF(L31="","",ColSpa2-'Inv Tee'!L31)</f>
        <v/>
      </c>
      <c r="N31"/>
      <c r="O31"/>
      <c r="P31"/>
      <c r="Q31"/>
      <c r="R31"/>
      <c r="S31"/>
      <c r="T31"/>
      <c r="U31"/>
      <c r="V31"/>
      <c r="W31"/>
      <c r="X31"/>
      <c r="Y31"/>
      <c r="Z31"/>
      <c r="AA31"/>
      <c r="AB31"/>
      <c r="AC31"/>
      <c r="AD31"/>
      <c r="AE31"/>
      <c r="AF31"/>
      <c r="AG31"/>
      <c r="AH31"/>
      <c r="AI31"/>
      <c r="AJ31"/>
      <c r="AK31"/>
      <c r="AL31"/>
      <c r="AM31"/>
      <c r="AN31"/>
      <c r="AO31"/>
    </row>
    <row r="32" spans="1:41" ht="15" hidden="1" customHeight="1">
      <c r="A32" t="str">
        <f t="shared" si="0"/>
        <v>*</v>
      </c>
      <c r="C32" s="19"/>
      <c r="D32" s="18"/>
      <c r="E32" s="979" t="str">
        <f>IF(Geometry!$G$123&gt;E31,1+E31,"")</f>
        <v/>
      </c>
      <c r="F32" s="856" t="str">
        <f>IF(E32="","",Geometry!I144-ColSpa1)</f>
        <v/>
      </c>
      <c r="G32" s="856" t="str">
        <f>IF(F32="","",ColSpa2-'Inv Tee'!F32)</f>
        <v/>
      </c>
      <c r="I32" s="19"/>
      <c r="J32" s="18"/>
      <c r="K32" s="979" t="str">
        <f>IF(Geometry!$G$151&gt;K31,K31+1,"")</f>
        <v/>
      </c>
      <c r="L32" s="856" t="str">
        <f>IF(K32="","",Geometry!I172-ColSpa1)</f>
        <v/>
      </c>
      <c r="M32" s="856" t="str">
        <f>IF(L32="","",ColSpa2-'Inv Tee'!L32)</f>
        <v/>
      </c>
      <c r="N32"/>
      <c r="O32"/>
      <c r="P32"/>
      <c r="Q32"/>
      <c r="R32"/>
      <c r="S32"/>
      <c r="T32"/>
      <c r="U32"/>
      <c r="V32"/>
      <c r="W32"/>
      <c r="X32"/>
      <c r="Y32"/>
      <c r="Z32"/>
      <c r="AA32"/>
      <c r="AB32"/>
      <c r="AC32"/>
      <c r="AD32"/>
      <c r="AE32"/>
      <c r="AF32"/>
      <c r="AG32"/>
      <c r="AH32"/>
      <c r="AI32"/>
      <c r="AJ32"/>
      <c r="AK32"/>
      <c r="AL32"/>
      <c r="AM32"/>
      <c r="AN32"/>
      <c r="AO32"/>
    </row>
    <row r="33" spans="1:41" ht="15" hidden="1" customHeight="1">
      <c r="A33" t="str">
        <f t="shared" si="0"/>
        <v>*</v>
      </c>
      <c r="C33" s="19"/>
      <c r="D33" s="18"/>
      <c r="E33" s="979" t="str">
        <f>IF(Geometry!$G$123&gt;E32,1+E32,"")</f>
        <v/>
      </c>
      <c r="F33" s="856" t="str">
        <f>IF(E33="","",Geometry!I145-ColSpa1)</f>
        <v/>
      </c>
      <c r="G33" s="856" t="str">
        <f>IF(F33="","",ColSpa2-'Inv Tee'!F33)</f>
        <v/>
      </c>
      <c r="I33" s="19"/>
      <c r="J33" s="18"/>
      <c r="K33" s="979" t="str">
        <f>IF(Geometry!$G$151&gt;K32,K32+1,"")</f>
        <v/>
      </c>
      <c r="L33" s="856" t="str">
        <f>IF(K33="","",Geometry!I173-ColSpa1)</f>
        <v/>
      </c>
      <c r="M33" s="856" t="str">
        <f>IF(L33="","",ColSpa2-'Inv Tee'!L33)</f>
        <v/>
      </c>
      <c r="N33"/>
      <c r="O33"/>
      <c r="P33"/>
      <c r="Q33"/>
      <c r="R33"/>
      <c r="S33"/>
      <c r="T33"/>
      <c r="U33"/>
      <c r="V33"/>
      <c r="W33"/>
      <c r="X33"/>
      <c r="Y33"/>
      <c r="Z33"/>
      <c r="AA33"/>
      <c r="AB33"/>
      <c r="AC33"/>
      <c r="AD33"/>
      <c r="AE33"/>
      <c r="AF33"/>
      <c r="AG33"/>
      <c r="AH33"/>
      <c r="AI33"/>
      <c r="AJ33"/>
      <c r="AK33"/>
      <c r="AL33"/>
      <c r="AM33"/>
      <c r="AN33"/>
      <c r="AO33"/>
    </row>
    <row r="34" spans="1:41" ht="15" hidden="1" customHeight="1">
      <c r="A34" t="str">
        <f t="shared" si="0"/>
        <v>*</v>
      </c>
      <c r="C34" s="19"/>
      <c r="D34" s="18"/>
      <c r="E34" s="979" t="str">
        <f>IF(Geometry!$G$123&gt;E33,1+E33,"")</f>
        <v/>
      </c>
      <c r="F34" s="856" t="str">
        <f>IF(E34="","",Geometry!I146-ColSpa1)</f>
        <v/>
      </c>
      <c r="G34" s="856" t="str">
        <f>IF(F34="","",ColSpa2-'Inv Tee'!F34)</f>
        <v/>
      </c>
      <c r="I34" s="19"/>
      <c r="J34" s="18"/>
      <c r="K34" s="979" t="str">
        <f>IF(Geometry!$G$151&gt;K33,K33+1,"")</f>
        <v/>
      </c>
      <c r="L34" s="856" t="str">
        <f>IF(K34="","",Geometry!I174-ColSpa1)</f>
        <v/>
      </c>
      <c r="M34" s="856" t="str">
        <f>IF(L34="","",ColSpa2-'Inv Tee'!L34)</f>
        <v/>
      </c>
      <c r="N34"/>
      <c r="O34"/>
      <c r="P34"/>
      <c r="Q34"/>
      <c r="R34"/>
      <c r="S34"/>
      <c r="T34"/>
      <c r="U34"/>
      <c r="V34"/>
      <c r="W34"/>
      <c r="X34"/>
      <c r="Y34"/>
      <c r="Z34"/>
      <c r="AA34"/>
      <c r="AB34"/>
      <c r="AC34"/>
      <c r="AD34"/>
      <c r="AE34"/>
      <c r="AF34"/>
      <c r="AG34"/>
      <c r="AH34"/>
      <c r="AI34"/>
      <c r="AJ34"/>
      <c r="AK34"/>
      <c r="AL34"/>
      <c r="AM34"/>
      <c r="AN34"/>
      <c r="AO34"/>
    </row>
    <row r="35" spans="1:41" ht="15" hidden="1" customHeight="1">
      <c r="A35" t="str">
        <f t="shared" si="0"/>
        <v>*</v>
      </c>
      <c r="C35" s="926"/>
      <c r="D35" s="32"/>
      <c r="E35" s="982" t="str">
        <f>IF(Geometry!$G$123&gt;E34,1+E34,"")</f>
        <v/>
      </c>
      <c r="F35" s="941" t="str">
        <f>IF(E35="","",Geometry!I147-ColSpa1)</f>
        <v/>
      </c>
      <c r="G35" s="941" t="str">
        <f>IF(F35="","",ColSpa2-'Inv Tee'!F35)</f>
        <v/>
      </c>
      <c r="I35" s="926"/>
      <c r="J35" s="32"/>
      <c r="K35" s="979" t="str">
        <f>IF(Geometry!$G$151&gt;K34,K34+1,"")</f>
        <v/>
      </c>
      <c r="L35" s="941" t="str">
        <f>IF(K35="","",Geometry!I175-ColSpa1)</f>
        <v/>
      </c>
      <c r="M35" s="941" t="str">
        <f>IF(L35="","",ColSpa2-'Inv Tee'!L35)</f>
        <v/>
      </c>
      <c r="N35"/>
      <c r="O35"/>
      <c r="P35"/>
      <c r="Q35"/>
      <c r="R35"/>
      <c r="S35"/>
      <c r="T35"/>
      <c r="U35"/>
      <c r="V35"/>
      <c r="W35"/>
      <c r="X35"/>
      <c r="Y35"/>
      <c r="Z35"/>
      <c r="AA35"/>
      <c r="AB35"/>
      <c r="AC35"/>
      <c r="AD35"/>
      <c r="AE35"/>
      <c r="AF35"/>
      <c r="AG35"/>
      <c r="AH35"/>
      <c r="AI35"/>
      <c r="AJ35"/>
      <c r="AK35"/>
      <c r="AL35"/>
      <c r="AM35"/>
      <c r="AN35"/>
      <c r="AO35"/>
    </row>
    <row r="36" spans="1:41" ht="15" customHeight="1">
      <c r="A36" t="s">
        <v>477</v>
      </c>
      <c r="B36" s="16"/>
      <c r="C36" s="854"/>
      <c r="D36" s="854"/>
      <c r="E36" s="931"/>
      <c r="F36" s="967"/>
      <c r="G36" s="854"/>
      <c r="H36" s="862"/>
      <c r="I36" s="967"/>
      <c r="J36" s="854"/>
      <c r="K36" s="931"/>
      <c r="L36" s="892"/>
      <c r="M36" s="892"/>
      <c r="N36"/>
      <c r="O36"/>
      <c r="P36"/>
      <c r="Q36"/>
      <c r="R36"/>
      <c r="S36"/>
      <c r="T36"/>
      <c r="U36"/>
      <c r="V36"/>
      <c r="W36"/>
      <c r="X36"/>
      <c r="Y36"/>
      <c r="Z36"/>
      <c r="AA36"/>
      <c r="AB36"/>
      <c r="AC36"/>
      <c r="AD36"/>
      <c r="AE36"/>
      <c r="AF36"/>
      <c r="AG36"/>
      <c r="AH36"/>
      <c r="AI36"/>
      <c r="AJ36"/>
      <c r="AK36"/>
      <c r="AL36"/>
      <c r="AM36"/>
      <c r="AN36"/>
      <c r="AO36"/>
    </row>
    <row r="37" spans="1:41" ht="15" customHeight="1" thickBot="1">
      <c r="B37" s="16"/>
      <c r="C37" s="1644" t="s">
        <v>883</v>
      </c>
      <c r="D37" s="1644"/>
      <c r="E37" s="1644"/>
      <c r="F37" s="1644"/>
      <c r="G37" s="1644"/>
      <c r="H37" s="1644"/>
      <c r="I37" s="1644"/>
      <c r="J37" s="1644"/>
      <c r="K37" s="1644"/>
      <c r="L37" s="1644"/>
      <c r="M37" s="1644"/>
      <c r="N37"/>
      <c r="O37"/>
      <c r="P37"/>
      <c r="Q37"/>
      <c r="R37"/>
      <c r="S37"/>
      <c r="T37"/>
      <c r="U37"/>
      <c r="V37"/>
      <c r="W37"/>
      <c r="X37"/>
      <c r="Y37"/>
      <c r="Z37"/>
      <c r="AA37"/>
      <c r="AB37"/>
      <c r="AC37"/>
      <c r="AD37"/>
      <c r="AE37"/>
      <c r="AF37"/>
      <c r="AG37"/>
      <c r="AH37"/>
      <c r="AI37"/>
      <c r="AJ37"/>
      <c r="AK37"/>
      <c r="AL37"/>
      <c r="AM37"/>
      <c r="AN37"/>
      <c r="AO37"/>
    </row>
    <row r="38" spans="1:41" ht="6" customHeight="1">
      <c r="B38" s="16"/>
      <c r="C38" s="863"/>
      <c r="D38" s="18"/>
      <c r="E38" s="40"/>
      <c r="F38" s="862"/>
      <c r="H38" s="862"/>
      <c r="I38" s="862"/>
      <c r="K38" s="16"/>
      <c r="L38" s="858"/>
      <c r="M38" s="858"/>
      <c r="N38"/>
      <c r="O38"/>
      <c r="P38"/>
      <c r="Q38"/>
      <c r="R38"/>
      <c r="S38"/>
      <c r="T38"/>
      <c r="U38"/>
      <c r="V38"/>
      <c r="W38"/>
      <c r="X38"/>
      <c r="Y38"/>
      <c r="Z38"/>
      <c r="AA38"/>
      <c r="AB38"/>
      <c r="AC38"/>
      <c r="AD38"/>
      <c r="AE38"/>
      <c r="AF38"/>
      <c r="AG38"/>
      <c r="AH38"/>
      <c r="AI38"/>
      <c r="AJ38"/>
      <c r="AK38"/>
      <c r="AL38"/>
      <c r="AM38"/>
      <c r="AN38"/>
      <c r="AO38"/>
    </row>
    <row r="39" spans="1:41" ht="15" customHeight="1">
      <c r="B39" s="16"/>
      <c r="C39" s="44" t="s">
        <v>1012</v>
      </c>
      <c r="I39" s="44" t="s">
        <v>1009</v>
      </c>
      <c r="K39" s="16"/>
      <c r="L39" s="858"/>
      <c r="M39" s="858"/>
      <c r="N39"/>
      <c r="T39" s="44" t="s">
        <v>469</v>
      </c>
      <c r="U39"/>
      <c r="V39" s="17">
        <f>BkBms</f>
        <v>4</v>
      </c>
      <c r="W39"/>
      <c r="X39" s="17">
        <f>FdBms</f>
        <v>4</v>
      </c>
      <c r="Y39"/>
      <c r="Z39"/>
      <c r="AA39"/>
      <c r="AB39"/>
      <c r="AC39"/>
      <c r="AD39"/>
      <c r="AE39"/>
      <c r="AF39"/>
      <c r="AG39"/>
      <c r="AH39"/>
      <c r="AI39"/>
      <c r="AJ39"/>
      <c r="AK39"/>
      <c r="AL39"/>
      <c r="AM39"/>
      <c r="AN39"/>
      <c r="AO39"/>
    </row>
    <row r="40" spans="1:41" ht="3.75" customHeight="1">
      <c r="B40" s="16"/>
      <c r="C40" s="44"/>
      <c r="I40" s="44"/>
      <c r="K40" s="16"/>
      <c r="L40" s="858"/>
      <c r="M40" s="858"/>
      <c r="N40"/>
      <c r="T40"/>
      <c r="U40"/>
      <c r="V40"/>
      <c r="W40"/>
      <c r="X40"/>
      <c r="Y40"/>
      <c r="Z40"/>
      <c r="AA40"/>
      <c r="AB40"/>
      <c r="AC40"/>
      <c r="AD40"/>
      <c r="AE40"/>
      <c r="AF40"/>
      <c r="AG40"/>
      <c r="AH40"/>
      <c r="AI40"/>
      <c r="AJ40"/>
      <c r="AK40"/>
      <c r="AL40"/>
      <c r="AM40"/>
      <c r="AN40"/>
      <c r="AO40"/>
    </row>
    <row r="41" spans="1:41" ht="15" customHeight="1">
      <c r="B41" s="16"/>
      <c r="C41" s="940"/>
      <c r="D41" s="916" t="s">
        <v>721</v>
      </c>
      <c r="E41" s="242" t="s">
        <v>890</v>
      </c>
      <c r="F41" s="1633" t="s">
        <v>550</v>
      </c>
      <c r="G41" s="1634"/>
      <c r="I41" s="940"/>
      <c r="J41" s="916" t="s">
        <v>721</v>
      </c>
      <c r="K41" s="242" t="s">
        <v>890</v>
      </c>
      <c r="L41" s="1633" t="s">
        <v>550</v>
      </c>
      <c r="M41" s="1634"/>
      <c r="N41"/>
      <c r="O41" s="396" t="s">
        <v>471</v>
      </c>
      <c r="T41" s="994"/>
      <c r="U41" s="17" t="s">
        <v>569</v>
      </c>
      <c r="V41" s="997" t="s">
        <v>570</v>
      </c>
      <c r="W41" s="17" t="s">
        <v>571</v>
      </c>
      <c r="X41" s="339" t="s">
        <v>572</v>
      </c>
      <c r="Y41"/>
      <c r="Z41"/>
      <c r="AA41"/>
      <c r="AB41"/>
      <c r="AC41"/>
      <c r="AD41"/>
      <c r="AE41"/>
      <c r="AF41"/>
      <c r="AG41"/>
      <c r="AH41"/>
      <c r="AI41"/>
      <c r="AJ41"/>
      <c r="AK41"/>
      <c r="AL41"/>
      <c r="AM41"/>
      <c r="AN41"/>
      <c r="AO41"/>
    </row>
    <row r="42" spans="1:41" ht="15" customHeight="1">
      <c r="A42" t="str">
        <f>IF(AND(C42="",I42=""),"*","")</f>
        <v/>
      </c>
      <c r="B42" s="894">
        <v>1</v>
      </c>
      <c r="C42" s="963" t="s">
        <v>1080</v>
      </c>
      <c r="D42" s="857">
        <f>'Conc DL'!D24</f>
        <v>110.82062499999999</v>
      </c>
      <c r="E42" s="857">
        <f>'Conc DL'!D26</f>
        <v>1.875</v>
      </c>
      <c r="F42" s="1624">
        <f>D42+E42</f>
        <v>112.69562499999999</v>
      </c>
      <c r="G42" s="1625"/>
      <c r="H42" s="894">
        <v>1</v>
      </c>
      <c r="I42" s="963" t="s">
        <v>1080</v>
      </c>
      <c r="J42" s="857">
        <f>'Conc DL'!D74</f>
        <v>133.02875</v>
      </c>
      <c r="K42" s="857">
        <f>'Conc DL'!D76</f>
        <v>2.25</v>
      </c>
      <c r="L42" s="1624">
        <f>SUM(J42:K42)</f>
        <v>135.27875</v>
      </c>
      <c r="M42" s="1625"/>
      <c r="N42"/>
      <c r="O42" s="235" t="s">
        <v>569</v>
      </c>
      <c r="P42" s="1000" t="s">
        <v>570</v>
      </c>
      <c r="Q42" s="287" t="s">
        <v>571</v>
      </c>
      <c r="R42" s="1000" t="s">
        <v>572</v>
      </c>
      <c r="T42" s="995" t="s">
        <v>470</v>
      </c>
      <c r="U42" s="892">
        <f>MAX(D42,VLOOKUP("beam "&amp;$V$39,$C$42:$E$61,2,FALSE))</f>
        <v>122.77062500000001</v>
      </c>
      <c r="V42" s="996">
        <f>MAX(E42,VLOOKUP("beam "&amp;$V$39,$C$42:$E$61,3,FALSE))</f>
        <v>1.875</v>
      </c>
      <c r="W42" s="892">
        <f>MAX(J42,VLOOKUP("beam "&amp;$X$39,$I$42:$K$61,2,FALSE))</f>
        <v>143.78375</v>
      </c>
      <c r="X42" s="892">
        <f>MAX(K42,VLOOKUP("beam "&amp;$X$39,$I$42:$K$61,3,FALSE))</f>
        <v>2.25</v>
      </c>
      <c r="Y42"/>
      <c r="Z42"/>
      <c r="AA42"/>
      <c r="AB42"/>
      <c r="AC42"/>
      <c r="AD42"/>
      <c r="AE42"/>
      <c r="AF42"/>
      <c r="AG42"/>
      <c r="AH42"/>
      <c r="AI42"/>
      <c r="AJ42"/>
      <c r="AK42"/>
      <c r="AL42"/>
      <c r="AM42"/>
      <c r="AN42"/>
      <c r="AO42"/>
    </row>
    <row r="43" spans="1:41" ht="15" customHeight="1">
      <c r="A43" t="str">
        <f t="shared" ref="A43:A61" si="1">IF(AND(C43="",I43=""),"*","")</f>
        <v/>
      </c>
      <c r="B43" s="894">
        <f>B42+1</f>
        <v>2</v>
      </c>
      <c r="C43" s="963" t="str">
        <f>IF(E17="","","Beam 2")</f>
        <v>Beam 2</v>
      </c>
      <c r="D43" s="857">
        <f>IF(C43="","",IF(Geometry!$G$123=B43,'Conc DL'!$D$25,'Conc DL'!K32))</f>
        <v>146.9425</v>
      </c>
      <c r="E43" s="857">
        <f>IF(C43="","",IF(Geometry!$G$123=B43,'Conc DL'!$D$27,'Conc DL'!L32))</f>
        <v>1.875</v>
      </c>
      <c r="F43" s="1624">
        <f>IF(C43="","",D43+E43)</f>
        <v>148.8175</v>
      </c>
      <c r="G43" s="1625"/>
      <c r="H43" s="894">
        <f>H42+1</f>
        <v>2</v>
      </c>
      <c r="I43" s="963" t="str">
        <f>IF(K17="","","Beam 2")</f>
        <v>Beam 2</v>
      </c>
      <c r="J43" s="857">
        <f>IF(I43="","",IF(Geometry!$G$151=B43,'Conc DL'!$D$75,'Conc DL'!K83))</f>
        <v>172.79</v>
      </c>
      <c r="K43" s="857">
        <f>IF(I43="","",IF(Geometry!$G$151=B43,'Conc DL'!$D$77,'Conc DL'!L83))</f>
        <v>2.25</v>
      </c>
      <c r="L43" s="1624">
        <f>IF(I43="","",SUM(J43:K43))</f>
        <v>175.04</v>
      </c>
      <c r="M43" s="1625"/>
      <c r="N43"/>
      <c r="O43" s="269">
        <f>IF(B43&lt;$V$39,D43,0)</f>
        <v>146.9425</v>
      </c>
      <c r="P43" s="998">
        <f>IF(B43&lt;$V$39,E43,0)</f>
        <v>1.875</v>
      </c>
      <c r="Q43" s="999">
        <f>IF(H43&lt;$X$39,J43,0)</f>
        <v>172.79</v>
      </c>
      <c r="R43" s="998">
        <f>IF(H43&lt;$X$39,K43,0)</f>
        <v>2.25</v>
      </c>
      <c r="T43" s="20" t="s">
        <v>471</v>
      </c>
      <c r="U43" s="961">
        <f>MAX(O43:O61)</f>
        <v>146.9425</v>
      </c>
      <c r="V43" s="987">
        <f>MAX(P43:P61)</f>
        <v>1.875</v>
      </c>
      <c r="W43" s="961">
        <f>MAX(Q43:Q61)</f>
        <v>172.79</v>
      </c>
      <c r="X43" s="961">
        <f>MAX(R43:R61)</f>
        <v>2.25</v>
      </c>
      <c r="Y43"/>
      <c r="Z43"/>
      <c r="AA43"/>
      <c r="AB43"/>
      <c r="AC43"/>
      <c r="AD43"/>
      <c r="AE43"/>
      <c r="AF43"/>
      <c r="AG43"/>
      <c r="AH43"/>
      <c r="AI43"/>
      <c r="AJ43"/>
      <c r="AK43"/>
      <c r="AL43"/>
      <c r="AM43"/>
      <c r="AN43"/>
      <c r="AO43"/>
    </row>
    <row r="44" spans="1:41" ht="15" customHeight="1">
      <c r="A44" t="str">
        <f t="shared" si="1"/>
        <v/>
      </c>
      <c r="B44" s="894">
        <f t="shared" ref="B44:B61" si="2">B43+1</f>
        <v>3</v>
      </c>
      <c r="C44" s="963" t="str">
        <f>IF(E18="","","Beam 3")</f>
        <v>Beam 3</v>
      </c>
      <c r="D44" s="857">
        <f>IF(C44="","",IF(Geometry!$G$123=B44,'Conc DL'!$D$25,'Conc DL'!K33))</f>
        <v>146.9425</v>
      </c>
      <c r="E44" s="857">
        <f>IF(C44="","",IF(Geometry!$G$123=B44,'Conc DL'!$D$27,'Conc DL'!L33))</f>
        <v>1.875</v>
      </c>
      <c r="F44" s="1624">
        <f t="shared" ref="F44:F61" si="3">IF(C44="","",D44+E44)</f>
        <v>148.8175</v>
      </c>
      <c r="G44" s="1625"/>
      <c r="H44" s="894">
        <f t="shared" ref="H44:H61" si="4">H43+1</f>
        <v>3</v>
      </c>
      <c r="I44" s="963" t="str">
        <f>IF(K18="","","Beam 3")</f>
        <v>Beam 3</v>
      </c>
      <c r="J44" s="857">
        <f>IF(I44="","",IF(Geometry!$G$151=B44,'Conc DL'!$D$75,'Conc DL'!K84))</f>
        <v>172.79</v>
      </c>
      <c r="K44" s="857">
        <f>IF(I44="","",IF(Geometry!$G$151=B44,'Conc DL'!$D$77,'Conc DL'!L84))</f>
        <v>2.25</v>
      </c>
      <c r="L44" s="1624">
        <f t="shared" ref="L44:L61" si="5">IF(I44="","",SUM(J44:K44))</f>
        <v>175.04</v>
      </c>
      <c r="M44" s="1625"/>
      <c r="N44"/>
      <c r="O44" s="269">
        <f t="shared" ref="O44:O61" si="6">IF(B44&lt;$V$39,D44,0)</f>
        <v>146.9425</v>
      </c>
      <c r="P44" s="998">
        <f t="shared" ref="P44:P61" si="7">IF(B44&lt;$V$39,E44,0)</f>
        <v>1.875</v>
      </c>
      <c r="Q44" s="999">
        <f t="shared" ref="Q44:Q61" si="8">IF(H44&lt;$X$39,J44,0)</f>
        <v>172.79</v>
      </c>
      <c r="R44" s="998">
        <f t="shared" ref="R44:R61" si="9">IF(H44&lt;$X$39,K44,0)</f>
        <v>2.25</v>
      </c>
      <c r="T44"/>
      <c r="U44"/>
      <c r="V44"/>
      <c r="W44"/>
      <c r="X44"/>
      <c r="Y44"/>
      <c r="Z44"/>
      <c r="AA44"/>
      <c r="AB44"/>
      <c r="AC44"/>
      <c r="AD44"/>
      <c r="AE44"/>
      <c r="AF44"/>
      <c r="AG44"/>
      <c r="AH44"/>
      <c r="AI44"/>
      <c r="AJ44"/>
      <c r="AK44"/>
      <c r="AL44"/>
      <c r="AM44"/>
      <c r="AN44"/>
      <c r="AO44"/>
    </row>
    <row r="45" spans="1:41" ht="15" customHeight="1">
      <c r="A45" t="str">
        <f t="shared" si="1"/>
        <v/>
      </c>
      <c r="B45" s="894">
        <f t="shared" si="2"/>
        <v>4</v>
      </c>
      <c r="C45" s="963" t="str">
        <f>IF(E19="","","Beam 4")</f>
        <v>Beam 4</v>
      </c>
      <c r="D45" s="857">
        <f>IF(C45="","",IF(Geometry!$G$123=B45,'Conc DL'!$D$25,'Conc DL'!K34))</f>
        <v>122.77062500000001</v>
      </c>
      <c r="E45" s="857">
        <f>IF(C45="","",IF(Geometry!$G$123=B45,'Conc DL'!$D$27,'Conc DL'!L34))</f>
        <v>1.875</v>
      </c>
      <c r="F45" s="1624">
        <f t="shared" si="3"/>
        <v>124.64562500000001</v>
      </c>
      <c r="G45" s="1625"/>
      <c r="H45" s="894">
        <f t="shared" si="4"/>
        <v>4</v>
      </c>
      <c r="I45" s="963" t="str">
        <f>IF(K19="","","Beam 4")</f>
        <v>Beam 4</v>
      </c>
      <c r="J45" s="857">
        <f>IF(I45="","",IF(Geometry!$G$151=B45,'Conc DL'!$D$75,'Conc DL'!K85))</f>
        <v>143.78375</v>
      </c>
      <c r="K45" s="857">
        <f>IF(I45="","",IF(Geometry!$G$151=B45,'Conc DL'!$D$77,'Conc DL'!L85))</f>
        <v>2.25</v>
      </c>
      <c r="L45" s="1624">
        <f t="shared" si="5"/>
        <v>146.03375</v>
      </c>
      <c r="M45" s="1625"/>
      <c r="N45"/>
      <c r="O45" s="269">
        <f t="shared" si="6"/>
        <v>0</v>
      </c>
      <c r="P45" s="998">
        <f t="shared" si="7"/>
        <v>0</v>
      </c>
      <c r="Q45" s="999">
        <f t="shared" si="8"/>
        <v>0</v>
      </c>
      <c r="R45" s="998">
        <f t="shared" si="9"/>
        <v>0</v>
      </c>
      <c r="S45"/>
      <c r="T45"/>
      <c r="U45"/>
      <c r="V45"/>
      <c r="W45"/>
      <c r="X45"/>
      <c r="Y45"/>
      <c r="Z45"/>
      <c r="AA45"/>
      <c r="AB45"/>
      <c r="AC45"/>
      <c r="AD45"/>
      <c r="AE45"/>
      <c r="AF45"/>
      <c r="AG45"/>
      <c r="AH45"/>
      <c r="AI45"/>
      <c r="AJ45"/>
      <c r="AK45"/>
      <c r="AL45"/>
      <c r="AM45"/>
      <c r="AN45"/>
      <c r="AO45"/>
    </row>
    <row r="46" spans="1:41" ht="15" customHeight="1">
      <c r="A46" t="str">
        <f t="shared" si="1"/>
        <v>*</v>
      </c>
      <c r="B46" s="894">
        <f t="shared" si="2"/>
        <v>5</v>
      </c>
      <c r="C46" s="963" t="str">
        <f>IF(E20="","","Beam 5")</f>
        <v/>
      </c>
      <c r="D46" s="857" t="str">
        <f>IF(C46="","",IF(Geometry!$G$123=B46,'Conc DL'!$D$25,'Conc DL'!K35))</f>
        <v/>
      </c>
      <c r="E46" s="857" t="str">
        <f>IF(C46="","",IF(Geometry!$G$123=B46,'Conc DL'!$D$27,'Conc DL'!L35))</f>
        <v/>
      </c>
      <c r="F46" s="1624" t="str">
        <f t="shared" si="3"/>
        <v/>
      </c>
      <c r="G46" s="1625"/>
      <c r="H46" s="983">
        <f t="shared" si="4"/>
        <v>5</v>
      </c>
      <c r="I46" s="965" t="str">
        <f>IF(K20="","","Beam 5")</f>
        <v/>
      </c>
      <c r="J46" s="857" t="str">
        <f>IF(I46="","",IF(Geometry!$G$151=B46,'Conc DL'!$D$75,'Conc DL'!K86))</f>
        <v/>
      </c>
      <c r="K46" s="857" t="str">
        <f>IF(I46="","",IF(Geometry!$G$151=B46,'Conc DL'!$D$77,'Conc DL'!L86))</f>
        <v/>
      </c>
      <c r="L46" s="1624" t="str">
        <f t="shared" si="5"/>
        <v/>
      </c>
      <c r="M46" s="1625"/>
      <c r="N46"/>
      <c r="O46" s="269">
        <f t="shared" si="6"/>
        <v>0</v>
      </c>
      <c r="P46" s="998">
        <f t="shared" si="7"/>
        <v>0</v>
      </c>
      <c r="Q46" s="999">
        <f t="shared" si="8"/>
        <v>0</v>
      </c>
      <c r="R46" s="998">
        <f t="shared" si="9"/>
        <v>0</v>
      </c>
      <c r="S46"/>
      <c r="T46"/>
      <c r="U46"/>
      <c r="V46"/>
      <c r="W46"/>
      <c r="X46"/>
      <c r="Y46"/>
      <c r="Z46"/>
      <c r="AA46"/>
      <c r="AB46"/>
      <c r="AC46"/>
      <c r="AD46"/>
      <c r="AE46"/>
      <c r="AF46"/>
      <c r="AG46"/>
      <c r="AH46"/>
      <c r="AI46"/>
      <c r="AJ46"/>
      <c r="AK46"/>
      <c r="AL46"/>
      <c r="AM46"/>
      <c r="AN46"/>
      <c r="AO46"/>
    </row>
    <row r="47" spans="1:41" ht="15" customHeight="1">
      <c r="A47" t="str">
        <f t="shared" si="1"/>
        <v>*</v>
      </c>
      <c r="B47" s="894">
        <f t="shared" si="2"/>
        <v>6</v>
      </c>
      <c r="C47" s="963" t="str">
        <f>IF(E21="","","Beam 6")</f>
        <v/>
      </c>
      <c r="D47" s="857" t="str">
        <f>IF(C47="","",IF(Geometry!$G$123=B47,'Conc DL'!$D$25,'Conc DL'!K36))</f>
        <v/>
      </c>
      <c r="E47" s="857" t="str">
        <f>IF(C47="","",IF(Geometry!$G$123=B47,'Conc DL'!$D$27,'Conc DL'!L36))</f>
        <v/>
      </c>
      <c r="F47" s="1624" t="str">
        <f t="shared" si="3"/>
        <v/>
      </c>
      <c r="G47" s="1625"/>
      <c r="H47" s="894">
        <f t="shared" si="4"/>
        <v>6</v>
      </c>
      <c r="I47" s="965" t="str">
        <f>IF(K21="","","Beam 6")</f>
        <v/>
      </c>
      <c r="J47" s="857" t="str">
        <f>IF(I47="","",IF(Geometry!$G$151=B47,'Conc DL'!$D$75,'Conc DL'!K87))</f>
        <v/>
      </c>
      <c r="K47" s="857" t="str">
        <f>IF(I47="","",IF(Geometry!$G$151=B47,'Conc DL'!$D$77,'Conc DL'!L87))</f>
        <v/>
      </c>
      <c r="L47" s="1624" t="str">
        <f t="shared" si="5"/>
        <v/>
      </c>
      <c r="M47" s="1625"/>
      <c r="N47"/>
      <c r="O47" s="269">
        <f t="shared" si="6"/>
        <v>0</v>
      </c>
      <c r="P47" s="998">
        <f t="shared" si="7"/>
        <v>0</v>
      </c>
      <c r="Q47" s="999">
        <f t="shared" si="8"/>
        <v>0</v>
      </c>
      <c r="R47" s="998">
        <f t="shared" si="9"/>
        <v>0</v>
      </c>
      <c r="S47"/>
      <c r="T47"/>
      <c r="U47"/>
      <c r="V47"/>
      <c r="W47"/>
      <c r="X47"/>
      <c r="Y47"/>
      <c r="Z47"/>
      <c r="AA47"/>
      <c r="AB47"/>
      <c r="AC47"/>
      <c r="AD47"/>
      <c r="AE47"/>
      <c r="AF47"/>
      <c r="AG47"/>
      <c r="AH47"/>
      <c r="AI47"/>
      <c r="AJ47"/>
      <c r="AK47"/>
      <c r="AL47"/>
      <c r="AM47"/>
      <c r="AN47"/>
      <c r="AO47"/>
    </row>
    <row r="48" spans="1:41" ht="15" hidden="1" customHeight="1">
      <c r="A48" t="str">
        <f>IF(AND(C48="",I48=""),"*","")</f>
        <v>*</v>
      </c>
      <c r="B48" s="894">
        <f t="shared" si="2"/>
        <v>7</v>
      </c>
      <c r="C48" s="963" t="str">
        <f>IF(E22="","","Beam 7")</f>
        <v/>
      </c>
      <c r="D48" s="857" t="str">
        <f>IF(C48="","",IF(Geometry!$G$123=B48,'Conc DL'!$D$25,'Conc DL'!K37))</f>
        <v/>
      </c>
      <c r="E48" s="857" t="str">
        <f>IF(C48="","",IF(Geometry!$G$123=B48,'Conc DL'!$D$27,'Conc DL'!L37))</f>
        <v/>
      </c>
      <c r="F48" s="1624" t="str">
        <f t="shared" si="3"/>
        <v/>
      </c>
      <c r="G48" s="1625"/>
      <c r="H48" s="894">
        <f t="shared" si="4"/>
        <v>7</v>
      </c>
      <c r="I48" s="965" t="str">
        <f>IF(K22="","","Beam 7")</f>
        <v/>
      </c>
      <c r="J48" s="857" t="str">
        <f>IF(I48="","",IF(Geometry!$G$151=B48,'Conc DL'!$D$75,'Conc DL'!K88))</f>
        <v/>
      </c>
      <c r="K48" s="857" t="str">
        <f>IF(I48="","",IF(Geometry!$G$151=B48,'Conc DL'!$D$77,'Conc DL'!L88))</f>
        <v/>
      </c>
      <c r="L48" s="1624" t="str">
        <f t="shared" si="5"/>
        <v/>
      </c>
      <c r="M48" s="1625"/>
      <c r="N48"/>
      <c r="O48" s="269">
        <f t="shared" si="6"/>
        <v>0</v>
      </c>
      <c r="P48" s="998">
        <f t="shared" si="7"/>
        <v>0</v>
      </c>
      <c r="Q48" s="999">
        <f t="shared" si="8"/>
        <v>0</v>
      </c>
      <c r="R48" s="998">
        <f t="shared" si="9"/>
        <v>0</v>
      </c>
      <c r="S48"/>
      <c r="T48"/>
      <c r="U48"/>
      <c r="V48"/>
      <c r="W48"/>
      <c r="X48"/>
      <c r="Y48"/>
      <c r="Z48"/>
      <c r="AA48"/>
      <c r="AB48"/>
      <c r="AC48"/>
      <c r="AD48"/>
      <c r="AE48"/>
      <c r="AF48"/>
      <c r="AG48"/>
      <c r="AH48"/>
      <c r="AI48"/>
      <c r="AJ48"/>
      <c r="AK48"/>
      <c r="AL48"/>
      <c r="AM48"/>
      <c r="AN48"/>
      <c r="AO48"/>
    </row>
    <row r="49" spans="1:41" ht="15" hidden="1" customHeight="1">
      <c r="A49" t="str">
        <f t="shared" si="1"/>
        <v>*</v>
      </c>
      <c r="B49" s="894">
        <f t="shared" si="2"/>
        <v>8</v>
      </c>
      <c r="C49" s="963" t="str">
        <f>IF(E23="","","Beam 8")</f>
        <v/>
      </c>
      <c r="D49" s="857" t="str">
        <f>IF(C49="","",IF(Geometry!$G$123=B49,'Conc DL'!$D$25,'Conc DL'!K38))</f>
        <v/>
      </c>
      <c r="E49" s="857" t="str">
        <f>IF(C49="","",IF(Geometry!$G$123=B49,'Conc DL'!$D$27,'Conc DL'!L38))</f>
        <v/>
      </c>
      <c r="F49" s="1624" t="str">
        <f t="shared" si="3"/>
        <v/>
      </c>
      <c r="G49" s="1625"/>
      <c r="H49" s="894">
        <f t="shared" si="4"/>
        <v>8</v>
      </c>
      <c r="I49" s="965" t="str">
        <f>IF(K23="","","Beam 8")</f>
        <v/>
      </c>
      <c r="J49" s="857" t="str">
        <f>IF(I49="","",IF(Geometry!$G$151=B49,'Conc DL'!$D$75,'Conc DL'!K89))</f>
        <v/>
      </c>
      <c r="K49" s="857" t="str">
        <f>IF(I49="","",IF(Geometry!$G$151=B49,'Conc DL'!$D$77,'Conc DL'!L89))</f>
        <v/>
      </c>
      <c r="L49" s="1624" t="str">
        <f t="shared" si="5"/>
        <v/>
      </c>
      <c r="M49" s="1625"/>
      <c r="N49"/>
      <c r="O49" s="269">
        <f t="shared" si="6"/>
        <v>0</v>
      </c>
      <c r="P49" s="998">
        <f t="shared" si="7"/>
        <v>0</v>
      </c>
      <c r="Q49" s="999">
        <f t="shared" si="8"/>
        <v>0</v>
      </c>
      <c r="R49" s="998">
        <f t="shared" si="9"/>
        <v>0</v>
      </c>
      <c r="S49"/>
      <c r="T49"/>
      <c r="U49"/>
      <c r="V49"/>
      <c r="W49"/>
      <c r="X49"/>
      <c r="Y49"/>
      <c r="Z49"/>
      <c r="AA49"/>
      <c r="AB49"/>
      <c r="AC49"/>
      <c r="AD49"/>
      <c r="AE49"/>
      <c r="AF49"/>
      <c r="AG49"/>
      <c r="AH49"/>
      <c r="AI49"/>
      <c r="AJ49"/>
      <c r="AK49"/>
      <c r="AL49"/>
      <c r="AM49"/>
      <c r="AN49"/>
      <c r="AO49"/>
    </row>
    <row r="50" spans="1:41" ht="15" hidden="1" customHeight="1">
      <c r="A50" t="str">
        <f t="shared" si="1"/>
        <v>*</v>
      </c>
      <c r="B50" s="894">
        <f t="shared" si="2"/>
        <v>9</v>
      </c>
      <c r="C50" s="963" t="str">
        <f>IF(E24="","","Beam 9")</f>
        <v/>
      </c>
      <c r="D50" s="857" t="str">
        <f>IF(C50="","",IF(Geometry!$G$123=B50,'Conc DL'!$D$25,'Conc DL'!K39))</f>
        <v/>
      </c>
      <c r="E50" s="857" t="str">
        <f>IF(C50="","",IF(Geometry!$G$123=B50,'Conc DL'!$D$27,'Conc DL'!L39))</f>
        <v/>
      </c>
      <c r="F50" s="1624" t="str">
        <f t="shared" si="3"/>
        <v/>
      </c>
      <c r="G50" s="1625"/>
      <c r="H50" s="894">
        <f t="shared" si="4"/>
        <v>9</v>
      </c>
      <c r="I50" s="965" t="str">
        <f>IF(K24="","","Beam 9")</f>
        <v/>
      </c>
      <c r="J50" s="857" t="str">
        <f>IF(I50="","",IF(Geometry!$G$151=B50,'Conc DL'!$D$75,'Conc DL'!K90))</f>
        <v/>
      </c>
      <c r="K50" s="857" t="str">
        <f>IF(I50="","",IF(Geometry!$G$151=B50,'Conc DL'!$D$77,'Conc DL'!L90))</f>
        <v/>
      </c>
      <c r="L50" s="1624" t="str">
        <f t="shared" si="5"/>
        <v/>
      </c>
      <c r="M50" s="1625"/>
      <c r="N50"/>
      <c r="O50" s="269">
        <f t="shared" si="6"/>
        <v>0</v>
      </c>
      <c r="P50" s="998">
        <f t="shared" si="7"/>
        <v>0</v>
      </c>
      <c r="Q50" s="999">
        <f t="shared" si="8"/>
        <v>0</v>
      </c>
      <c r="R50" s="998">
        <f t="shared" si="9"/>
        <v>0</v>
      </c>
      <c r="S50"/>
      <c r="T50"/>
      <c r="U50"/>
      <c r="V50"/>
      <c r="W50"/>
      <c r="X50"/>
      <c r="Y50"/>
      <c r="Z50"/>
      <c r="AA50"/>
      <c r="AB50"/>
      <c r="AC50"/>
      <c r="AD50"/>
      <c r="AE50"/>
      <c r="AF50"/>
      <c r="AG50"/>
      <c r="AH50"/>
      <c r="AI50"/>
      <c r="AJ50"/>
      <c r="AK50"/>
      <c r="AL50"/>
      <c r="AM50"/>
      <c r="AN50"/>
      <c r="AO50"/>
    </row>
    <row r="51" spans="1:41" ht="15" hidden="1" customHeight="1">
      <c r="A51" t="str">
        <f t="shared" si="1"/>
        <v>*</v>
      </c>
      <c r="B51" s="894">
        <f t="shared" si="2"/>
        <v>10</v>
      </c>
      <c r="C51" s="963" t="str">
        <f>IF(E25="","","Beam 10")</f>
        <v/>
      </c>
      <c r="D51" s="857" t="str">
        <f>IF(C51="","",IF(Geometry!$G$123=B51,'Conc DL'!$D$25,'Conc DL'!K40))</f>
        <v/>
      </c>
      <c r="E51" s="857" t="str">
        <f>IF(C51="","",IF(Geometry!$G$123=B51,'Conc DL'!$D$27,'Conc DL'!L40))</f>
        <v/>
      </c>
      <c r="F51" s="1624" t="str">
        <f t="shared" si="3"/>
        <v/>
      </c>
      <c r="G51" s="1625"/>
      <c r="H51" s="894">
        <f t="shared" si="4"/>
        <v>10</v>
      </c>
      <c r="I51" s="965" t="str">
        <f>IF(K25="","","Beam 10")</f>
        <v/>
      </c>
      <c r="J51" s="857" t="str">
        <f>IF(I51="","",IF(Geometry!$G$151=B51,'Conc DL'!$D$75,'Conc DL'!K91))</f>
        <v/>
      </c>
      <c r="K51" s="857" t="str">
        <f>IF(I51="","",IF(Geometry!$G$151=B51,'Conc DL'!$D$77,'Conc DL'!L91))</f>
        <v/>
      </c>
      <c r="L51" s="1624" t="str">
        <f t="shared" si="5"/>
        <v/>
      </c>
      <c r="M51" s="1625"/>
      <c r="N51"/>
      <c r="O51" s="269">
        <f t="shared" si="6"/>
        <v>0</v>
      </c>
      <c r="P51" s="998">
        <f t="shared" si="7"/>
        <v>0</v>
      </c>
      <c r="Q51" s="999">
        <f t="shared" si="8"/>
        <v>0</v>
      </c>
      <c r="R51" s="998">
        <f t="shared" si="9"/>
        <v>0</v>
      </c>
      <c r="S51"/>
      <c r="T51"/>
      <c r="U51"/>
      <c r="V51"/>
      <c r="W51"/>
      <c r="X51"/>
      <c r="Y51"/>
      <c r="Z51"/>
      <c r="AA51"/>
      <c r="AB51"/>
      <c r="AC51"/>
      <c r="AD51"/>
      <c r="AE51"/>
      <c r="AF51"/>
      <c r="AG51"/>
      <c r="AH51"/>
      <c r="AI51"/>
      <c r="AJ51"/>
      <c r="AK51"/>
      <c r="AL51"/>
      <c r="AM51"/>
      <c r="AN51"/>
      <c r="AO51"/>
    </row>
    <row r="52" spans="1:41" ht="15" hidden="1" customHeight="1">
      <c r="A52" t="str">
        <f t="shared" si="1"/>
        <v>*</v>
      </c>
      <c r="B52" s="894">
        <f t="shared" si="2"/>
        <v>11</v>
      </c>
      <c r="C52" s="963" t="str">
        <f>IF(E26="","","Beam 11")</f>
        <v/>
      </c>
      <c r="D52" s="857" t="str">
        <f>IF(C52="","",IF(Geometry!$G$123=B52,'Conc DL'!$D$25,'Conc DL'!K41))</f>
        <v/>
      </c>
      <c r="E52" s="857" t="str">
        <f>IF(C52="","",IF(Geometry!$G$123=B52,'Conc DL'!$D$27,'Conc DL'!L41))</f>
        <v/>
      </c>
      <c r="F52" s="1624" t="str">
        <f t="shared" si="3"/>
        <v/>
      </c>
      <c r="G52" s="1625"/>
      <c r="H52" s="894">
        <f t="shared" si="4"/>
        <v>11</v>
      </c>
      <c r="I52" s="965" t="str">
        <f>IF(K26="","","Beam 11")</f>
        <v/>
      </c>
      <c r="J52" s="857" t="str">
        <f>IF(I52="","",IF(Geometry!$G$151=B52,'Conc DL'!$D$75,'Conc DL'!K92))</f>
        <v/>
      </c>
      <c r="K52" s="857" t="str">
        <f>IF(I52="","",IF(Geometry!$G$151=B52,'Conc DL'!$D$77,'Conc DL'!L92))</f>
        <v/>
      </c>
      <c r="L52" s="1624" t="str">
        <f t="shared" si="5"/>
        <v/>
      </c>
      <c r="M52" s="1625"/>
      <c r="N52"/>
      <c r="O52" s="269">
        <f t="shared" si="6"/>
        <v>0</v>
      </c>
      <c r="P52" s="998">
        <f t="shared" si="7"/>
        <v>0</v>
      </c>
      <c r="Q52" s="999">
        <f t="shared" si="8"/>
        <v>0</v>
      </c>
      <c r="R52" s="998">
        <f t="shared" si="9"/>
        <v>0</v>
      </c>
      <c r="S52"/>
      <c r="T52"/>
      <c r="U52"/>
      <c r="V52"/>
      <c r="W52"/>
      <c r="X52"/>
      <c r="Y52"/>
      <c r="Z52"/>
      <c r="AA52"/>
      <c r="AB52"/>
      <c r="AC52"/>
      <c r="AD52"/>
      <c r="AE52"/>
      <c r="AF52"/>
      <c r="AG52"/>
      <c r="AH52"/>
      <c r="AI52"/>
      <c r="AJ52"/>
      <c r="AK52"/>
      <c r="AL52"/>
      <c r="AM52"/>
      <c r="AN52"/>
      <c r="AO52"/>
    </row>
    <row r="53" spans="1:41" ht="15" hidden="1" customHeight="1">
      <c r="A53" t="str">
        <f t="shared" si="1"/>
        <v>*</v>
      </c>
      <c r="B53" s="894">
        <f t="shared" si="2"/>
        <v>12</v>
      </c>
      <c r="C53" s="963" t="str">
        <f>IF(E27="","","Beam 12")</f>
        <v/>
      </c>
      <c r="D53" s="857" t="str">
        <f>IF(C53="","",IF(Geometry!$G$123=B53,'Conc DL'!$D$25,'Conc DL'!K42))</f>
        <v/>
      </c>
      <c r="E53" s="857" t="str">
        <f>IF(C53="","",IF(Geometry!$G$123=B53,'Conc DL'!$D$27,'Conc DL'!L42))</f>
        <v/>
      </c>
      <c r="F53" s="1624" t="str">
        <f t="shared" si="3"/>
        <v/>
      </c>
      <c r="G53" s="1625"/>
      <c r="H53" s="894">
        <f t="shared" si="4"/>
        <v>12</v>
      </c>
      <c r="I53" s="965" t="str">
        <f>IF(K27="","","Beam 12")</f>
        <v/>
      </c>
      <c r="J53" s="857" t="str">
        <f>IF(I53="","",IF(Geometry!$G$151=B53,'Conc DL'!$D$75,'Conc DL'!K93))</f>
        <v/>
      </c>
      <c r="K53" s="857" t="str">
        <f>IF(I53="","",IF(Geometry!$G$151=B53,'Conc DL'!$D$77,'Conc DL'!L93))</f>
        <v/>
      </c>
      <c r="L53" s="1624" t="str">
        <f t="shared" si="5"/>
        <v/>
      </c>
      <c r="M53" s="1625"/>
      <c r="N53"/>
      <c r="O53" s="269">
        <f t="shared" si="6"/>
        <v>0</v>
      </c>
      <c r="P53" s="998">
        <f t="shared" si="7"/>
        <v>0</v>
      </c>
      <c r="Q53" s="999">
        <f t="shared" si="8"/>
        <v>0</v>
      </c>
      <c r="R53" s="998">
        <f t="shared" si="9"/>
        <v>0</v>
      </c>
      <c r="S53"/>
      <c r="T53"/>
      <c r="U53"/>
      <c r="V53"/>
      <c r="W53"/>
      <c r="X53"/>
      <c r="Y53"/>
      <c r="Z53"/>
      <c r="AA53"/>
      <c r="AB53"/>
      <c r="AC53"/>
      <c r="AD53"/>
      <c r="AE53"/>
      <c r="AF53"/>
      <c r="AG53"/>
      <c r="AH53"/>
      <c r="AI53"/>
      <c r="AJ53"/>
      <c r="AK53"/>
      <c r="AL53"/>
      <c r="AM53"/>
      <c r="AN53"/>
      <c r="AO53"/>
    </row>
    <row r="54" spans="1:41" ht="15" hidden="1" customHeight="1">
      <c r="A54" t="str">
        <f t="shared" si="1"/>
        <v>*</v>
      </c>
      <c r="B54" s="894">
        <f t="shared" si="2"/>
        <v>13</v>
      </c>
      <c r="C54" s="963" t="str">
        <f>IF(E28="","","Beam 13")</f>
        <v/>
      </c>
      <c r="D54" s="857" t="str">
        <f>IF(C54="","",IF(Geometry!$G$123=B54,'Conc DL'!$D$25,'Conc DL'!K43))</f>
        <v/>
      </c>
      <c r="E54" s="857" t="str">
        <f>IF(C54="","",IF(Geometry!$G$123=B54,'Conc DL'!$D$27,'Conc DL'!L43))</f>
        <v/>
      </c>
      <c r="F54" s="1624" t="str">
        <f t="shared" si="3"/>
        <v/>
      </c>
      <c r="G54" s="1625"/>
      <c r="H54" s="894">
        <f t="shared" si="4"/>
        <v>13</v>
      </c>
      <c r="I54" s="965" t="str">
        <f>IF(K28="","","Beam 13")</f>
        <v/>
      </c>
      <c r="J54" s="857" t="str">
        <f>IF(I54="","",IF(Geometry!$G$151=B54,'Conc DL'!$D$75,'Conc DL'!K94))</f>
        <v/>
      </c>
      <c r="K54" s="857" t="str">
        <f>IF(I54="","",IF(Geometry!$G$151=B54,'Conc DL'!$D$77,'Conc DL'!L94))</f>
        <v/>
      </c>
      <c r="L54" s="1624" t="str">
        <f t="shared" si="5"/>
        <v/>
      </c>
      <c r="M54" s="1625"/>
      <c r="N54"/>
      <c r="O54" s="269">
        <f t="shared" si="6"/>
        <v>0</v>
      </c>
      <c r="P54" s="998">
        <f t="shared" si="7"/>
        <v>0</v>
      </c>
      <c r="Q54" s="999">
        <f t="shared" si="8"/>
        <v>0</v>
      </c>
      <c r="R54" s="998">
        <f t="shared" si="9"/>
        <v>0</v>
      </c>
      <c r="S54"/>
      <c r="T54"/>
      <c r="U54"/>
      <c r="V54"/>
      <c r="W54"/>
      <c r="X54"/>
      <c r="Y54"/>
      <c r="Z54"/>
      <c r="AA54"/>
      <c r="AB54"/>
      <c r="AC54"/>
      <c r="AD54"/>
      <c r="AE54"/>
      <c r="AF54"/>
      <c r="AG54"/>
      <c r="AH54"/>
      <c r="AI54"/>
      <c r="AJ54"/>
      <c r="AK54"/>
      <c r="AL54"/>
      <c r="AM54"/>
      <c r="AN54"/>
      <c r="AO54"/>
    </row>
    <row r="55" spans="1:41" ht="15" hidden="1" customHeight="1">
      <c r="A55" t="str">
        <f t="shared" si="1"/>
        <v>*</v>
      </c>
      <c r="B55" s="894">
        <f t="shared" si="2"/>
        <v>14</v>
      </c>
      <c r="C55" s="963" t="str">
        <f>IF(E29="","","Beam 14")</f>
        <v/>
      </c>
      <c r="D55" s="857" t="str">
        <f>IF(C55="","",IF(Geometry!$G$123=B55,'Conc DL'!$D$25,'Conc DL'!K44))</f>
        <v/>
      </c>
      <c r="E55" s="857" t="str">
        <f>IF(C55="","",IF(Geometry!$G$123=B55,'Conc DL'!$D$27,'Conc DL'!L44))</f>
        <v/>
      </c>
      <c r="F55" s="1624" t="str">
        <f t="shared" si="3"/>
        <v/>
      </c>
      <c r="G55" s="1625"/>
      <c r="H55" s="894">
        <f t="shared" si="4"/>
        <v>14</v>
      </c>
      <c r="I55" s="965" t="str">
        <f>IF(K29="","","Beam 14")</f>
        <v/>
      </c>
      <c r="J55" s="857" t="str">
        <f>IF(I55="","",IF(Geometry!$G$151=B55,'Conc DL'!$D$75,'Conc DL'!K95))</f>
        <v/>
      </c>
      <c r="K55" s="857" t="str">
        <f>IF(I55="","",IF(Geometry!$G$151=B55,'Conc DL'!$D$77,'Conc DL'!L95))</f>
        <v/>
      </c>
      <c r="L55" s="1624" t="str">
        <f t="shared" si="5"/>
        <v/>
      </c>
      <c r="M55" s="1625"/>
      <c r="N55"/>
      <c r="O55" s="269">
        <f t="shared" si="6"/>
        <v>0</v>
      </c>
      <c r="P55" s="998">
        <f t="shared" si="7"/>
        <v>0</v>
      </c>
      <c r="Q55" s="999">
        <f t="shared" si="8"/>
        <v>0</v>
      </c>
      <c r="R55" s="998">
        <f t="shared" si="9"/>
        <v>0</v>
      </c>
      <c r="S55"/>
      <c r="T55"/>
      <c r="U55"/>
      <c r="V55"/>
      <c r="W55"/>
      <c r="X55"/>
      <c r="Y55"/>
      <c r="Z55"/>
      <c r="AA55"/>
      <c r="AB55"/>
      <c r="AC55"/>
      <c r="AD55"/>
      <c r="AE55"/>
      <c r="AF55"/>
      <c r="AG55"/>
      <c r="AH55"/>
      <c r="AI55"/>
      <c r="AJ55"/>
      <c r="AK55"/>
      <c r="AL55"/>
      <c r="AM55"/>
      <c r="AN55"/>
      <c r="AO55"/>
    </row>
    <row r="56" spans="1:41" ht="15" hidden="1" customHeight="1">
      <c r="A56" t="str">
        <f t="shared" si="1"/>
        <v>*</v>
      </c>
      <c r="B56" s="894">
        <f t="shared" si="2"/>
        <v>15</v>
      </c>
      <c r="C56" s="963" t="str">
        <f>IF(E30="","","Beam 15")</f>
        <v/>
      </c>
      <c r="D56" s="857" t="str">
        <f>IF(C56="","",IF(Geometry!$G$123=B56,'Conc DL'!$D$25,'Conc DL'!K45))</f>
        <v/>
      </c>
      <c r="E56" s="857" t="str">
        <f>IF(C56="","",IF(Geometry!$G$123=B56,'Conc DL'!$D$27,'Conc DL'!L45))</f>
        <v/>
      </c>
      <c r="F56" s="1624" t="str">
        <f t="shared" si="3"/>
        <v/>
      </c>
      <c r="G56" s="1625"/>
      <c r="H56" s="894">
        <f t="shared" si="4"/>
        <v>15</v>
      </c>
      <c r="I56" s="965" t="str">
        <f>IF(K30="","","Beam 15")</f>
        <v/>
      </c>
      <c r="J56" s="857" t="str">
        <f>IF(I56="","",IF(Geometry!$G$151=B56,'Conc DL'!$D$75,'Conc DL'!K96))</f>
        <v/>
      </c>
      <c r="K56" s="857" t="str">
        <f>IF(I56="","",IF(Geometry!$G$151=B56,'Conc DL'!$D$77,'Conc DL'!L96))</f>
        <v/>
      </c>
      <c r="L56" s="1624" t="str">
        <f t="shared" si="5"/>
        <v/>
      </c>
      <c r="M56" s="1625"/>
      <c r="N56"/>
      <c r="O56" s="269">
        <f t="shared" si="6"/>
        <v>0</v>
      </c>
      <c r="P56" s="998">
        <f t="shared" si="7"/>
        <v>0</v>
      </c>
      <c r="Q56" s="999">
        <f t="shared" si="8"/>
        <v>0</v>
      </c>
      <c r="R56" s="998">
        <f t="shared" si="9"/>
        <v>0</v>
      </c>
      <c r="S56"/>
      <c r="T56"/>
      <c r="U56"/>
      <c r="V56"/>
      <c r="W56"/>
      <c r="X56"/>
      <c r="Y56"/>
      <c r="Z56"/>
      <c r="AA56"/>
      <c r="AB56"/>
      <c r="AC56"/>
      <c r="AD56"/>
      <c r="AE56"/>
      <c r="AF56"/>
      <c r="AG56"/>
      <c r="AH56"/>
      <c r="AI56"/>
      <c r="AJ56"/>
      <c r="AK56"/>
      <c r="AL56"/>
      <c r="AM56"/>
      <c r="AN56"/>
      <c r="AO56"/>
    </row>
    <row r="57" spans="1:41" ht="15" hidden="1" customHeight="1">
      <c r="A57" t="str">
        <f t="shared" si="1"/>
        <v>*</v>
      </c>
      <c r="B57" s="894">
        <f t="shared" si="2"/>
        <v>16</v>
      </c>
      <c r="C57" s="963" t="str">
        <f>IF(E31="","","Beam 16")</f>
        <v/>
      </c>
      <c r="D57" s="857" t="str">
        <f>IF(C57="","",IF(Geometry!$G$123=B57,'Conc DL'!$D$25,'Conc DL'!K46))</f>
        <v/>
      </c>
      <c r="E57" s="857" t="str">
        <f>IF(C57="","",IF(Geometry!$G$123=B57,'Conc DL'!$D$27,'Conc DL'!L46))</f>
        <v/>
      </c>
      <c r="F57" s="1624" t="str">
        <f t="shared" si="3"/>
        <v/>
      </c>
      <c r="G57" s="1625"/>
      <c r="H57" s="894">
        <f t="shared" si="4"/>
        <v>16</v>
      </c>
      <c r="I57" s="965" t="str">
        <f>IF(K31="","","Beam 16")</f>
        <v/>
      </c>
      <c r="J57" s="857" t="str">
        <f>IF(I57="","",IF(Geometry!$G$151=B57,'Conc DL'!$D$75,'Conc DL'!K97))</f>
        <v/>
      </c>
      <c r="K57" s="857" t="str">
        <f>IF(I57="","",IF(Geometry!$G$151=B57,'Conc DL'!$D$77,'Conc DL'!L97))</f>
        <v/>
      </c>
      <c r="L57" s="1624" t="str">
        <f t="shared" si="5"/>
        <v/>
      </c>
      <c r="M57" s="1625"/>
      <c r="N57"/>
      <c r="O57" s="269">
        <f t="shared" si="6"/>
        <v>0</v>
      </c>
      <c r="P57" s="998">
        <f t="shared" si="7"/>
        <v>0</v>
      </c>
      <c r="Q57" s="999">
        <f t="shared" si="8"/>
        <v>0</v>
      </c>
      <c r="R57" s="998">
        <f t="shared" si="9"/>
        <v>0</v>
      </c>
      <c r="S57"/>
      <c r="T57"/>
      <c r="U57"/>
      <c r="V57"/>
      <c r="W57"/>
      <c r="X57"/>
      <c r="Y57"/>
      <c r="Z57"/>
      <c r="AA57"/>
      <c r="AB57"/>
      <c r="AC57"/>
      <c r="AD57"/>
      <c r="AE57"/>
      <c r="AF57"/>
      <c r="AG57"/>
      <c r="AH57"/>
      <c r="AI57"/>
      <c r="AJ57"/>
      <c r="AK57"/>
      <c r="AL57"/>
      <c r="AM57"/>
      <c r="AN57"/>
      <c r="AO57"/>
    </row>
    <row r="58" spans="1:41" ht="15" hidden="1" customHeight="1">
      <c r="A58" t="str">
        <f t="shared" si="1"/>
        <v>*</v>
      </c>
      <c r="B58" s="894">
        <f t="shared" si="2"/>
        <v>17</v>
      </c>
      <c r="C58" s="963" t="str">
        <f>IF(E32="","","Beam 17")</f>
        <v/>
      </c>
      <c r="D58" s="857" t="str">
        <f>IF(C58="","",IF(Geometry!$G$123=B58,'Conc DL'!$D$25,'Conc DL'!K47))</f>
        <v/>
      </c>
      <c r="E58" s="857" t="str">
        <f>IF(C58="","",IF(Geometry!$G$123=B58,'Conc DL'!$D$27,'Conc DL'!L47))</f>
        <v/>
      </c>
      <c r="F58" s="1624" t="str">
        <f t="shared" si="3"/>
        <v/>
      </c>
      <c r="G58" s="1625"/>
      <c r="H58" s="894">
        <f t="shared" si="4"/>
        <v>17</v>
      </c>
      <c r="I58" s="965" t="str">
        <f>IF(K32="","","Beam 17")</f>
        <v/>
      </c>
      <c r="J58" s="857" t="str">
        <f>IF(I58="","",IF(Geometry!$G$151=B58,'Conc DL'!$D$75,'Conc DL'!K98))</f>
        <v/>
      </c>
      <c r="K58" s="857" t="str">
        <f>IF(I58="","",IF(Geometry!$G$151=B58,'Conc DL'!$D$77,'Conc DL'!L98))</f>
        <v/>
      </c>
      <c r="L58" s="1624" t="str">
        <f t="shared" si="5"/>
        <v/>
      </c>
      <c r="M58" s="1625"/>
      <c r="N58"/>
      <c r="O58" s="269">
        <f t="shared" si="6"/>
        <v>0</v>
      </c>
      <c r="P58" s="998">
        <f t="shared" si="7"/>
        <v>0</v>
      </c>
      <c r="Q58" s="999">
        <f t="shared" si="8"/>
        <v>0</v>
      </c>
      <c r="R58" s="998">
        <f t="shared" si="9"/>
        <v>0</v>
      </c>
      <c r="S58"/>
      <c r="T58"/>
      <c r="U58"/>
      <c r="V58"/>
      <c r="W58"/>
      <c r="X58"/>
      <c r="Y58"/>
      <c r="Z58"/>
      <c r="AA58"/>
      <c r="AB58"/>
      <c r="AC58"/>
      <c r="AD58"/>
      <c r="AE58"/>
      <c r="AF58"/>
      <c r="AG58"/>
      <c r="AH58"/>
      <c r="AI58"/>
      <c r="AJ58"/>
      <c r="AK58"/>
      <c r="AL58"/>
      <c r="AM58"/>
      <c r="AN58"/>
      <c r="AO58"/>
    </row>
    <row r="59" spans="1:41" ht="15" hidden="1" customHeight="1">
      <c r="A59" t="str">
        <f t="shared" si="1"/>
        <v>*</v>
      </c>
      <c r="B59" s="894">
        <f t="shared" si="2"/>
        <v>18</v>
      </c>
      <c r="C59" s="963" t="str">
        <f>IF(E33="","","Beam 18")</f>
        <v/>
      </c>
      <c r="D59" s="857" t="str">
        <f>IF(C59="","",IF(Geometry!$G$123=B59,'Conc DL'!$D$25,'Conc DL'!K48))</f>
        <v/>
      </c>
      <c r="E59" s="857" t="str">
        <f>IF(C59="","",IF(Geometry!$G$123=B59,'Conc DL'!$D$27,'Conc DL'!L48))</f>
        <v/>
      </c>
      <c r="F59" s="1624" t="str">
        <f t="shared" si="3"/>
        <v/>
      </c>
      <c r="G59" s="1625"/>
      <c r="H59" s="894">
        <f t="shared" si="4"/>
        <v>18</v>
      </c>
      <c r="I59" s="965" t="str">
        <f>IF(K33="","","Beam 18")</f>
        <v/>
      </c>
      <c r="J59" s="857" t="str">
        <f>IF(I59="","",IF(Geometry!$G$151=B59,'Conc DL'!$D$75,'Conc DL'!K99))</f>
        <v/>
      </c>
      <c r="K59" s="857" t="str">
        <f>IF(I59="","",IF(Geometry!$G$151=B59,'Conc DL'!$D$77,'Conc DL'!L99))</f>
        <v/>
      </c>
      <c r="L59" s="1624" t="str">
        <f t="shared" si="5"/>
        <v/>
      </c>
      <c r="M59" s="1625"/>
      <c r="N59"/>
      <c r="O59" s="269">
        <f t="shared" si="6"/>
        <v>0</v>
      </c>
      <c r="P59" s="998">
        <f t="shared" si="7"/>
        <v>0</v>
      </c>
      <c r="Q59" s="999">
        <f t="shared" si="8"/>
        <v>0</v>
      </c>
      <c r="R59" s="998">
        <f t="shared" si="9"/>
        <v>0</v>
      </c>
      <c r="S59"/>
      <c r="T59"/>
      <c r="U59"/>
      <c r="V59"/>
      <c r="W59"/>
      <c r="X59"/>
      <c r="Y59"/>
      <c r="Z59"/>
      <c r="AA59"/>
      <c r="AB59"/>
      <c r="AC59"/>
      <c r="AD59"/>
      <c r="AE59"/>
      <c r="AF59"/>
      <c r="AG59"/>
      <c r="AH59"/>
      <c r="AI59"/>
      <c r="AJ59"/>
      <c r="AK59"/>
      <c r="AL59"/>
      <c r="AM59"/>
      <c r="AN59"/>
      <c r="AO59"/>
    </row>
    <row r="60" spans="1:41" ht="15" hidden="1" customHeight="1">
      <c r="A60" t="str">
        <f t="shared" si="1"/>
        <v>*</v>
      </c>
      <c r="B60" s="894">
        <f t="shared" si="2"/>
        <v>19</v>
      </c>
      <c r="C60" s="963" t="str">
        <f>IF(E34="","","Beam 19")</f>
        <v/>
      </c>
      <c r="D60" s="857" t="str">
        <f>IF(C60="","",IF(Geometry!$G$123=B60,'Conc DL'!$D$25,'Conc DL'!K49))</f>
        <v/>
      </c>
      <c r="E60" s="857" t="str">
        <f>IF(C60="","",IF(Geometry!$G$123=B60,'Conc DL'!$D$27,'Conc DL'!L49))</f>
        <v/>
      </c>
      <c r="F60" s="1624" t="str">
        <f t="shared" si="3"/>
        <v/>
      </c>
      <c r="G60" s="1625"/>
      <c r="H60" s="894">
        <f t="shared" si="4"/>
        <v>19</v>
      </c>
      <c r="I60" s="965" t="str">
        <f>IF(K34="","","Beam 19")</f>
        <v/>
      </c>
      <c r="J60" s="857" t="str">
        <f>IF(I60="","",IF(Geometry!$G$151=B60,'Conc DL'!$D$75,'Conc DL'!K100))</f>
        <v/>
      </c>
      <c r="K60" s="857" t="str">
        <f>IF(I60="","",IF(Geometry!$G$151=B60,'Conc DL'!$D$77,'Conc DL'!L100))</f>
        <v/>
      </c>
      <c r="L60" s="1624" t="str">
        <f t="shared" si="5"/>
        <v/>
      </c>
      <c r="M60" s="1625"/>
      <c r="N60"/>
      <c r="O60" s="269">
        <f t="shared" si="6"/>
        <v>0</v>
      </c>
      <c r="P60" s="998">
        <f t="shared" si="7"/>
        <v>0</v>
      </c>
      <c r="Q60" s="999">
        <f t="shared" si="8"/>
        <v>0</v>
      </c>
      <c r="R60" s="998">
        <f t="shared" si="9"/>
        <v>0</v>
      </c>
      <c r="S60"/>
      <c r="T60"/>
      <c r="U60"/>
      <c r="V60"/>
      <c r="W60"/>
      <c r="X60"/>
      <c r="Y60"/>
      <c r="Z60"/>
      <c r="AA60"/>
      <c r="AB60"/>
      <c r="AC60"/>
      <c r="AD60"/>
      <c r="AE60"/>
      <c r="AF60"/>
      <c r="AG60"/>
      <c r="AH60"/>
      <c r="AI60"/>
      <c r="AJ60"/>
      <c r="AK60"/>
      <c r="AL60"/>
      <c r="AM60"/>
      <c r="AN60"/>
      <c r="AO60"/>
    </row>
    <row r="61" spans="1:41" ht="15" hidden="1" customHeight="1">
      <c r="A61" t="str">
        <f t="shared" si="1"/>
        <v>*</v>
      </c>
      <c r="B61" s="894">
        <f t="shared" si="2"/>
        <v>20</v>
      </c>
      <c r="C61" s="964" t="str">
        <f>IF(E35="","","Beam 20")</f>
        <v/>
      </c>
      <c r="D61" s="962" t="str">
        <f>IF(C61="","",IF(Geometry!$G$123=B61,'Conc DL'!$D$25,'Conc DL'!K50))</f>
        <v/>
      </c>
      <c r="E61" s="962" t="str">
        <f>IF(C61="","",IF(Geometry!$G$123=B61,'Conc DL'!$D$27,'Conc DL'!L50))</f>
        <v/>
      </c>
      <c r="F61" s="1626" t="str">
        <f t="shared" si="3"/>
        <v/>
      </c>
      <c r="G61" s="1627"/>
      <c r="H61" s="894">
        <f t="shared" si="4"/>
        <v>20</v>
      </c>
      <c r="I61" s="966" t="str">
        <f>IF(K35="","","Beam 20")</f>
        <v/>
      </c>
      <c r="J61" s="962" t="str">
        <f>IF(I61="","",IF(Geometry!$G$151=B61,'Conc DL'!$D$75,'Conc DL'!K101))</f>
        <v/>
      </c>
      <c r="K61" s="962" t="str">
        <f>IF(I61="","",IF(Geometry!$G$151=B61,'Conc DL'!$D$77,'Conc DL'!L101))</f>
        <v/>
      </c>
      <c r="L61" s="1626" t="str">
        <f t="shared" si="5"/>
        <v/>
      </c>
      <c r="M61" s="1627"/>
      <c r="N61"/>
      <c r="O61" s="269">
        <f t="shared" si="6"/>
        <v>0</v>
      </c>
      <c r="P61" s="998">
        <f t="shared" si="7"/>
        <v>0</v>
      </c>
      <c r="Q61" s="999">
        <f t="shared" si="8"/>
        <v>0</v>
      </c>
      <c r="R61" s="998">
        <f t="shared" si="9"/>
        <v>0</v>
      </c>
      <c r="S61"/>
      <c r="T61"/>
      <c r="U61"/>
      <c r="V61"/>
      <c r="W61"/>
      <c r="X61"/>
      <c r="Y61"/>
      <c r="Z61"/>
      <c r="AA61"/>
      <c r="AB61"/>
      <c r="AC61"/>
      <c r="AD61"/>
      <c r="AE61"/>
      <c r="AF61"/>
      <c r="AG61"/>
      <c r="AH61"/>
      <c r="AI61"/>
      <c r="AJ61"/>
      <c r="AK61"/>
      <c r="AL61"/>
      <c r="AM61"/>
      <c r="AN61"/>
      <c r="AO61"/>
    </row>
    <row r="62" spans="1:41" ht="15" customHeight="1">
      <c r="A62" t="s">
        <v>477</v>
      </c>
      <c r="B62" s="894"/>
      <c r="C62" s="859" t="s">
        <v>551</v>
      </c>
      <c r="D62" s="892">
        <f>SUM(D42:D61)</f>
        <v>527.47625000000005</v>
      </c>
      <c r="E62" s="892">
        <f>SUM(E42:E61)</f>
        <v>7.5</v>
      </c>
      <c r="F62" s="1628">
        <f>SUM(F42:F61)</f>
        <v>534.97625000000005</v>
      </c>
      <c r="G62" s="1628"/>
      <c r="I62" s="859" t="s">
        <v>551</v>
      </c>
      <c r="J62" s="892">
        <f>SUM(J42:J61)</f>
        <v>622.39249999999993</v>
      </c>
      <c r="K62" s="892">
        <f>SUM(K42:K61)</f>
        <v>9</v>
      </c>
      <c r="L62" s="1628">
        <f>SUM(L42:L61)</f>
        <v>631.39249999999993</v>
      </c>
      <c r="M62" s="1628"/>
      <c r="N62"/>
      <c r="O62"/>
      <c r="P62"/>
      <c r="Q62"/>
      <c r="R62"/>
      <c r="S62"/>
      <c r="T62"/>
      <c r="U62"/>
      <c r="V62"/>
      <c r="W62"/>
      <c r="X62"/>
      <c r="Y62"/>
      <c r="Z62"/>
      <c r="AA62"/>
      <c r="AB62"/>
      <c r="AC62"/>
      <c r="AD62"/>
      <c r="AE62"/>
      <c r="AF62"/>
      <c r="AG62"/>
      <c r="AH62"/>
      <c r="AI62"/>
      <c r="AJ62"/>
      <c r="AK62"/>
      <c r="AL62"/>
      <c r="AM62"/>
      <c r="AN62"/>
      <c r="AO62"/>
    </row>
    <row r="63" spans="1:41" ht="15" customHeight="1">
      <c r="B63" s="16"/>
      <c r="N63"/>
      <c r="O63"/>
      <c r="P63"/>
      <c r="Q63"/>
      <c r="R63"/>
      <c r="S63"/>
      <c r="T63"/>
      <c r="U63"/>
      <c r="V63"/>
      <c r="W63"/>
      <c r="X63"/>
      <c r="Y63"/>
      <c r="Z63"/>
      <c r="AA63"/>
      <c r="AB63"/>
      <c r="AC63"/>
      <c r="AD63"/>
      <c r="AE63"/>
      <c r="AF63"/>
      <c r="AG63"/>
      <c r="AH63"/>
      <c r="AI63"/>
      <c r="AJ63"/>
      <c r="AK63"/>
      <c r="AL63"/>
      <c r="AM63"/>
      <c r="AN63"/>
      <c r="AO63"/>
    </row>
    <row r="64" spans="1:41" s="290" customFormat="1" ht="15" customHeight="1" thickBot="1">
      <c r="B64" s="100"/>
      <c r="C64" s="1619" t="s">
        <v>242</v>
      </c>
      <c r="D64" s="1619"/>
      <c r="E64" s="1619"/>
      <c r="F64" s="1619"/>
      <c r="G64" s="1619"/>
      <c r="H64" s="1619"/>
      <c r="I64" s="1619"/>
      <c r="J64" s="1619"/>
      <c r="K64" s="1619"/>
      <c r="L64" s="1619"/>
      <c r="M64" s="1619"/>
    </row>
    <row r="65" spans="1:32" s="290" customFormat="1" ht="6" customHeight="1">
      <c r="B65" s="100"/>
      <c r="C65" s="678"/>
    </row>
    <row r="66" spans="1:32" s="290" customFormat="1" ht="15" customHeight="1">
      <c r="B66" s="100"/>
      <c r="C66" s="60" t="s">
        <v>1012</v>
      </c>
      <c r="O66" s="1670" t="s">
        <v>985</v>
      </c>
      <c r="P66" s="1670"/>
      <c r="Q66" s="1670"/>
      <c r="R66" s="1670"/>
      <c r="S66" s="1670"/>
      <c r="T66" s="1670"/>
      <c r="U66" s="1670"/>
      <c r="V66" s="1670"/>
      <c r="Y66" s="1670" t="s">
        <v>987</v>
      </c>
      <c r="Z66" s="1670"/>
      <c r="AA66" s="1670"/>
      <c r="AB66" s="1670"/>
      <c r="AC66" s="1670"/>
      <c r="AD66" s="1670"/>
      <c r="AE66" s="1670"/>
      <c r="AF66" s="1670"/>
    </row>
    <row r="67" spans="1:32" s="290" customFormat="1" ht="3.75" customHeight="1">
      <c r="B67" s="100"/>
      <c r="C67" s="60"/>
    </row>
    <row r="68" spans="1:32" s="290" customFormat="1" ht="15" customHeight="1">
      <c r="B68" s="100"/>
      <c r="C68" s="794"/>
      <c r="D68" s="1652" t="s">
        <v>563</v>
      </c>
      <c r="E68" s="1653"/>
      <c r="F68" s="1652" t="s">
        <v>564</v>
      </c>
      <c r="G68" s="1653"/>
      <c r="H68" s="1652" t="s">
        <v>565</v>
      </c>
      <c r="I68" s="1653"/>
      <c r="J68" s="1652" t="s">
        <v>566</v>
      </c>
      <c r="K68" s="1655"/>
      <c r="O68" s="60" t="s">
        <v>981</v>
      </c>
      <c r="Q68" s="60" t="s">
        <v>982</v>
      </c>
      <c r="S68" s="60" t="s">
        <v>982</v>
      </c>
      <c r="U68" s="60" t="s">
        <v>981</v>
      </c>
      <c r="Y68" s="60" t="s">
        <v>981</v>
      </c>
      <c r="AA68" s="60" t="s">
        <v>982</v>
      </c>
      <c r="AC68" s="60" t="s">
        <v>982</v>
      </c>
      <c r="AE68" s="60" t="s">
        <v>981</v>
      </c>
    </row>
    <row r="69" spans="1:32" s="290" customFormat="1" ht="15" customHeight="1">
      <c r="B69" s="100"/>
      <c r="C69" s="876"/>
      <c r="D69" s="932" t="s">
        <v>721</v>
      </c>
      <c r="E69" s="902" t="s">
        <v>890</v>
      </c>
      <c r="F69" s="932" t="s">
        <v>721</v>
      </c>
      <c r="G69" s="902" t="s">
        <v>890</v>
      </c>
      <c r="H69" s="932" t="s">
        <v>721</v>
      </c>
      <c r="I69" s="902" t="s">
        <v>890</v>
      </c>
      <c r="J69" s="932" t="s">
        <v>721</v>
      </c>
      <c r="K69" s="902" t="s">
        <v>890</v>
      </c>
      <c r="O69" s="60" t="s">
        <v>983</v>
      </c>
      <c r="Q69" s="60" t="s">
        <v>983</v>
      </c>
      <c r="S69" s="60" t="s">
        <v>984</v>
      </c>
      <c r="U69" s="60" t="s">
        <v>984</v>
      </c>
      <c r="Y69" s="60" t="s">
        <v>983</v>
      </c>
      <c r="AA69" s="60" t="s">
        <v>983</v>
      </c>
      <c r="AC69" s="60" t="s">
        <v>984</v>
      </c>
      <c r="AE69" s="60" t="s">
        <v>984</v>
      </c>
    </row>
    <row r="70" spans="1:32" s="290" customFormat="1" ht="15" customHeight="1">
      <c r="A70" t="str">
        <f>IF(C70="","*","")</f>
        <v/>
      </c>
      <c r="B70" s="898"/>
      <c r="C70" s="939" t="str">
        <f t="shared" ref="C70:C89" si="10">C42</f>
        <v>Beam 1</v>
      </c>
      <c r="D70" s="942">
        <f>O70</f>
        <v>110.82062499999999</v>
      </c>
      <c r="E70" s="942">
        <f t="shared" ref="E70:E89" si="11">Y70</f>
        <v>1.875</v>
      </c>
      <c r="F70" s="942" t="e">
        <f>Q70</f>
        <v>#DIV/0!</v>
      </c>
      <c r="G70" s="942" t="e">
        <f t="shared" ref="G70:G89" si="12">AA70</f>
        <v>#DIV/0!</v>
      </c>
      <c r="H70" s="942" t="e">
        <f>S70</f>
        <v>#DIV/0!</v>
      </c>
      <c r="I70" s="942" t="e">
        <f t="shared" ref="I70:I89" si="13">AC70</f>
        <v>#DIV/0!</v>
      </c>
      <c r="J70" s="942">
        <f>U70</f>
        <v>0</v>
      </c>
      <c r="K70" s="942">
        <f t="shared" ref="K70:K89" si="14">AE70</f>
        <v>0</v>
      </c>
      <c r="N70" s="290" t="str">
        <f>C70</f>
        <v>Beam 1</v>
      </c>
      <c r="O70" s="989">
        <f>IF(F16&lt;0,D42,0)</f>
        <v>110.82062499999999</v>
      </c>
      <c r="P70" s="989"/>
      <c r="Q70" s="989" t="e">
        <f t="shared" ref="Q70:Q89" si="15">IF(N70="",0,IF(AND(O70=0,U70=0),D42*(ColSpa2-F16)/ColSpa2,IF(O70&gt;0,O70*-F16/ColSpa2,U70*G16/ColSpa2)))</f>
        <v>#DIV/0!</v>
      </c>
      <c r="R70" s="989"/>
      <c r="S70" s="989" t="e">
        <f t="shared" ref="S70:S89" si="16">IF(N70="",0,IF(AND(O70=0,U70=0),D42*(ColSpa2-G16)/ColSpa2,IF(O70&gt;0,O70*F16/ColSpa2,U70*-G16/ColSpa2)))</f>
        <v>#DIV/0!</v>
      </c>
      <c r="T70" s="989"/>
      <c r="U70" s="989">
        <f>IF(G16&lt;0,D42,0)</f>
        <v>0</v>
      </c>
      <c r="V70" s="989"/>
      <c r="X70" s="290" t="str">
        <f t="shared" ref="X70:X89" si="17">C70</f>
        <v>Beam 1</v>
      </c>
      <c r="Y70" s="989">
        <f t="shared" ref="Y70:Y89" si="18">IF(F16&lt;0,E42,0)</f>
        <v>1.875</v>
      </c>
      <c r="Z70" s="989"/>
      <c r="AA70" s="989" t="e">
        <f t="shared" ref="AA70:AA89" si="19">IF(X70="",0,IF(AND(Y70=0,AE70=0),E42*(ColSpa2-F16)/ColSpa2,IF(Y70&gt;0,Y70*-F16/ColSpa2,AE70*G16/ColSpa2)))</f>
        <v>#DIV/0!</v>
      </c>
      <c r="AB70" s="989"/>
      <c r="AC70" s="989" t="e">
        <f t="shared" ref="AC70:AC89" si="20">IF(X70="",0,IF(AND(Y70=0,AE70=0),E42*(ColSpa2-G16)/ColSpa2,IF(Y70&gt;0,Y70*F16/ColSpa2,AE70*-G16/ColSpa2)))</f>
        <v>#DIV/0!</v>
      </c>
      <c r="AD70" s="989"/>
      <c r="AE70" s="989">
        <f t="shared" ref="AE70:AE89" si="21">IF(G16&lt;0,E42,0)</f>
        <v>0</v>
      </c>
      <c r="AF70" s="989"/>
    </row>
    <row r="71" spans="1:32" s="290" customFormat="1" ht="15" customHeight="1">
      <c r="A71" t="str">
        <f t="shared" ref="A71:A89" si="22">IF(C71="","*","")</f>
        <v/>
      </c>
      <c r="B71" s="898"/>
      <c r="C71" s="734" t="str">
        <f t="shared" si="10"/>
        <v>Beam 2</v>
      </c>
      <c r="D71" s="943">
        <f t="shared" ref="D71:D89" si="23">O71</f>
        <v>146.9425</v>
      </c>
      <c r="E71" s="943">
        <f t="shared" si="11"/>
        <v>1.875</v>
      </c>
      <c r="F71" s="943" t="e">
        <f t="shared" ref="F71:F89" si="24">Q71</f>
        <v>#DIV/0!</v>
      </c>
      <c r="G71" s="943" t="e">
        <f t="shared" si="12"/>
        <v>#DIV/0!</v>
      </c>
      <c r="H71" s="943" t="e">
        <f t="shared" ref="H71:H89" si="25">S71</f>
        <v>#DIV/0!</v>
      </c>
      <c r="I71" s="943" t="e">
        <f t="shared" si="13"/>
        <v>#DIV/0!</v>
      </c>
      <c r="J71" s="943">
        <f t="shared" ref="J71:J89" si="26">U71</f>
        <v>0</v>
      </c>
      <c r="K71" s="943">
        <f t="shared" si="14"/>
        <v>0</v>
      </c>
      <c r="N71" s="290" t="str">
        <f t="shared" ref="N71:N89" si="27">C71</f>
        <v>Beam 2</v>
      </c>
      <c r="O71" s="989">
        <f t="shared" ref="O71:O89" si="28">IF(F17&lt;0,D43,0)</f>
        <v>146.9425</v>
      </c>
      <c r="P71" s="989"/>
      <c r="Q71" s="989" t="e">
        <f t="shared" si="15"/>
        <v>#DIV/0!</v>
      </c>
      <c r="R71" s="989"/>
      <c r="S71" s="989" t="e">
        <f t="shared" si="16"/>
        <v>#DIV/0!</v>
      </c>
      <c r="T71" s="989"/>
      <c r="U71" s="989">
        <f t="shared" ref="U71:U89" si="29">IF(G17&lt;0,D43,0)</f>
        <v>0</v>
      </c>
      <c r="V71" s="989"/>
      <c r="X71" s="290" t="str">
        <f t="shared" si="17"/>
        <v>Beam 2</v>
      </c>
      <c r="Y71" s="989">
        <f t="shared" si="18"/>
        <v>1.875</v>
      </c>
      <c r="Z71" s="989"/>
      <c r="AA71" s="989" t="e">
        <f t="shared" si="19"/>
        <v>#DIV/0!</v>
      </c>
      <c r="AB71" s="989"/>
      <c r="AC71" s="989" t="e">
        <f t="shared" si="20"/>
        <v>#DIV/0!</v>
      </c>
      <c r="AD71" s="989"/>
      <c r="AE71" s="989">
        <f t="shared" si="21"/>
        <v>0</v>
      </c>
      <c r="AF71" s="989"/>
    </row>
    <row r="72" spans="1:32" s="290" customFormat="1" ht="15" customHeight="1">
      <c r="A72" t="str">
        <f t="shared" si="22"/>
        <v/>
      </c>
      <c r="B72" s="898"/>
      <c r="C72" s="734" t="str">
        <f t="shared" si="10"/>
        <v>Beam 3</v>
      </c>
      <c r="D72" s="943">
        <f t="shared" si="23"/>
        <v>0</v>
      </c>
      <c r="E72" s="943">
        <f t="shared" si="11"/>
        <v>0</v>
      </c>
      <c r="F72" s="943" t="e">
        <f t="shared" si="24"/>
        <v>#DIV/0!</v>
      </c>
      <c r="G72" s="943" t="e">
        <f t="shared" si="12"/>
        <v>#DIV/0!</v>
      </c>
      <c r="H72" s="943" t="e">
        <f t="shared" si="25"/>
        <v>#DIV/0!</v>
      </c>
      <c r="I72" s="943" t="e">
        <f t="shared" si="13"/>
        <v>#DIV/0!</v>
      </c>
      <c r="J72" s="943">
        <f t="shared" si="26"/>
        <v>146.9425</v>
      </c>
      <c r="K72" s="943">
        <f t="shared" si="14"/>
        <v>1.875</v>
      </c>
      <c r="N72" s="290" t="str">
        <f t="shared" si="27"/>
        <v>Beam 3</v>
      </c>
      <c r="O72" s="989">
        <f t="shared" si="28"/>
        <v>0</v>
      </c>
      <c r="P72" s="989"/>
      <c r="Q72" s="989" t="e">
        <f t="shared" si="15"/>
        <v>#DIV/0!</v>
      </c>
      <c r="R72" s="989"/>
      <c r="S72" s="989" t="e">
        <f t="shared" si="16"/>
        <v>#DIV/0!</v>
      </c>
      <c r="T72" s="989"/>
      <c r="U72" s="989">
        <f t="shared" si="29"/>
        <v>146.9425</v>
      </c>
      <c r="V72" s="989"/>
      <c r="X72" s="290" t="str">
        <f t="shared" si="17"/>
        <v>Beam 3</v>
      </c>
      <c r="Y72" s="989">
        <f t="shared" si="18"/>
        <v>0</v>
      </c>
      <c r="Z72" s="989"/>
      <c r="AA72" s="989" t="e">
        <f t="shared" si="19"/>
        <v>#DIV/0!</v>
      </c>
      <c r="AB72" s="989"/>
      <c r="AC72" s="989" t="e">
        <f t="shared" si="20"/>
        <v>#DIV/0!</v>
      </c>
      <c r="AD72" s="989"/>
      <c r="AE72" s="989">
        <f t="shared" si="21"/>
        <v>1.875</v>
      </c>
      <c r="AF72" s="989"/>
    </row>
    <row r="73" spans="1:32" s="290" customFormat="1" ht="15" customHeight="1">
      <c r="A73" t="str">
        <f t="shared" si="22"/>
        <v/>
      </c>
      <c r="B73" s="898"/>
      <c r="C73" s="734" t="str">
        <f t="shared" si="10"/>
        <v>Beam 4</v>
      </c>
      <c r="D73" s="943">
        <f t="shared" si="23"/>
        <v>0</v>
      </c>
      <c r="E73" s="943">
        <f t="shared" si="11"/>
        <v>0</v>
      </c>
      <c r="F73" s="943" t="e">
        <f t="shared" si="24"/>
        <v>#DIV/0!</v>
      </c>
      <c r="G73" s="943" t="e">
        <f t="shared" si="12"/>
        <v>#DIV/0!</v>
      </c>
      <c r="H73" s="943" t="e">
        <f t="shared" si="25"/>
        <v>#DIV/0!</v>
      </c>
      <c r="I73" s="943" t="e">
        <f t="shared" si="13"/>
        <v>#DIV/0!</v>
      </c>
      <c r="J73" s="943">
        <f t="shared" si="26"/>
        <v>122.77062500000001</v>
      </c>
      <c r="K73" s="943">
        <f t="shared" si="14"/>
        <v>1.875</v>
      </c>
      <c r="N73" s="42" t="str">
        <f t="shared" si="27"/>
        <v>Beam 4</v>
      </c>
      <c r="O73" s="993">
        <f t="shared" si="28"/>
        <v>0</v>
      </c>
      <c r="P73" s="993"/>
      <c r="Q73" s="989" t="e">
        <f t="shared" si="15"/>
        <v>#DIV/0!</v>
      </c>
      <c r="R73" s="989"/>
      <c r="S73" s="989" t="e">
        <f t="shared" si="16"/>
        <v>#DIV/0!</v>
      </c>
      <c r="T73" s="993"/>
      <c r="U73" s="993">
        <f t="shared" si="29"/>
        <v>122.77062500000001</v>
      </c>
      <c r="V73" s="993"/>
      <c r="W73" s="42"/>
      <c r="X73" s="42" t="str">
        <f t="shared" si="17"/>
        <v>Beam 4</v>
      </c>
      <c r="Y73" s="993">
        <f t="shared" si="18"/>
        <v>0</v>
      </c>
      <c r="Z73" s="993"/>
      <c r="AA73" s="989" t="e">
        <f t="shared" si="19"/>
        <v>#DIV/0!</v>
      </c>
      <c r="AB73" s="989"/>
      <c r="AC73" s="989" t="e">
        <f t="shared" si="20"/>
        <v>#DIV/0!</v>
      </c>
      <c r="AD73" s="993"/>
      <c r="AE73" s="993">
        <f t="shared" si="21"/>
        <v>1.875</v>
      </c>
      <c r="AF73" s="993"/>
    </row>
    <row r="74" spans="1:32" s="290" customFormat="1" ht="15" customHeight="1">
      <c r="A74" t="str">
        <f t="shared" si="22"/>
        <v>*</v>
      </c>
      <c r="B74" s="898"/>
      <c r="C74" s="877" t="str">
        <f t="shared" si="10"/>
        <v/>
      </c>
      <c r="D74" s="943">
        <f t="shared" si="23"/>
        <v>0</v>
      </c>
      <c r="E74" s="943">
        <f t="shared" si="11"/>
        <v>0</v>
      </c>
      <c r="F74" s="943">
        <f t="shared" si="24"/>
        <v>0</v>
      </c>
      <c r="G74" s="943">
        <f t="shared" si="12"/>
        <v>0</v>
      </c>
      <c r="H74" s="943">
        <f t="shared" si="25"/>
        <v>0</v>
      </c>
      <c r="I74" s="943">
        <f t="shared" si="13"/>
        <v>0</v>
      </c>
      <c r="J74" s="943">
        <f t="shared" si="26"/>
        <v>0</v>
      </c>
      <c r="K74" s="943">
        <f t="shared" si="14"/>
        <v>0</v>
      </c>
      <c r="M74" s="878"/>
      <c r="N74" s="42" t="str">
        <f t="shared" si="27"/>
        <v/>
      </c>
      <c r="O74" s="993">
        <f t="shared" si="28"/>
        <v>0</v>
      </c>
      <c r="P74" s="993"/>
      <c r="Q74" s="989">
        <f t="shared" si="15"/>
        <v>0</v>
      </c>
      <c r="R74" s="989"/>
      <c r="S74" s="989">
        <f t="shared" si="16"/>
        <v>0</v>
      </c>
      <c r="T74" s="993"/>
      <c r="U74" s="993">
        <f t="shared" si="29"/>
        <v>0</v>
      </c>
      <c r="V74" s="993"/>
      <c r="W74" s="42"/>
      <c r="X74" s="42" t="str">
        <f t="shared" si="17"/>
        <v/>
      </c>
      <c r="Y74" s="993">
        <f t="shared" si="18"/>
        <v>0</v>
      </c>
      <c r="Z74" s="993"/>
      <c r="AA74" s="989">
        <f t="shared" si="19"/>
        <v>0</v>
      </c>
      <c r="AB74" s="989"/>
      <c r="AC74" s="989">
        <f t="shared" si="20"/>
        <v>0</v>
      </c>
      <c r="AD74" s="993"/>
      <c r="AE74" s="993">
        <f t="shared" si="21"/>
        <v>0</v>
      </c>
      <c r="AF74" s="993"/>
    </row>
    <row r="75" spans="1:32" s="290" customFormat="1" ht="15" customHeight="1">
      <c r="A75" t="str">
        <f t="shared" si="22"/>
        <v>*</v>
      </c>
      <c r="B75" s="898"/>
      <c r="C75" s="877" t="str">
        <f t="shared" si="10"/>
        <v/>
      </c>
      <c r="D75" s="943">
        <f t="shared" si="23"/>
        <v>0</v>
      </c>
      <c r="E75" s="943">
        <f t="shared" si="11"/>
        <v>0</v>
      </c>
      <c r="F75" s="943">
        <f t="shared" si="24"/>
        <v>0</v>
      </c>
      <c r="G75" s="943">
        <f t="shared" si="12"/>
        <v>0</v>
      </c>
      <c r="H75" s="943">
        <f t="shared" si="25"/>
        <v>0</v>
      </c>
      <c r="I75" s="943">
        <f t="shared" si="13"/>
        <v>0</v>
      </c>
      <c r="J75" s="943">
        <f t="shared" si="26"/>
        <v>0</v>
      </c>
      <c r="K75" s="943">
        <f t="shared" si="14"/>
        <v>0</v>
      </c>
      <c r="M75" s="878"/>
      <c r="N75" s="42" t="str">
        <f t="shared" si="27"/>
        <v/>
      </c>
      <c r="O75" s="993">
        <f t="shared" si="28"/>
        <v>0</v>
      </c>
      <c r="P75" s="993"/>
      <c r="Q75" s="989">
        <f t="shared" si="15"/>
        <v>0</v>
      </c>
      <c r="R75" s="989"/>
      <c r="S75" s="989">
        <f t="shared" si="16"/>
        <v>0</v>
      </c>
      <c r="T75" s="993"/>
      <c r="U75" s="993">
        <f t="shared" si="29"/>
        <v>0</v>
      </c>
      <c r="V75" s="993"/>
      <c r="W75" s="42"/>
      <c r="X75" s="42" t="str">
        <f t="shared" si="17"/>
        <v/>
      </c>
      <c r="Y75" s="993">
        <f t="shared" si="18"/>
        <v>0</v>
      </c>
      <c r="Z75" s="993"/>
      <c r="AA75" s="989">
        <f t="shared" si="19"/>
        <v>0</v>
      </c>
      <c r="AB75" s="989"/>
      <c r="AC75" s="989">
        <f t="shared" si="20"/>
        <v>0</v>
      </c>
      <c r="AD75" s="993"/>
      <c r="AE75" s="993">
        <f t="shared" si="21"/>
        <v>0</v>
      </c>
      <c r="AF75" s="993"/>
    </row>
    <row r="76" spans="1:32" s="290" customFormat="1" ht="15" hidden="1" customHeight="1">
      <c r="A76" t="str">
        <f t="shared" si="22"/>
        <v>*</v>
      </c>
      <c r="B76" s="898"/>
      <c r="C76" s="877" t="str">
        <f t="shared" si="10"/>
        <v/>
      </c>
      <c r="D76" s="943">
        <f t="shared" si="23"/>
        <v>0</v>
      </c>
      <c r="E76" s="943">
        <f t="shared" si="11"/>
        <v>0</v>
      </c>
      <c r="F76" s="943">
        <f t="shared" si="24"/>
        <v>0</v>
      </c>
      <c r="G76" s="943">
        <f t="shared" si="12"/>
        <v>0</v>
      </c>
      <c r="H76" s="943">
        <f t="shared" si="25"/>
        <v>0</v>
      </c>
      <c r="I76" s="943">
        <f t="shared" si="13"/>
        <v>0</v>
      </c>
      <c r="J76" s="943">
        <f t="shared" si="26"/>
        <v>0</v>
      </c>
      <c r="K76" s="943">
        <f t="shared" si="14"/>
        <v>0</v>
      </c>
      <c r="M76" s="878"/>
      <c r="N76" s="42" t="str">
        <f t="shared" si="27"/>
        <v/>
      </c>
      <c r="O76" s="993">
        <f t="shared" si="28"/>
        <v>0</v>
      </c>
      <c r="P76" s="993"/>
      <c r="Q76" s="989">
        <f t="shared" si="15"/>
        <v>0</v>
      </c>
      <c r="R76" s="989"/>
      <c r="S76" s="989">
        <f t="shared" si="16"/>
        <v>0</v>
      </c>
      <c r="T76" s="993"/>
      <c r="U76" s="993">
        <f t="shared" si="29"/>
        <v>0</v>
      </c>
      <c r="V76" s="993"/>
      <c r="W76" s="42"/>
      <c r="X76" s="42" t="str">
        <f t="shared" si="17"/>
        <v/>
      </c>
      <c r="Y76" s="993">
        <f t="shared" si="18"/>
        <v>0</v>
      </c>
      <c r="Z76" s="993"/>
      <c r="AA76" s="989">
        <f t="shared" si="19"/>
        <v>0</v>
      </c>
      <c r="AB76" s="989"/>
      <c r="AC76" s="989">
        <f t="shared" si="20"/>
        <v>0</v>
      </c>
      <c r="AD76" s="993"/>
      <c r="AE76" s="993">
        <f t="shared" si="21"/>
        <v>0</v>
      </c>
      <c r="AF76" s="993"/>
    </row>
    <row r="77" spans="1:32" s="290" customFormat="1" ht="15" hidden="1" customHeight="1">
      <c r="A77" t="str">
        <f t="shared" si="22"/>
        <v>*</v>
      </c>
      <c r="B77" s="898"/>
      <c r="C77" s="877" t="str">
        <f t="shared" si="10"/>
        <v/>
      </c>
      <c r="D77" s="943">
        <f t="shared" si="23"/>
        <v>0</v>
      </c>
      <c r="E77" s="943">
        <f t="shared" si="11"/>
        <v>0</v>
      </c>
      <c r="F77" s="943">
        <f t="shared" si="24"/>
        <v>0</v>
      </c>
      <c r="G77" s="943">
        <f t="shared" si="12"/>
        <v>0</v>
      </c>
      <c r="H77" s="943">
        <f t="shared" si="25"/>
        <v>0</v>
      </c>
      <c r="I77" s="943">
        <f t="shared" si="13"/>
        <v>0</v>
      </c>
      <c r="J77" s="943">
        <f t="shared" si="26"/>
        <v>0</v>
      </c>
      <c r="K77" s="943">
        <f t="shared" si="14"/>
        <v>0</v>
      </c>
      <c r="M77" s="878"/>
      <c r="N77" s="42" t="str">
        <f t="shared" si="27"/>
        <v/>
      </c>
      <c r="O77" s="993">
        <f t="shared" si="28"/>
        <v>0</v>
      </c>
      <c r="P77" s="993"/>
      <c r="Q77" s="989">
        <f t="shared" si="15"/>
        <v>0</v>
      </c>
      <c r="R77" s="989"/>
      <c r="S77" s="989">
        <f t="shared" si="16"/>
        <v>0</v>
      </c>
      <c r="T77" s="993"/>
      <c r="U77" s="993">
        <f t="shared" si="29"/>
        <v>0</v>
      </c>
      <c r="V77" s="993"/>
      <c r="W77" s="42"/>
      <c r="X77" s="42" t="str">
        <f t="shared" si="17"/>
        <v/>
      </c>
      <c r="Y77" s="993">
        <f t="shared" si="18"/>
        <v>0</v>
      </c>
      <c r="Z77" s="993"/>
      <c r="AA77" s="989">
        <f t="shared" si="19"/>
        <v>0</v>
      </c>
      <c r="AB77" s="989"/>
      <c r="AC77" s="989">
        <f t="shared" si="20"/>
        <v>0</v>
      </c>
      <c r="AD77" s="993"/>
      <c r="AE77" s="993">
        <f t="shared" si="21"/>
        <v>0</v>
      </c>
      <c r="AF77" s="993"/>
    </row>
    <row r="78" spans="1:32" s="290" customFormat="1" ht="15" hidden="1" customHeight="1">
      <c r="A78" t="str">
        <f t="shared" si="22"/>
        <v>*</v>
      </c>
      <c r="B78" s="898"/>
      <c r="C78" s="877" t="str">
        <f t="shared" si="10"/>
        <v/>
      </c>
      <c r="D78" s="943">
        <f t="shared" si="23"/>
        <v>0</v>
      </c>
      <c r="E78" s="943">
        <f t="shared" si="11"/>
        <v>0</v>
      </c>
      <c r="F78" s="943">
        <f t="shared" si="24"/>
        <v>0</v>
      </c>
      <c r="G78" s="943">
        <f t="shared" si="12"/>
        <v>0</v>
      </c>
      <c r="H78" s="943">
        <f t="shared" si="25"/>
        <v>0</v>
      </c>
      <c r="I78" s="943">
        <f t="shared" si="13"/>
        <v>0</v>
      </c>
      <c r="J78" s="943">
        <f t="shared" si="26"/>
        <v>0</v>
      </c>
      <c r="K78" s="943">
        <f t="shared" si="14"/>
        <v>0</v>
      </c>
      <c r="M78" s="878"/>
      <c r="N78" s="42" t="str">
        <f t="shared" si="27"/>
        <v/>
      </c>
      <c r="O78" s="993">
        <f t="shared" si="28"/>
        <v>0</v>
      </c>
      <c r="P78" s="993"/>
      <c r="Q78" s="989">
        <f t="shared" si="15"/>
        <v>0</v>
      </c>
      <c r="R78" s="989"/>
      <c r="S78" s="989">
        <f t="shared" si="16"/>
        <v>0</v>
      </c>
      <c r="T78" s="993"/>
      <c r="U78" s="993">
        <f t="shared" si="29"/>
        <v>0</v>
      </c>
      <c r="V78" s="993"/>
      <c r="W78" s="42"/>
      <c r="X78" s="42" t="str">
        <f t="shared" si="17"/>
        <v/>
      </c>
      <c r="Y78" s="993">
        <f t="shared" si="18"/>
        <v>0</v>
      </c>
      <c r="Z78" s="993"/>
      <c r="AA78" s="989">
        <f t="shared" si="19"/>
        <v>0</v>
      </c>
      <c r="AB78" s="989"/>
      <c r="AC78" s="989">
        <f t="shared" si="20"/>
        <v>0</v>
      </c>
      <c r="AD78" s="993"/>
      <c r="AE78" s="993">
        <f t="shared" si="21"/>
        <v>0</v>
      </c>
      <c r="AF78" s="993"/>
    </row>
    <row r="79" spans="1:32" s="290" customFormat="1" ht="15" hidden="1" customHeight="1">
      <c r="A79" t="str">
        <f t="shared" si="22"/>
        <v>*</v>
      </c>
      <c r="B79" s="898"/>
      <c r="C79" s="877" t="str">
        <f t="shared" si="10"/>
        <v/>
      </c>
      <c r="D79" s="943">
        <f t="shared" si="23"/>
        <v>0</v>
      </c>
      <c r="E79" s="943">
        <f t="shared" si="11"/>
        <v>0</v>
      </c>
      <c r="F79" s="943">
        <f t="shared" si="24"/>
        <v>0</v>
      </c>
      <c r="G79" s="943">
        <f t="shared" si="12"/>
        <v>0</v>
      </c>
      <c r="H79" s="943">
        <f t="shared" si="25"/>
        <v>0</v>
      </c>
      <c r="I79" s="943">
        <f t="shared" si="13"/>
        <v>0</v>
      </c>
      <c r="J79" s="943">
        <f t="shared" si="26"/>
        <v>0</v>
      </c>
      <c r="K79" s="943">
        <f t="shared" si="14"/>
        <v>0</v>
      </c>
      <c r="M79" s="878"/>
      <c r="N79" s="42" t="str">
        <f t="shared" si="27"/>
        <v/>
      </c>
      <c r="O79" s="993">
        <f t="shared" si="28"/>
        <v>0</v>
      </c>
      <c r="P79" s="993"/>
      <c r="Q79" s="989">
        <f t="shared" si="15"/>
        <v>0</v>
      </c>
      <c r="R79" s="989"/>
      <c r="S79" s="989">
        <f t="shared" si="16"/>
        <v>0</v>
      </c>
      <c r="T79" s="993"/>
      <c r="U79" s="993">
        <f t="shared" si="29"/>
        <v>0</v>
      </c>
      <c r="V79" s="993"/>
      <c r="W79" s="42"/>
      <c r="X79" s="42" t="str">
        <f t="shared" si="17"/>
        <v/>
      </c>
      <c r="Y79" s="993">
        <f t="shared" si="18"/>
        <v>0</v>
      </c>
      <c r="Z79" s="993"/>
      <c r="AA79" s="989">
        <f t="shared" si="19"/>
        <v>0</v>
      </c>
      <c r="AB79" s="989"/>
      <c r="AC79" s="989">
        <f t="shared" si="20"/>
        <v>0</v>
      </c>
      <c r="AD79" s="993"/>
      <c r="AE79" s="993">
        <f t="shared" si="21"/>
        <v>0</v>
      </c>
      <c r="AF79" s="993"/>
    </row>
    <row r="80" spans="1:32" s="290" customFormat="1" ht="15" hidden="1" customHeight="1">
      <c r="A80" t="str">
        <f t="shared" si="22"/>
        <v>*</v>
      </c>
      <c r="B80" s="898"/>
      <c r="C80" s="877" t="str">
        <f t="shared" si="10"/>
        <v/>
      </c>
      <c r="D80" s="943">
        <f t="shared" si="23"/>
        <v>0</v>
      </c>
      <c r="E80" s="943">
        <f t="shared" si="11"/>
        <v>0</v>
      </c>
      <c r="F80" s="943">
        <f t="shared" si="24"/>
        <v>0</v>
      </c>
      <c r="G80" s="943">
        <f t="shared" si="12"/>
        <v>0</v>
      </c>
      <c r="H80" s="943">
        <f t="shared" si="25"/>
        <v>0</v>
      </c>
      <c r="I80" s="943">
        <f t="shared" si="13"/>
        <v>0</v>
      </c>
      <c r="J80" s="943">
        <f t="shared" si="26"/>
        <v>0</v>
      </c>
      <c r="K80" s="943">
        <f t="shared" si="14"/>
        <v>0</v>
      </c>
      <c r="M80" s="878"/>
      <c r="N80" s="42" t="str">
        <f t="shared" si="27"/>
        <v/>
      </c>
      <c r="O80" s="993">
        <f t="shared" si="28"/>
        <v>0</v>
      </c>
      <c r="P80" s="993"/>
      <c r="Q80" s="989">
        <f t="shared" si="15"/>
        <v>0</v>
      </c>
      <c r="R80" s="989"/>
      <c r="S80" s="989">
        <f t="shared" si="16"/>
        <v>0</v>
      </c>
      <c r="T80" s="993"/>
      <c r="U80" s="993">
        <f t="shared" si="29"/>
        <v>0</v>
      </c>
      <c r="V80" s="993"/>
      <c r="W80" s="42"/>
      <c r="X80" s="42" t="str">
        <f t="shared" si="17"/>
        <v/>
      </c>
      <c r="Y80" s="993">
        <f t="shared" si="18"/>
        <v>0</v>
      </c>
      <c r="Z80" s="993"/>
      <c r="AA80" s="989">
        <f t="shared" si="19"/>
        <v>0</v>
      </c>
      <c r="AB80" s="989"/>
      <c r="AC80" s="989">
        <f t="shared" si="20"/>
        <v>0</v>
      </c>
      <c r="AD80" s="993"/>
      <c r="AE80" s="993">
        <f t="shared" si="21"/>
        <v>0</v>
      </c>
      <c r="AF80" s="993"/>
    </row>
    <row r="81" spans="1:43" s="290" customFormat="1" ht="15" hidden="1" customHeight="1">
      <c r="A81" t="str">
        <f t="shared" si="22"/>
        <v>*</v>
      </c>
      <c r="B81" s="898"/>
      <c r="C81" s="877" t="str">
        <f t="shared" si="10"/>
        <v/>
      </c>
      <c r="D81" s="943">
        <f t="shared" si="23"/>
        <v>0</v>
      </c>
      <c r="E81" s="943">
        <f t="shared" si="11"/>
        <v>0</v>
      </c>
      <c r="F81" s="943">
        <f t="shared" si="24"/>
        <v>0</v>
      </c>
      <c r="G81" s="943">
        <f t="shared" si="12"/>
        <v>0</v>
      </c>
      <c r="H81" s="943">
        <f t="shared" si="25"/>
        <v>0</v>
      </c>
      <c r="I81" s="943">
        <f t="shared" si="13"/>
        <v>0</v>
      </c>
      <c r="J81" s="943">
        <f t="shared" si="26"/>
        <v>0</v>
      </c>
      <c r="K81" s="943">
        <f t="shared" si="14"/>
        <v>0</v>
      </c>
      <c r="M81" s="878"/>
      <c r="N81" s="42" t="str">
        <f t="shared" si="27"/>
        <v/>
      </c>
      <c r="O81" s="993">
        <f t="shared" si="28"/>
        <v>0</v>
      </c>
      <c r="P81" s="993"/>
      <c r="Q81" s="989">
        <f t="shared" si="15"/>
        <v>0</v>
      </c>
      <c r="R81" s="989"/>
      <c r="S81" s="989">
        <f t="shared" si="16"/>
        <v>0</v>
      </c>
      <c r="T81" s="993"/>
      <c r="U81" s="993">
        <f t="shared" si="29"/>
        <v>0</v>
      </c>
      <c r="V81" s="993"/>
      <c r="W81" s="42"/>
      <c r="X81" s="42" t="str">
        <f t="shared" si="17"/>
        <v/>
      </c>
      <c r="Y81" s="993">
        <f t="shared" si="18"/>
        <v>0</v>
      </c>
      <c r="Z81" s="993"/>
      <c r="AA81" s="989">
        <f t="shared" si="19"/>
        <v>0</v>
      </c>
      <c r="AB81" s="989"/>
      <c r="AC81" s="989">
        <f t="shared" si="20"/>
        <v>0</v>
      </c>
      <c r="AD81" s="993"/>
      <c r="AE81" s="993">
        <f t="shared" si="21"/>
        <v>0</v>
      </c>
      <c r="AF81" s="993"/>
    </row>
    <row r="82" spans="1:43" s="290" customFormat="1" ht="15" hidden="1" customHeight="1">
      <c r="A82" t="str">
        <f t="shared" si="22"/>
        <v>*</v>
      </c>
      <c r="B82" s="898"/>
      <c r="C82" s="877" t="str">
        <f t="shared" si="10"/>
        <v/>
      </c>
      <c r="D82" s="943">
        <f t="shared" si="23"/>
        <v>0</v>
      </c>
      <c r="E82" s="943">
        <f t="shared" si="11"/>
        <v>0</v>
      </c>
      <c r="F82" s="943">
        <f t="shared" si="24"/>
        <v>0</v>
      </c>
      <c r="G82" s="943">
        <f t="shared" si="12"/>
        <v>0</v>
      </c>
      <c r="H82" s="943">
        <f t="shared" si="25"/>
        <v>0</v>
      </c>
      <c r="I82" s="943">
        <f t="shared" si="13"/>
        <v>0</v>
      </c>
      <c r="J82" s="943">
        <f t="shared" si="26"/>
        <v>0</v>
      </c>
      <c r="K82" s="943">
        <f t="shared" si="14"/>
        <v>0</v>
      </c>
      <c r="M82" s="878"/>
      <c r="N82" s="42" t="str">
        <f t="shared" si="27"/>
        <v/>
      </c>
      <c r="O82" s="993">
        <f t="shared" si="28"/>
        <v>0</v>
      </c>
      <c r="P82" s="993"/>
      <c r="Q82" s="989">
        <f t="shared" si="15"/>
        <v>0</v>
      </c>
      <c r="R82" s="989"/>
      <c r="S82" s="989">
        <f t="shared" si="16"/>
        <v>0</v>
      </c>
      <c r="T82" s="993"/>
      <c r="U82" s="993">
        <f t="shared" si="29"/>
        <v>0</v>
      </c>
      <c r="V82" s="993"/>
      <c r="W82" s="42"/>
      <c r="X82" s="42" t="str">
        <f t="shared" si="17"/>
        <v/>
      </c>
      <c r="Y82" s="993">
        <f t="shared" si="18"/>
        <v>0</v>
      </c>
      <c r="Z82" s="993"/>
      <c r="AA82" s="989">
        <f t="shared" si="19"/>
        <v>0</v>
      </c>
      <c r="AB82" s="989"/>
      <c r="AC82" s="989">
        <f t="shared" si="20"/>
        <v>0</v>
      </c>
      <c r="AD82" s="993"/>
      <c r="AE82" s="993">
        <f t="shared" si="21"/>
        <v>0</v>
      </c>
      <c r="AF82" s="993"/>
    </row>
    <row r="83" spans="1:43" s="290" customFormat="1" ht="15" hidden="1" customHeight="1">
      <c r="A83" t="str">
        <f t="shared" si="22"/>
        <v>*</v>
      </c>
      <c r="B83" s="898"/>
      <c r="C83" s="877" t="str">
        <f t="shared" si="10"/>
        <v/>
      </c>
      <c r="D83" s="943">
        <f t="shared" si="23"/>
        <v>0</v>
      </c>
      <c r="E83" s="943">
        <f t="shared" si="11"/>
        <v>0</v>
      </c>
      <c r="F83" s="943">
        <f t="shared" si="24"/>
        <v>0</v>
      </c>
      <c r="G83" s="943">
        <f t="shared" si="12"/>
        <v>0</v>
      </c>
      <c r="H83" s="943">
        <f t="shared" si="25"/>
        <v>0</v>
      </c>
      <c r="I83" s="943">
        <f t="shared" si="13"/>
        <v>0</v>
      </c>
      <c r="J83" s="943">
        <f t="shared" si="26"/>
        <v>0</v>
      </c>
      <c r="K83" s="943">
        <f t="shared" si="14"/>
        <v>0</v>
      </c>
      <c r="M83" s="878"/>
      <c r="N83" s="42" t="str">
        <f t="shared" si="27"/>
        <v/>
      </c>
      <c r="O83" s="993">
        <f t="shared" si="28"/>
        <v>0</v>
      </c>
      <c r="P83" s="993"/>
      <c r="Q83" s="989">
        <f t="shared" si="15"/>
        <v>0</v>
      </c>
      <c r="R83" s="989"/>
      <c r="S83" s="989">
        <f t="shared" si="16"/>
        <v>0</v>
      </c>
      <c r="T83" s="993"/>
      <c r="U83" s="993">
        <f t="shared" si="29"/>
        <v>0</v>
      </c>
      <c r="V83" s="993"/>
      <c r="W83" s="42"/>
      <c r="X83" s="42" t="str">
        <f t="shared" si="17"/>
        <v/>
      </c>
      <c r="Y83" s="993">
        <f t="shared" si="18"/>
        <v>0</v>
      </c>
      <c r="Z83" s="993"/>
      <c r="AA83" s="989">
        <f t="shared" si="19"/>
        <v>0</v>
      </c>
      <c r="AB83" s="989"/>
      <c r="AC83" s="989">
        <f t="shared" si="20"/>
        <v>0</v>
      </c>
      <c r="AD83" s="993"/>
      <c r="AE83" s="993">
        <f t="shared" si="21"/>
        <v>0</v>
      </c>
      <c r="AF83" s="993"/>
    </row>
    <row r="84" spans="1:43" s="290" customFormat="1" ht="15" hidden="1" customHeight="1">
      <c r="A84" t="str">
        <f t="shared" si="22"/>
        <v>*</v>
      </c>
      <c r="B84" s="898"/>
      <c r="C84" s="877" t="str">
        <f t="shared" si="10"/>
        <v/>
      </c>
      <c r="D84" s="943">
        <f t="shared" si="23"/>
        <v>0</v>
      </c>
      <c r="E84" s="943">
        <f t="shared" si="11"/>
        <v>0</v>
      </c>
      <c r="F84" s="943">
        <f t="shared" si="24"/>
        <v>0</v>
      </c>
      <c r="G84" s="943">
        <f t="shared" si="12"/>
        <v>0</v>
      </c>
      <c r="H84" s="943">
        <f t="shared" si="25"/>
        <v>0</v>
      </c>
      <c r="I84" s="943">
        <f t="shared" si="13"/>
        <v>0</v>
      </c>
      <c r="J84" s="943">
        <f t="shared" si="26"/>
        <v>0</v>
      </c>
      <c r="K84" s="943">
        <f t="shared" si="14"/>
        <v>0</v>
      </c>
      <c r="M84" s="878"/>
      <c r="N84" s="42" t="str">
        <f t="shared" si="27"/>
        <v/>
      </c>
      <c r="O84" s="993">
        <f t="shared" si="28"/>
        <v>0</v>
      </c>
      <c r="P84" s="993"/>
      <c r="Q84" s="989">
        <f t="shared" si="15"/>
        <v>0</v>
      </c>
      <c r="R84" s="989"/>
      <c r="S84" s="989">
        <f t="shared" si="16"/>
        <v>0</v>
      </c>
      <c r="T84" s="993"/>
      <c r="U84" s="993">
        <f t="shared" si="29"/>
        <v>0</v>
      </c>
      <c r="V84" s="993"/>
      <c r="W84" s="42"/>
      <c r="X84" s="42" t="str">
        <f t="shared" si="17"/>
        <v/>
      </c>
      <c r="Y84" s="993">
        <f t="shared" si="18"/>
        <v>0</v>
      </c>
      <c r="Z84" s="993"/>
      <c r="AA84" s="989">
        <f t="shared" si="19"/>
        <v>0</v>
      </c>
      <c r="AB84" s="989"/>
      <c r="AC84" s="989">
        <f t="shared" si="20"/>
        <v>0</v>
      </c>
      <c r="AD84" s="993"/>
      <c r="AE84" s="993">
        <f t="shared" si="21"/>
        <v>0</v>
      </c>
      <c r="AF84" s="993"/>
    </row>
    <row r="85" spans="1:43" s="290" customFormat="1" ht="15" hidden="1" customHeight="1">
      <c r="A85" t="str">
        <f t="shared" si="22"/>
        <v>*</v>
      </c>
      <c r="B85" s="898"/>
      <c r="C85" s="877" t="str">
        <f t="shared" si="10"/>
        <v/>
      </c>
      <c r="D85" s="943">
        <f t="shared" si="23"/>
        <v>0</v>
      </c>
      <c r="E85" s="943">
        <f t="shared" si="11"/>
        <v>0</v>
      </c>
      <c r="F85" s="943">
        <f t="shared" si="24"/>
        <v>0</v>
      </c>
      <c r="G85" s="943">
        <f t="shared" si="12"/>
        <v>0</v>
      </c>
      <c r="H85" s="943">
        <f t="shared" si="25"/>
        <v>0</v>
      </c>
      <c r="I85" s="943">
        <f t="shared" si="13"/>
        <v>0</v>
      </c>
      <c r="J85" s="943">
        <f t="shared" si="26"/>
        <v>0</v>
      </c>
      <c r="K85" s="943">
        <f t="shared" si="14"/>
        <v>0</v>
      </c>
      <c r="M85" s="878"/>
      <c r="N85" s="42" t="str">
        <f t="shared" si="27"/>
        <v/>
      </c>
      <c r="O85" s="993">
        <f t="shared" si="28"/>
        <v>0</v>
      </c>
      <c r="P85" s="993"/>
      <c r="Q85" s="989">
        <f t="shared" si="15"/>
        <v>0</v>
      </c>
      <c r="R85" s="989"/>
      <c r="S85" s="989">
        <f t="shared" si="16"/>
        <v>0</v>
      </c>
      <c r="T85" s="993"/>
      <c r="U85" s="993">
        <f t="shared" si="29"/>
        <v>0</v>
      </c>
      <c r="V85" s="993"/>
      <c r="W85" s="42"/>
      <c r="X85" s="42" t="str">
        <f t="shared" si="17"/>
        <v/>
      </c>
      <c r="Y85" s="993">
        <f t="shared" si="18"/>
        <v>0</v>
      </c>
      <c r="Z85" s="993"/>
      <c r="AA85" s="989">
        <f t="shared" si="19"/>
        <v>0</v>
      </c>
      <c r="AB85" s="989"/>
      <c r="AC85" s="989">
        <f t="shared" si="20"/>
        <v>0</v>
      </c>
      <c r="AD85" s="993"/>
      <c r="AE85" s="993">
        <f t="shared" si="21"/>
        <v>0</v>
      </c>
      <c r="AF85" s="993"/>
    </row>
    <row r="86" spans="1:43" s="290" customFormat="1" ht="15" hidden="1" customHeight="1">
      <c r="A86" t="str">
        <f t="shared" si="22"/>
        <v>*</v>
      </c>
      <c r="B86" s="898"/>
      <c r="C86" s="877" t="str">
        <f t="shared" si="10"/>
        <v/>
      </c>
      <c r="D86" s="943">
        <f t="shared" si="23"/>
        <v>0</v>
      </c>
      <c r="E86" s="943">
        <f t="shared" si="11"/>
        <v>0</v>
      </c>
      <c r="F86" s="943">
        <f t="shared" si="24"/>
        <v>0</v>
      </c>
      <c r="G86" s="943">
        <f t="shared" si="12"/>
        <v>0</v>
      </c>
      <c r="H86" s="943">
        <f t="shared" si="25"/>
        <v>0</v>
      </c>
      <c r="I86" s="943">
        <f t="shared" si="13"/>
        <v>0</v>
      </c>
      <c r="J86" s="943">
        <f t="shared" si="26"/>
        <v>0</v>
      </c>
      <c r="K86" s="943">
        <f t="shared" si="14"/>
        <v>0</v>
      </c>
      <c r="M86" s="878"/>
      <c r="N86" s="42" t="str">
        <f t="shared" si="27"/>
        <v/>
      </c>
      <c r="O86" s="993">
        <f t="shared" si="28"/>
        <v>0</v>
      </c>
      <c r="P86" s="993"/>
      <c r="Q86" s="989">
        <f t="shared" si="15"/>
        <v>0</v>
      </c>
      <c r="R86" s="989"/>
      <c r="S86" s="989">
        <f t="shared" si="16"/>
        <v>0</v>
      </c>
      <c r="T86" s="993"/>
      <c r="U86" s="993">
        <f t="shared" si="29"/>
        <v>0</v>
      </c>
      <c r="V86" s="993"/>
      <c r="W86" s="42"/>
      <c r="X86" s="42" t="str">
        <f t="shared" si="17"/>
        <v/>
      </c>
      <c r="Y86" s="993">
        <f t="shared" si="18"/>
        <v>0</v>
      </c>
      <c r="Z86" s="993"/>
      <c r="AA86" s="989">
        <f t="shared" si="19"/>
        <v>0</v>
      </c>
      <c r="AB86" s="989"/>
      <c r="AC86" s="989">
        <f t="shared" si="20"/>
        <v>0</v>
      </c>
      <c r="AD86" s="993"/>
      <c r="AE86" s="993">
        <f t="shared" si="21"/>
        <v>0</v>
      </c>
      <c r="AF86" s="993"/>
    </row>
    <row r="87" spans="1:43" s="290" customFormat="1" ht="15" hidden="1" customHeight="1">
      <c r="A87" t="str">
        <f t="shared" si="22"/>
        <v>*</v>
      </c>
      <c r="B87" s="898"/>
      <c r="C87" s="877" t="str">
        <f t="shared" si="10"/>
        <v/>
      </c>
      <c r="D87" s="943">
        <f t="shared" si="23"/>
        <v>0</v>
      </c>
      <c r="E87" s="943">
        <f t="shared" si="11"/>
        <v>0</v>
      </c>
      <c r="F87" s="943">
        <f t="shared" si="24"/>
        <v>0</v>
      </c>
      <c r="G87" s="943">
        <f t="shared" si="12"/>
        <v>0</v>
      </c>
      <c r="H87" s="943">
        <f t="shared" si="25"/>
        <v>0</v>
      </c>
      <c r="I87" s="943">
        <f t="shared" si="13"/>
        <v>0</v>
      </c>
      <c r="J87" s="943">
        <f t="shared" si="26"/>
        <v>0</v>
      </c>
      <c r="K87" s="943">
        <f t="shared" si="14"/>
        <v>0</v>
      </c>
      <c r="M87" s="878"/>
      <c r="N87" s="42" t="str">
        <f t="shared" si="27"/>
        <v/>
      </c>
      <c r="O87" s="993">
        <f t="shared" si="28"/>
        <v>0</v>
      </c>
      <c r="P87" s="993"/>
      <c r="Q87" s="989">
        <f t="shared" si="15"/>
        <v>0</v>
      </c>
      <c r="R87" s="989"/>
      <c r="S87" s="989">
        <f t="shared" si="16"/>
        <v>0</v>
      </c>
      <c r="T87" s="993"/>
      <c r="U87" s="993">
        <f t="shared" si="29"/>
        <v>0</v>
      </c>
      <c r="V87" s="993"/>
      <c r="W87" s="42"/>
      <c r="X87" s="42" t="str">
        <f t="shared" si="17"/>
        <v/>
      </c>
      <c r="Y87" s="993">
        <f t="shared" si="18"/>
        <v>0</v>
      </c>
      <c r="Z87" s="993"/>
      <c r="AA87" s="989">
        <f t="shared" si="19"/>
        <v>0</v>
      </c>
      <c r="AB87" s="989"/>
      <c r="AC87" s="989">
        <f t="shared" si="20"/>
        <v>0</v>
      </c>
      <c r="AD87" s="993"/>
      <c r="AE87" s="993">
        <f t="shared" si="21"/>
        <v>0</v>
      </c>
      <c r="AF87" s="993"/>
    </row>
    <row r="88" spans="1:43" s="290" customFormat="1" ht="15" hidden="1" customHeight="1">
      <c r="A88" t="str">
        <f t="shared" si="22"/>
        <v>*</v>
      </c>
      <c r="B88" s="898"/>
      <c r="C88" s="877" t="str">
        <f t="shared" si="10"/>
        <v/>
      </c>
      <c r="D88" s="943">
        <f t="shared" si="23"/>
        <v>0</v>
      </c>
      <c r="E88" s="943">
        <f t="shared" si="11"/>
        <v>0</v>
      </c>
      <c r="F88" s="943">
        <f t="shared" si="24"/>
        <v>0</v>
      </c>
      <c r="G88" s="943">
        <f t="shared" si="12"/>
        <v>0</v>
      </c>
      <c r="H88" s="943">
        <f t="shared" si="25"/>
        <v>0</v>
      </c>
      <c r="I88" s="943">
        <f t="shared" si="13"/>
        <v>0</v>
      </c>
      <c r="J88" s="943">
        <f t="shared" si="26"/>
        <v>0</v>
      </c>
      <c r="K88" s="943">
        <f t="shared" si="14"/>
        <v>0</v>
      </c>
      <c r="M88" s="878"/>
      <c r="N88" s="42" t="str">
        <f t="shared" si="27"/>
        <v/>
      </c>
      <c r="O88" s="993">
        <f t="shared" si="28"/>
        <v>0</v>
      </c>
      <c r="P88" s="993"/>
      <c r="Q88" s="989">
        <f t="shared" si="15"/>
        <v>0</v>
      </c>
      <c r="R88" s="989"/>
      <c r="S88" s="989">
        <f t="shared" si="16"/>
        <v>0</v>
      </c>
      <c r="T88" s="993"/>
      <c r="U88" s="993">
        <f t="shared" si="29"/>
        <v>0</v>
      </c>
      <c r="V88" s="993"/>
      <c r="W88" s="42"/>
      <c r="X88" s="42" t="str">
        <f t="shared" si="17"/>
        <v/>
      </c>
      <c r="Y88" s="993">
        <f t="shared" si="18"/>
        <v>0</v>
      </c>
      <c r="Z88" s="993"/>
      <c r="AA88" s="989">
        <f t="shared" si="19"/>
        <v>0</v>
      </c>
      <c r="AB88" s="989"/>
      <c r="AC88" s="989">
        <f t="shared" si="20"/>
        <v>0</v>
      </c>
      <c r="AD88" s="993"/>
      <c r="AE88" s="993">
        <f t="shared" si="21"/>
        <v>0</v>
      </c>
      <c r="AF88" s="993"/>
    </row>
    <row r="89" spans="1:43" s="290" customFormat="1" ht="15" hidden="1" customHeight="1">
      <c r="A89" t="str">
        <f t="shared" si="22"/>
        <v>*</v>
      </c>
      <c r="B89" s="898"/>
      <c r="C89" s="877" t="str">
        <f t="shared" si="10"/>
        <v/>
      </c>
      <c r="D89" s="944">
        <f t="shared" si="23"/>
        <v>0</v>
      </c>
      <c r="E89" s="944">
        <f t="shared" si="11"/>
        <v>0</v>
      </c>
      <c r="F89" s="944">
        <f t="shared" si="24"/>
        <v>0</v>
      </c>
      <c r="G89" s="944">
        <f t="shared" si="12"/>
        <v>0</v>
      </c>
      <c r="H89" s="944">
        <f t="shared" si="25"/>
        <v>0</v>
      </c>
      <c r="I89" s="944">
        <f t="shared" si="13"/>
        <v>0</v>
      </c>
      <c r="J89" s="944">
        <f t="shared" si="26"/>
        <v>0</v>
      </c>
      <c r="K89" s="944">
        <f t="shared" si="14"/>
        <v>0</v>
      </c>
      <c r="M89" s="878"/>
      <c r="N89" s="42" t="str">
        <f t="shared" si="27"/>
        <v/>
      </c>
      <c r="O89" s="993">
        <f t="shared" si="28"/>
        <v>0</v>
      </c>
      <c r="P89" s="993"/>
      <c r="Q89" s="989">
        <f t="shared" si="15"/>
        <v>0</v>
      </c>
      <c r="R89" s="989"/>
      <c r="S89" s="989">
        <f t="shared" si="16"/>
        <v>0</v>
      </c>
      <c r="T89" s="993"/>
      <c r="U89" s="993">
        <f t="shared" si="29"/>
        <v>0</v>
      </c>
      <c r="V89" s="993"/>
      <c r="W89" s="42"/>
      <c r="X89" s="42" t="str">
        <f t="shared" si="17"/>
        <v/>
      </c>
      <c r="Y89" s="993">
        <f t="shared" si="18"/>
        <v>0</v>
      </c>
      <c r="Z89" s="993"/>
      <c r="AA89" s="989">
        <f t="shared" si="19"/>
        <v>0</v>
      </c>
      <c r="AB89" s="989"/>
      <c r="AC89" s="989">
        <f t="shared" si="20"/>
        <v>0</v>
      </c>
      <c r="AD89" s="993"/>
      <c r="AE89" s="993">
        <f t="shared" si="21"/>
        <v>0</v>
      </c>
      <c r="AF89" s="993"/>
      <c r="AQ89" s="42"/>
    </row>
    <row r="90" spans="1:43" s="290" customFormat="1" ht="15" customHeight="1">
      <c r="B90" s="100"/>
      <c r="C90" s="879" t="s">
        <v>885</v>
      </c>
      <c r="D90" s="938">
        <f t="shared" ref="D90:I90" si="30">SUM(D70:D89)</f>
        <v>257.763125</v>
      </c>
      <c r="E90" s="938">
        <f t="shared" si="30"/>
        <v>3.75</v>
      </c>
      <c r="F90" s="938" t="e">
        <f t="shared" si="30"/>
        <v>#DIV/0!</v>
      </c>
      <c r="G90" s="938" t="e">
        <f t="shared" si="30"/>
        <v>#DIV/0!</v>
      </c>
      <c r="H90" s="938" t="e">
        <f t="shared" si="30"/>
        <v>#DIV/0!</v>
      </c>
      <c r="I90" s="938" t="e">
        <f t="shared" si="30"/>
        <v>#DIV/0!</v>
      </c>
      <c r="J90" s="938">
        <f>SUM(J70:J89)</f>
        <v>269.71312499999999</v>
      </c>
      <c r="K90" s="938">
        <f>SUM(K70:K89)</f>
        <v>3.75</v>
      </c>
      <c r="N90" s="42"/>
      <c r="O90" s="42"/>
      <c r="P90" s="42"/>
      <c r="Q90" s="42"/>
      <c r="R90" s="42"/>
      <c r="S90" s="42"/>
      <c r="T90" s="42"/>
      <c r="U90" s="42"/>
      <c r="V90" s="42"/>
      <c r="W90" s="42"/>
      <c r="X90" s="42"/>
      <c r="Y90" s="42"/>
      <c r="Z90" s="42"/>
      <c r="AA90" s="42"/>
      <c r="AB90" s="42"/>
      <c r="AC90" s="42"/>
      <c r="AD90" s="42"/>
      <c r="AE90" s="42"/>
      <c r="AF90" s="42"/>
    </row>
    <row r="91" spans="1:43" s="290" customFormat="1" ht="6" customHeight="1">
      <c r="B91" s="100"/>
      <c r="C91" s="124"/>
      <c r="D91" s="878"/>
      <c r="E91" s="878"/>
      <c r="F91" s="878"/>
      <c r="G91" s="878"/>
      <c r="H91" s="878"/>
      <c r="I91" s="878"/>
    </row>
    <row r="92" spans="1:43" s="290" customFormat="1" ht="15" customHeight="1">
      <c r="B92" s="100"/>
      <c r="C92" s="60" t="s">
        <v>1009</v>
      </c>
      <c r="I92" s="124"/>
      <c r="O92" s="1670" t="s">
        <v>986</v>
      </c>
      <c r="P92" s="1670"/>
      <c r="Q92" s="1670"/>
      <c r="R92" s="1670"/>
      <c r="S92" s="1670"/>
      <c r="T92" s="1670"/>
      <c r="U92" s="1670"/>
      <c r="V92" s="1670"/>
      <c r="Y92" s="1670" t="s">
        <v>988</v>
      </c>
      <c r="Z92" s="1670"/>
      <c r="AA92" s="1670"/>
      <c r="AB92" s="1670"/>
      <c r="AC92" s="1670"/>
      <c r="AD92" s="1670"/>
      <c r="AE92" s="1670"/>
      <c r="AF92" s="1670"/>
    </row>
    <row r="93" spans="1:43" s="290" customFormat="1" ht="6" customHeight="1">
      <c r="B93" s="100"/>
      <c r="C93" s="678"/>
    </row>
    <row r="94" spans="1:43" s="290" customFormat="1" ht="12.75" customHeight="1">
      <c r="B94" s="100"/>
      <c r="C94" s="794"/>
      <c r="D94" s="1652" t="s">
        <v>563</v>
      </c>
      <c r="E94" s="1653"/>
      <c r="F94" s="1652" t="s">
        <v>564</v>
      </c>
      <c r="G94" s="1653"/>
      <c r="H94" s="1652" t="s">
        <v>565</v>
      </c>
      <c r="I94" s="1653"/>
      <c r="J94" s="1652" t="s">
        <v>566</v>
      </c>
      <c r="K94" s="1655"/>
      <c r="O94" s="60" t="s">
        <v>981</v>
      </c>
      <c r="Q94" s="60" t="s">
        <v>982</v>
      </c>
      <c r="S94" s="60" t="s">
        <v>982</v>
      </c>
      <c r="U94" s="60" t="s">
        <v>981</v>
      </c>
      <c r="Y94" s="60" t="s">
        <v>981</v>
      </c>
      <c r="AA94" s="60" t="s">
        <v>982</v>
      </c>
      <c r="AC94" s="60" t="s">
        <v>982</v>
      </c>
      <c r="AE94" s="60" t="s">
        <v>981</v>
      </c>
    </row>
    <row r="95" spans="1:43" s="290" customFormat="1" ht="15" customHeight="1">
      <c r="B95" s="100"/>
      <c r="C95" s="876"/>
      <c r="D95" s="932" t="s">
        <v>721</v>
      </c>
      <c r="E95" s="902" t="s">
        <v>890</v>
      </c>
      <c r="F95" s="932" t="s">
        <v>721</v>
      </c>
      <c r="G95" s="902" t="s">
        <v>890</v>
      </c>
      <c r="H95" s="932" t="s">
        <v>721</v>
      </c>
      <c r="I95" s="902" t="s">
        <v>890</v>
      </c>
      <c r="J95" s="932" t="s">
        <v>721</v>
      </c>
      <c r="K95" s="902" t="s">
        <v>890</v>
      </c>
      <c r="O95" s="60" t="s">
        <v>983</v>
      </c>
      <c r="Q95" s="60" t="s">
        <v>983</v>
      </c>
      <c r="S95" s="60" t="s">
        <v>984</v>
      </c>
      <c r="U95" s="60" t="s">
        <v>984</v>
      </c>
      <c r="Y95" s="60" t="s">
        <v>983</v>
      </c>
      <c r="AA95" s="60" t="s">
        <v>983</v>
      </c>
      <c r="AC95" s="60" t="s">
        <v>984</v>
      </c>
      <c r="AE95" s="60" t="s">
        <v>984</v>
      </c>
    </row>
    <row r="96" spans="1:43" s="290" customFormat="1" ht="15" customHeight="1">
      <c r="A96" t="str">
        <f>IF(C96="","*","")</f>
        <v/>
      </c>
      <c r="B96" s="100"/>
      <c r="C96" s="939" t="str">
        <f t="shared" ref="C96:C115" si="31">I42</f>
        <v>Beam 1</v>
      </c>
      <c r="D96" s="942">
        <f>O96</f>
        <v>133.02875</v>
      </c>
      <c r="E96" s="942">
        <f t="shared" ref="E96:E115" si="32">Y96</f>
        <v>2.25</v>
      </c>
      <c r="F96" s="942" t="e">
        <f>Q96</f>
        <v>#DIV/0!</v>
      </c>
      <c r="G96" s="942" t="e">
        <f t="shared" ref="G96:G115" si="33">AA96</f>
        <v>#DIV/0!</v>
      </c>
      <c r="H96" s="942" t="e">
        <f>S96</f>
        <v>#DIV/0!</v>
      </c>
      <c r="I96" s="942" t="e">
        <f t="shared" ref="I96:I115" si="34">AC96</f>
        <v>#DIV/0!</v>
      </c>
      <c r="J96" s="942">
        <f>U96</f>
        <v>0</v>
      </c>
      <c r="K96" s="942">
        <f t="shared" ref="K96:K115" si="35">AE96</f>
        <v>0</v>
      </c>
      <c r="N96" s="290" t="str">
        <f t="shared" ref="N96:N115" si="36">C96</f>
        <v>Beam 1</v>
      </c>
      <c r="O96" s="989">
        <f t="shared" ref="O96:O115" si="37">IF(L16&lt;0,J42,0)</f>
        <v>133.02875</v>
      </c>
      <c r="P96" s="989"/>
      <c r="Q96" s="989" t="e">
        <f t="shared" ref="Q96:Q115" si="38">IF(N96="",0,IF(AND(O96=0,U96=0),J42*(ColSpa2-L16)/ColSpa2,IF(O96&gt;0,O96*-L16/ColSpa2,U96*M16/ColSpa2)))</f>
        <v>#DIV/0!</v>
      </c>
      <c r="R96" s="989"/>
      <c r="S96" s="989" t="e">
        <f t="shared" ref="S96:S115" si="39">IF(N96="",0,IF(AND(O96=0,U96=0),J42*(ColSpa2-M16)/ColSpa2,IF(O96&gt;0,O96*L16/ColSpa2,U96*-M16/ColSpa2)))</f>
        <v>#DIV/0!</v>
      </c>
      <c r="T96" s="989"/>
      <c r="U96" s="989">
        <f t="shared" ref="U96:U115" si="40">IF(M16&lt;0,J42,0)</f>
        <v>0</v>
      </c>
      <c r="V96" s="989"/>
      <c r="X96" s="290" t="str">
        <f t="shared" ref="X96:X115" si="41">C96</f>
        <v>Beam 1</v>
      </c>
      <c r="Y96" s="989">
        <f t="shared" ref="Y96:Y115" si="42">IF(L16&lt;0,K42,0)</f>
        <v>2.25</v>
      </c>
      <c r="Z96" s="989"/>
      <c r="AA96" s="989" t="e">
        <f t="shared" ref="AA96:AA115" si="43">IF(X96="",0,IF(AND(Y96=0,AE96=0),K42*(ColSpa2-L16)/ColSpa2,IF(Y96&gt;0,Y96*-L16/ColSpa2,AE96*M16/ColSpa2)))</f>
        <v>#DIV/0!</v>
      </c>
      <c r="AB96" s="989"/>
      <c r="AC96" s="989" t="e">
        <f t="shared" ref="AC96:AC115" si="44">IF(X96="",0,IF(AND(Y96=0,AE96=0),K42*(ColSpa2-M16)/ColSpa2,IF(Y96&gt;0,Y96*L16/ColSpa2,AE96*-M16/ColSpa2)))</f>
        <v>#DIV/0!</v>
      </c>
      <c r="AD96" s="989"/>
      <c r="AE96" s="989">
        <f t="shared" ref="AE96:AE115" si="45">IF(M16&lt;0,K42,0)</f>
        <v>0</v>
      </c>
      <c r="AF96" s="989"/>
    </row>
    <row r="97" spans="1:32" s="290" customFormat="1" ht="15" customHeight="1">
      <c r="A97" t="str">
        <f t="shared" ref="A97:A115" si="46">IF(C97="","*","")</f>
        <v/>
      </c>
      <c r="B97" s="100"/>
      <c r="C97" s="734" t="str">
        <f t="shared" si="31"/>
        <v>Beam 2</v>
      </c>
      <c r="D97" s="943">
        <f t="shared" ref="D97:D115" si="47">O97</f>
        <v>172.79</v>
      </c>
      <c r="E97" s="943">
        <f t="shared" si="32"/>
        <v>2.25</v>
      </c>
      <c r="F97" s="943" t="e">
        <f t="shared" ref="F97:F115" si="48">Q97</f>
        <v>#DIV/0!</v>
      </c>
      <c r="G97" s="943" t="e">
        <f t="shared" si="33"/>
        <v>#DIV/0!</v>
      </c>
      <c r="H97" s="943" t="e">
        <f t="shared" ref="H97:H115" si="49">S97</f>
        <v>#DIV/0!</v>
      </c>
      <c r="I97" s="943" t="e">
        <f t="shared" si="34"/>
        <v>#DIV/0!</v>
      </c>
      <c r="J97" s="943">
        <f t="shared" ref="J97:J115" si="50">U97</f>
        <v>0</v>
      </c>
      <c r="K97" s="943">
        <f t="shared" si="35"/>
        <v>0</v>
      </c>
      <c r="N97" s="290" t="str">
        <f t="shared" si="36"/>
        <v>Beam 2</v>
      </c>
      <c r="O97" s="989">
        <f t="shared" si="37"/>
        <v>172.79</v>
      </c>
      <c r="P97" s="989"/>
      <c r="Q97" s="989" t="e">
        <f t="shared" si="38"/>
        <v>#DIV/0!</v>
      </c>
      <c r="R97" s="989"/>
      <c r="S97" s="989" t="e">
        <f t="shared" si="39"/>
        <v>#DIV/0!</v>
      </c>
      <c r="T97" s="989"/>
      <c r="U97" s="989">
        <f t="shared" si="40"/>
        <v>0</v>
      </c>
      <c r="V97" s="989"/>
      <c r="X97" s="290" t="str">
        <f t="shared" si="41"/>
        <v>Beam 2</v>
      </c>
      <c r="Y97" s="989">
        <f t="shared" si="42"/>
        <v>2.25</v>
      </c>
      <c r="Z97" s="989"/>
      <c r="AA97" s="989" t="e">
        <f t="shared" si="43"/>
        <v>#DIV/0!</v>
      </c>
      <c r="AB97" s="989"/>
      <c r="AC97" s="989" t="e">
        <f t="shared" si="44"/>
        <v>#DIV/0!</v>
      </c>
      <c r="AD97" s="989"/>
      <c r="AE97" s="989">
        <f t="shared" si="45"/>
        <v>0</v>
      </c>
      <c r="AF97" s="989"/>
    </row>
    <row r="98" spans="1:32" s="290" customFormat="1" ht="15" customHeight="1">
      <c r="A98" t="str">
        <f t="shared" si="46"/>
        <v/>
      </c>
      <c r="B98" s="100"/>
      <c r="C98" s="734" t="str">
        <f t="shared" si="31"/>
        <v>Beam 3</v>
      </c>
      <c r="D98" s="943">
        <f t="shared" si="47"/>
        <v>0</v>
      </c>
      <c r="E98" s="943">
        <f t="shared" si="32"/>
        <v>0</v>
      </c>
      <c r="F98" s="943" t="e">
        <f t="shared" si="48"/>
        <v>#DIV/0!</v>
      </c>
      <c r="G98" s="943" t="e">
        <f t="shared" si="33"/>
        <v>#DIV/0!</v>
      </c>
      <c r="H98" s="943" t="e">
        <f t="shared" si="49"/>
        <v>#DIV/0!</v>
      </c>
      <c r="I98" s="943" t="e">
        <f t="shared" si="34"/>
        <v>#DIV/0!</v>
      </c>
      <c r="J98" s="943">
        <f t="shared" si="50"/>
        <v>172.79</v>
      </c>
      <c r="K98" s="943">
        <f t="shared" si="35"/>
        <v>2.25</v>
      </c>
      <c r="N98" s="290" t="str">
        <f t="shared" si="36"/>
        <v>Beam 3</v>
      </c>
      <c r="O98" s="989">
        <f t="shared" si="37"/>
        <v>0</v>
      </c>
      <c r="P98" s="989"/>
      <c r="Q98" s="989" t="e">
        <f t="shared" si="38"/>
        <v>#DIV/0!</v>
      </c>
      <c r="R98" s="989"/>
      <c r="S98" s="989" t="e">
        <f t="shared" si="39"/>
        <v>#DIV/0!</v>
      </c>
      <c r="T98" s="989"/>
      <c r="U98" s="989">
        <f t="shared" si="40"/>
        <v>172.79</v>
      </c>
      <c r="V98" s="989"/>
      <c r="X98" s="290" t="str">
        <f t="shared" si="41"/>
        <v>Beam 3</v>
      </c>
      <c r="Y98" s="989">
        <f t="shared" si="42"/>
        <v>0</v>
      </c>
      <c r="Z98" s="989"/>
      <c r="AA98" s="989" t="e">
        <f t="shared" si="43"/>
        <v>#DIV/0!</v>
      </c>
      <c r="AB98" s="989"/>
      <c r="AC98" s="989" t="e">
        <f t="shared" si="44"/>
        <v>#DIV/0!</v>
      </c>
      <c r="AD98" s="989"/>
      <c r="AE98" s="989">
        <f t="shared" si="45"/>
        <v>2.25</v>
      </c>
      <c r="AF98" s="989"/>
    </row>
    <row r="99" spans="1:32" s="290" customFormat="1" ht="15" customHeight="1">
      <c r="A99" t="str">
        <f t="shared" si="46"/>
        <v/>
      </c>
      <c r="B99" s="100"/>
      <c r="C99" s="734" t="str">
        <f t="shared" si="31"/>
        <v>Beam 4</v>
      </c>
      <c r="D99" s="943">
        <f t="shared" si="47"/>
        <v>0</v>
      </c>
      <c r="E99" s="943">
        <f t="shared" si="32"/>
        <v>0</v>
      </c>
      <c r="F99" s="943" t="e">
        <f t="shared" si="48"/>
        <v>#DIV/0!</v>
      </c>
      <c r="G99" s="943" t="e">
        <f t="shared" si="33"/>
        <v>#DIV/0!</v>
      </c>
      <c r="H99" s="943" t="e">
        <f t="shared" si="49"/>
        <v>#DIV/0!</v>
      </c>
      <c r="I99" s="943" t="e">
        <f t="shared" si="34"/>
        <v>#DIV/0!</v>
      </c>
      <c r="J99" s="944">
        <f t="shared" si="50"/>
        <v>143.78375</v>
      </c>
      <c r="K99" s="944">
        <f t="shared" si="35"/>
        <v>2.25</v>
      </c>
      <c r="N99" s="42" t="str">
        <f t="shared" si="36"/>
        <v>Beam 4</v>
      </c>
      <c r="O99" s="993">
        <f t="shared" si="37"/>
        <v>0</v>
      </c>
      <c r="P99" s="993"/>
      <c r="Q99" s="989" t="e">
        <f t="shared" si="38"/>
        <v>#DIV/0!</v>
      </c>
      <c r="R99" s="989"/>
      <c r="S99" s="989" t="e">
        <f t="shared" si="39"/>
        <v>#DIV/0!</v>
      </c>
      <c r="T99" s="993"/>
      <c r="U99" s="993">
        <f t="shared" si="40"/>
        <v>143.78375</v>
      </c>
      <c r="V99" s="993"/>
      <c r="W99" s="42"/>
      <c r="X99" s="42" t="str">
        <f t="shared" si="41"/>
        <v>Beam 4</v>
      </c>
      <c r="Y99" s="993">
        <f t="shared" si="42"/>
        <v>0</v>
      </c>
      <c r="Z99" s="993"/>
      <c r="AA99" s="989" t="e">
        <f t="shared" si="43"/>
        <v>#DIV/0!</v>
      </c>
      <c r="AB99" s="989"/>
      <c r="AC99" s="989" t="e">
        <f t="shared" si="44"/>
        <v>#DIV/0!</v>
      </c>
      <c r="AD99" s="993"/>
      <c r="AE99" s="993">
        <f t="shared" si="45"/>
        <v>2.25</v>
      </c>
      <c r="AF99" s="993"/>
    </row>
    <row r="100" spans="1:32" s="290" customFormat="1" ht="15" customHeight="1">
      <c r="A100" t="str">
        <f t="shared" si="46"/>
        <v>*</v>
      </c>
      <c r="B100" s="100"/>
      <c r="C100" s="877" t="str">
        <f t="shared" si="31"/>
        <v/>
      </c>
      <c r="D100" s="943">
        <f t="shared" si="47"/>
        <v>0</v>
      </c>
      <c r="E100" s="943">
        <f t="shared" si="32"/>
        <v>0</v>
      </c>
      <c r="F100" s="943">
        <f t="shared" si="48"/>
        <v>0</v>
      </c>
      <c r="G100" s="943">
        <f t="shared" si="33"/>
        <v>0</v>
      </c>
      <c r="H100" s="943">
        <f t="shared" si="49"/>
        <v>0</v>
      </c>
      <c r="I100" s="943">
        <f t="shared" si="34"/>
        <v>0</v>
      </c>
      <c r="J100" s="943">
        <f t="shared" si="50"/>
        <v>0</v>
      </c>
      <c r="K100" s="943">
        <f t="shared" si="35"/>
        <v>0</v>
      </c>
      <c r="N100" s="42" t="str">
        <f t="shared" si="36"/>
        <v/>
      </c>
      <c r="O100" s="993">
        <f t="shared" si="37"/>
        <v>0</v>
      </c>
      <c r="P100" s="993"/>
      <c r="Q100" s="989">
        <f t="shared" si="38"/>
        <v>0</v>
      </c>
      <c r="R100" s="989"/>
      <c r="S100" s="989">
        <f t="shared" si="39"/>
        <v>0</v>
      </c>
      <c r="T100" s="993"/>
      <c r="U100" s="993">
        <f t="shared" si="40"/>
        <v>0</v>
      </c>
      <c r="V100" s="993"/>
      <c r="W100" s="42"/>
      <c r="X100" s="42" t="str">
        <f t="shared" si="41"/>
        <v/>
      </c>
      <c r="Y100" s="993">
        <f t="shared" si="42"/>
        <v>0</v>
      </c>
      <c r="Z100" s="993"/>
      <c r="AA100" s="989">
        <f t="shared" si="43"/>
        <v>0</v>
      </c>
      <c r="AB100" s="989"/>
      <c r="AC100" s="989">
        <f t="shared" si="44"/>
        <v>0</v>
      </c>
      <c r="AD100" s="993"/>
      <c r="AE100" s="993">
        <f t="shared" si="45"/>
        <v>0</v>
      </c>
      <c r="AF100" s="993"/>
    </row>
    <row r="101" spans="1:32" s="290" customFormat="1" ht="15" customHeight="1">
      <c r="A101" t="str">
        <f t="shared" si="46"/>
        <v>*</v>
      </c>
      <c r="B101" s="100"/>
      <c r="C101" s="877" t="str">
        <f t="shared" si="31"/>
        <v/>
      </c>
      <c r="D101" s="943">
        <f t="shared" si="47"/>
        <v>0</v>
      </c>
      <c r="E101" s="943">
        <f t="shared" si="32"/>
        <v>0</v>
      </c>
      <c r="F101" s="943">
        <f t="shared" si="48"/>
        <v>0</v>
      </c>
      <c r="G101" s="943">
        <f t="shared" si="33"/>
        <v>0</v>
      </c>
      <c r="H101" s="943">
        <f t="shared" si="49"/>
        <v>0</v>
      </c>
      <c r="I101" s="943">
        <f t="shared" si="34"/>
        <v>0</v>
      </c>
      <c r="J101" s="943">
        <f t="shared" si="50"/>
        <v>0</v>
      </c>
      <c r="K101" s="943">
        <f t="shared" si="35"/>
        <v>0</v>
      </c>
      <c r="N101" s="42" t="str">
        <f t="shared" si="36"/>
        <v/>
      </c>
      <c r="O101" s="993">
        <f t="shared" si="37"/>
        <v>0</v>
      </c>
      <c r="P101" s="993"/>
      <c r="Q101" s="989">
        <f t="shared" si="38"/>
        <v>0</v>
      </c>
      <c r="R101" s="989"/>
      <c r="S101" s="989">
        <f t="shared" si="39"/>
        <v>0</v>
      </c>
      <c r="T101" s="993"/>
      <c r="U101" s="993">
        <f t="shared" si="40"/>
        <v>0</v>
      </c>
      <c r="V101" s="993"/>
      <c r="W101" s="42"/>
      <c r="X101" s="42" t="str">
        <f t="shared" si="41"/>
        <v/>
      </c>
      <c r="Y101" s="993">
        <f t="shared" si="42"/>
        <v>0</v>
      </c>
      <c r="Z101" s="993"/>
      <c r="AA101" s="989">
        <f t="shared" si="43"/>
        <v>0</v>
      </c>
      <c r="AB101" s="989"/>
      <c r="AC101" s="989">
        <f t="shared" si="44"/>
        <v>0</v>
      </c>
      <c r="AD101" s="993"/>
      <c r="AE101" s="993">
        <f t="shared" si="45"/>
        <v>0</v>
      </c>
      <c r="AF101" s="993"/>
    </row>
    <row r="102" spans="1:32" s="290" customFormat="1" ht="15" hidden="1" customHeight="1">
      <c r="A102" t="str">
        <f t="shared" si="46"/>
        <v>*</v>
      </c>
      <c r="B102" s="100"/>
      <c r="C102" s="877" t="str">
        <f t="shared" si="31"/>
        <v/>
      </c>
      <c r="D102" s="943">
        <f t="shared" si="47"/>
        <v>0</v>
      </c>
      <c r="E102" s="943">
        <f t="shared" si="32"/>
        <v>0</v>
      </c>
      <c r="F102" s="943">
        <f t="shared" si="48"/>
        <v>0</v>
      </c>
      <c r="G102" s="943">
        <f t="shared" si="33"/>
        <v>0</v>
      </c>
      <c r="H102" s="943">
        <f t="shared" si="49"/>
        <v>0</v>
      </c>
      <c r="I102" s="943">
        <f t="shared" si="34"/>
        <v>0</v>
      </c>
      <c r="J102" s="943">
        <f t="shared" si="50"/>
        <v>0</v>
      </c>
      <c r="K102" s="943">
        <f t="shared" si="35"/>
        <v>0</v>
      </c>
      <c r="N102" s="42" t="str">
        <f t="shared" si="36"/>
        <v/>
      </c>
      <c r="O102" s="993">
        <f t="shared" si="37"/>
        <v>0</v>
      </c>
      <c r="P102" s="993"/>
      <c r="Q102" s="989">
        <f t="shared" si="38"/>
        <v>0</v>
      </c>
      <c r="R102" s="989"/>
      <c r="S102" s="989">
        <f t="shared" si="39"/>
        <v>0</v>
      </c>
      <c r="T102" s="993"/>
      <c r="U102" s="993">
        <f t="shared" si="40"/>
        <v>0</v>
      </c>
      <c r="V102" s="993"/>
      <c r="W102" s="42"/>
      <c r="X102" s="42" t="str">
        <f t="shared" si="41"/>
        <v/>
      </c>
      <c r="Y102" s="993">
        <f t="shared" si="42"/>
        <v>0</v>
      </c>
      <c r="Z102" s="993"/>
      <c r="AA102" s="989">
        <f t="shared" si="43"/>
        <v>0</v>
      </c>
      <c r="AB102" s="989"/>
      <c r="AC102" s="989">
        <f t="shared" si="44"/>
        <v>0</v>
      </c>
      <c r="AD102" s="993"/>
      <c r="AE102" s="993">
        <f t="shared" si="45"/>
        <v>0</v>
      </c>
      <c r="AF102" s="993"/>
    </row>
    <row r="103" spans="1:32" s="290" customFormat="1" ht="15" hidden="1" customHeight="1">
      <c r="A103" t="str">
        <f t="shared" si="46"/>
        <v>*</v>
      </c>
      <c r="B103" s="100"/>
      <c r="C103" s="877" t="str">
        <f t="shared" si="31"/>
        <v/>
      </c>
      <c r="D103" s="943">
        <f t="shared" si="47"/>
        <v>0</v>
      </c>
      <c r="E103" s="943">
        <f t="shared" si="32"/>
        <v>0</v>
      </c>
      <c r="F103" s="943">
        <f t="shared" si="48"/>
        <v>0</v>
      </c>
      <c r="G103" s="943">
        <f t="shared" si="33"/>
        <v>0</v>
      </c>
      <c r="H103" s="943">
        <f t="shared" si="49"/>
        <v>0</v>
      </c>
      <c r="I103" s="943">
        <f t="shared" si="34"/>
        <v>0</v>
      </c>
      <c r="J103" s="943">
        <f t="shared" si="50"/>
        <v>0</v>
      </c>
      <c r="K103" s="943">
        <f t="shared" si="35"/>
        <v>0</v>
      </c>
      <c r="N103" s="42" t="str">
        <f t="shared" si="36"/>
        <v/>
      </c>
      <c r="O103" s="993">
        <f t="shared" si="37"/>
        <v>0</v>
      </c>
      <c r="P103" s="993"/>
      <c r="Q103" s="989">
        <f t="shared" si="38"/>
        <v>0</v>
      </c>
      <c r="R103" s="989"/>
      <c r="S103" s="989">
        <f t="shared" si="39"/>
        <v>0</v>
      </c>
      <c r="T103" s="993"/>
      <c r="U103" s="993">
        <f t="shared" si="40"/>
        <v>0</v>
      </c>
      <c r="V103" s="993"/>
      <c r="W103" s="42"/>
      <c r="X103" s="42" t="str">
        <f t="shared" si="41"/>
        <v/>
      </c>
      <c r="Y103" s="993">
        <f t="shared" si="42"/>
        <v>0</v>
      </c>
      <c r="Z103" s="993"/>
      <c r="AA103" s="989">
        <f t="shared" si="43"/>
        <v>0</v>
      </c>
      <c r="AB103" s="989"/>
      <c r="AC103" s="989">
        <f t="shared" si="44"/>
        <v>0</v>
      </c>
      <c r="AD103" s="993"/>
      <c r="AE103" s="993">
        <f t="shared" si="45"/>
        <v>0</v>
      </c>
      <c r="AF103" s="993"/>
    </row>
    <row r="104" spans="1:32" s="290" customFormat="1" ht="15" hidden="1" customHeight="1">
      <c r="A104" t="str">
        <f t="shared" si="46"/>
        <v>*</v>
      </c>
      <c r="B104" s="100"/>
      <c r="C104" s="877" t="str">
        <f t="shared" si="31"/>
        <v/>
      </c>
      <c r="D104" s="943">
        <f t="shared" si="47"/>
        <v>0</v>
      </c>
      <c r="E104" s="943">
        <f t="shared" si="32"/>
        <v>0</v>
      </c>
      <c r="F104" s="943">
        <f t="shared" si="48"/>
        <v>0</v>
      </c>
      <c r="G104" s="943">
        <f t="shared" si="33"/>
        <v>0</v>
      </c>
      <c r="H104" s="943">
        <f t="shared" si="49"/>
        <v>0</v>
      </c>
      <c r="I104" s="943">
        <f t="shared" si="34"/>
        <v>0</v>
      </c>
      <c r="J104" s="943">
        <f t="shared" si="50"/>
        <v>0</v>
      </c>
      <c r="K104" s="943">
        <f t="shared" si="35"/>
        <v>0</v>
      </c>
      <c r="N104" s="42" t="str">
        <f t="shared" si="36"/>
        <v/>
      </c>
      <c r="O104" s="993">
        <f t="shared" si="37"/>
        <v>0</v>
      </c>
      <c r="P104" s="993"/>
      <c r="Q104" s="989">
        <f t="shared" si="38"/>
        <v>0</v>
      </c>
      <c r="R104" s="989"/>
      <c r="S104" s="989">
        <f t="shared" si="39"/>
        <v>0</v>
      </c>
      <c r="T104" s="993"/>
      <c r="U104" s="993">
        <f t="shared" si="40"/>
        <v>0</v>
      </c>
      <c r="V104" s="993"/>
      <c r="W104" s="42"/>
      <c r="X104" s="42" t="str">
        <f t="shared" si="41"/>
        <v/>
      </c>
      <c r="Y104" s="993">
        <f t="shared" si="42"/>
        <v>0</v>
      </c>
      <c r="Z104" s="993"/>
      <c r="AA104" s="989">
        <f t="shared" si="43"/>
        <v>0</v>
      </c>
      <c r="AB104" s="989"/>
      <c r="AC104" s="989">
        <f t="shared" si="44"/>
        <v>0</v>
      </c>
      <c r="AD104" s="993"/>
      <c r="AE104" s="993">
        <f t="shared" si="45"/>
        <v>0</v>
      </c>
      <c r="AF104" s="993"/>
    </row>
    <row r="105" spans="1:32" s="290" customFormat="1" ht="15" hidden="1" customHeight="1">
      <c r="A105" t="str">
        <f t="shared" si="46"/>
        <v>*</v>
      </c>
      <c r="B105" s="100"/>
      <c r="C105" s="877" t="str">
        <f t="shared" si="31"/>
        <v/>
      </c>
      <c r="D105" s="943">
        <f t="shared" si="47"/>
        <v>0</v>
      </c>
      <c r="E105" s="943">
        <f t="shared" si="32"/>
        <v>0</v>
      </c>
      <c r="F105" s="943">
        <f t="shared" si="48"/>
        <v>0</v>
      </c>
      <c r="G105" s="943">
        <f t="shared" si="33"/>
        <v>0</v>
      </c>
      <c r="H105" s="943">
        <f t="shared" si="49"/>
        <v>0</v>
      </c>
      <c r="I105" s="943">
        <f t="shared" si="34"/>
        <v>0</v>
      </c>
      <c r="J105" s="943">
        <f t="shared" si="50"/>
        <v>0</v>
      </c>
      <c r="K105" s="943">
        <f t="shared" si="35"/>
        <v>0</v>
      </c>
      <c r="N105" s="42" t="str">
        <f t="shared" si="36"/>
        <v/>
      </c>
      <c r="O105" s="993">
        <f t="shared" si="37"/>
        <v>0</v>
      </c>
      <c r="P105" s="993"/>
      <c r="Q105" s="989">
        <f t="shared" si="38"/>
        <v>0</v>
      </c>
      <c r="R105" s="989"/>
      <c r="S105" s="989">
        <f t="shared" si="39"/>
        <v>0</v>
      </c>
      <c r="T105" s="993"/>
      <c r="U105" s="993">
        <f t="shared" si="40"/>
        <v>0</v>
      </c>
      <c r="V105" s="993"/>
      <c r="W105" s="42"/>
      <c r="X105" s="42" t="str">
        <f t="shared" si="41"/>
        <v/>
      </c>
      <c r="Y105" s="993">
        <f t="shared" si="42"/>
        <v>0</v>
      </c>
      <c r="Z105" s="993"/>
      <c r="AA105" s="989">
        <f t="shared" si="43"/>
        <v>0</v>
      </c>
      <c r="AB105" s="989"/>
      <c r="AC105" s="989">
        <f t="shared" si="44"/>
        <v>0</v>
      </c>
      <c r="AD105" s="993"/>
      <c r="AE105" s="993">
        <f t="shared" si="45"/>
        <v>0</v>
      </c>
      <c r="AF105" s="993"/>
    </row>
    <row r="106" spans="1:32" s="290" customFormat="1" ht="15" hidden="1" customHeight="1">
      <c r="A106" t="str">
        <f t="shared" si="46"/>
        <v>*</v>
      </c>
      <c r="B106" s="100"/>
      <c r="C106" s="877" t="str">
        <f t="shared" si="31"/>
        <v/>
      </c>
      <c r="D106" s="943">
        <f t="shared" si="47"/>
        <v>0</v>
      </c>
      <c r="E106" s="943">
        <f t="shared" si="32"/>
        <v>0</v>
      </c>
      <c r="F106" s="943">
        <f t="shared" si="48"/>
        <v>0</v>
      </c>
      <c r="G106" s="943">
        <f t="shared" si="33"/>
        <v>0</v>
      </c>
      <c r="H106" s="943">
        <f t="shared" si="49"/>
        <v>0</v>
      </c>
      <c r="I106" s="943">
        <f t="shared" si="34"/>
        <v>0</v>
      </c>
      <c r="J106" s="943">
        <f t="shared" si="50"/>
        <v>0</v>
      </c>
      <c r="K106" s="943">
        <f t="shared" si="35"/>
        <v>0</v>
      </c>
      <c r="N106" s="42" t="str">
        <f t="shared" si="36"/>
        <v/>
      </c>
      <c r="O106" s="993">
        <f t="shared" si="37"/>
        <v>0</v>
      </c>
      <c r="P106" s="993"/>
      <c r="Q106" s="989">
        <f t="shared" si="38"/>
        <v>0</v>
      </c>
      <c r="R106" s="989"/>
      <c r="S106" s="989">
        <f t="shared" si="39"/>
        <v>0</v>
      </c>
      <c r="T106" s="993"/>
      <c r="U106" s="993">
        <f t="shared" si="40"/>
        <v>0</v>
      </c>
      <c r="V106" s="993"/>
      <c r="W106" s="42"/>
      <c r="X106" s="42" t="str">
        <f t="shared" si="41"/>
        <v/>
      </c>
      <c r="Y106" s="993">
        <f t="shared" si="42"/>
        <v>0</v>
      </c>
      <c r="Z106" s="993"/>
      <c r="AA106" s="989">
        <f t="shared" si="43"/>
        <v>0</v>
      </c>
      <c r="AB106" s="989"/>
      <c r="AC106" s="989">
        <f t="shared" si="44"/>
        <v>0</v>
      </c>
      <c r="AD106" s="993"/>
      <c r="AE106" s="993">
        <f t="shared" si="45"/>
        <v>0</v>
      </c>
      <c r="AF106" s="993"/>
    </row>
    <row r="107" spans="1:32" s="290" customFormat="1" ht="15" hidden="1" customHeight="1">
      <c r="A107" t="str">
        <f t="shared" si="46"/>
        <v>*</v>
      </c>
      <c r="B107" s="100"/>
      <c r="C107" s="877" t="str">
        <f t="shared" si="31"/>
        <v/>
      </c>
      <c r="D107" s="943">
        <f t="shared" si="47"/>
        <v>0</v>
      </c>
      <c r="E107" s="943">
        <f t="shared" si="32"/>
        <v>0</v>
      </c>
      <c r="F107" s="943">
        <f t="shared" si="48"/>
        <v>0</v>
      </c>
      <c r="G107" s="943">
        <f t="shared" si="33"/>
        <v>0</v>
      </c>
      <c r="H107" s="943">
        <f t="shared" si="49"/>
        <v>0</v>
      </c>
      <c r="I107" s="943">
        <f t="shared" si="34"/>
        <v>0</v>
      </c>
      <c r="J107" s="943">
        <f t="shared" si="50"/>
        <v>0</v>
      </c>
      <c r="K107" s="943">
        <f t="shared" si="35"/>
        <v>0</v>
      </c>
      <c r="N107" s="42" t="str">
        <f t="shared" si="36"/>
        <v/>
      </c>
      <c r="O107" s="993">
        <f t="shared" si="37"/>
        <v>0</v>
      </c>
      <c r="P107" s="993"/>
      <c r="Q107" s="989">
        <f t="shared" si="38"/>
        <v>0</v>
      </c>
      <c r="R107" s="989"/>
      <c r="S107" s="989">
        <f t="shared" si="39"/>
        <v>0</v>
      </c>
      <c r="T107" s="993"/>
      <c r="U107" s="993">
        <f t="shared" si="40"/>
        <v>0</v>
      </c>
      <c r="V107" s="993"/>
      <c r="W107" s="42"/>
      <c r="X107" s="42" t="str">
        <f t="shared" si="41"/>
        <v/>
      </c>
      <c r="Y107" s="993">
        <f t="shared" si="42"/>
        <v>0</v>
      </c>
      <c r="Z107" s="993"/>
      <c r="AA107" s="989">
        <f t="shared" si="43"/>
        <v>0</v>
      </c>
      <c r="AB107" s="989"/>
      <c r="AC107" s="989">
        <f t="shared" si="44"/>
        <v>0</v>
      </c>
      <c r="AD107" s="993"/>
      <c r="AE107" s="993">
        <f t="shared" si="45"/>
        <v>0</v>
      </c>
      <c r="AF107" s="993"/>
    </row>
    <row r="108" spans="1:32" s="290" customFormat="1" ht="15" hidden="1" customHeight="1">
      <c r="A108" t="str">
        <f t="shared" si="46"/>
        <v>*</v>
      </c>
      <c r="B108" s="100"/>
      <c r="C108" s="877" t="str">
        <f t="shared" si="31"/>
        <v/>
      </c>
      <c r="D108" s="943">
        <f t="shared" si="47"/>
        <v>0</v>
      </c>
      <c r="E108" s="943">
        <f t="shared" si="32"/>
        <v>0</v>
      </c>
      <c r="F108" s="943">
        <f t="shared" si="48"/>
        <v>0</v>
      </c>
      <c r="G108" s="943">
        <f t="shared" si="33"/>
        <v>0</v>
      </c>
      <c r="H108" s="943">
        <f t="shared" si="49"/>
        <v>0</v>
      </c>
      <c r="I108" s="943">
        <f t="shared" si="34"/>
        <v>0</v>
      </c>
      <c r="J108" s="943">
        <f t="shared" si="50"/>
        <v>0</v>
      </c>
      <c r="K108" s="943">
        <f t="shared" si="35"/>
        <v>0</v>
      </c>
      <c r="N108" s="42" t="str">
        <f t="shared" si="36"/>
        <v/>
      </c>
      <c r="O108" s="993">
        <f t="shared" si="37"/>
        <v>0</v>
      </c>
      <c r="P108" s="993"/>
      <c r="Q108" s="989">
        <f t="shared" si="38"/>
        <v>0</v>
      </c>
      <c r="R108" s="989"/>
      <c r="S108" s="989">
        <f t="shared" si="39"/>
        <v>0</v>
      </c>
      <c r="T108" s="993"/>
      <c r="U108" s="993">
        <f t="shared" si="40"/>
        <v>0</v>
      </c>
      <c r="V108" s="993"/>
      <c r="W108" s="42"/>
      <c r="X108" s="42" t="str">
        <f t="shared" si="41"/>
        <v/>
      </c>
      <c r="Y108" s="993">
        <f t="shared" si="42"/>
        <v>0</v>
      </c>
      <c r="Z108" s="993"/>
      <c r="AA108" s="989">
        <f t="shared" si="43"/>
        <v>0</v>
      </c>
      <c r="AB108" s="989"/>
      <c r="AC108" s="989">
        <f t="shared" si="44"/>
        <v>0</v>
      </c>
      <c r="AD108" s="993"/>
      <c r="AE108" s="993">
        <f t="shared" si="45"/>
        <v>0</v>
      </c>
      <c r="AF108" s="993"/>
    </row>
    <row r="109" spans="1:32" s="290" customFormat="1" ht="15" hidden="1" customHeight="1">
      <c r="A109" t="str">
        <f t="shared" si="46"/>
        <v>*</v>
      </c>
      <c r="B109" s="100"/>
      <c r="C109" s="877" t="str">
        <f t="shared" si="31"/>
        <v/>
      </c>
      <c r="D109" s="943">
        <f t="shared" si="47"/>
        <v>0</v>
      </c>
      <c r="E109" s="943">
        <f t="shared" si="32"/>
        <v>0</v>
      </c>
      <c r="F109" s="943">
        <f t="shared" si="48"/>
        <v>0</v>
      </c>
      <c r="G109" s="943">
        <f t="shared" si="33"/>
        <v>0</v>
      </c>
      <c r="H109" s="943">
        <f t="shared" si="49"/>
        <v>0</v>
      </c>
      <c r="I109" s="943">
        <f t="shared" si="34"/>
        <v>0</v>
      </c>
      <c r="J109" s="943">
        <f t="shared" si="50"/>
        <v>0</v>
      </c>
      <c r="K109" s="943">
        <f t="shared" si="35"/>
        <v>0</v>
      </c>
      <c r="N109" s="42" t="str">
        <f t="shared" si="36"/>
        <v/>
      </c>
      <c r="O109" s="993">
        <f t="shared" si="37"/>
        <v>0</v>
      </c>
      <c r="P109" s="993"/>
      <c r="Q109" s="989">
        <f t="shared" si="38"/>
        <v>0</v>
      </c>
      <c r="R109" s="989"/>
      <c r="S109" s="989">
        <f t="shared" si="39"/>
        <v>0</v>
      </c>
      <c r="T109" s="993"/>
      <c r="U109" s="993">
        <f t="shared" si="40"/>
        <v>0</v>
      </c>
      <c r="V109" s="993"/>
      <c r="W109" s="42"/>
      <c r="X109" s="42" t="str">
        <f t="shared" si="41"/>
        <v/>
      </c>
      <c r="Y109" s="993">
        <f t="shared" si="42"/>
        <v>0</v>
      </c>
      <c r="Z109" s="993"/>
      <c r="AA109" s="989">
        <f t="shared" si="43"/>
        <v>0</v>
      </c>
      <c r="AB109" s="989"/>
      <c r="AC109" s="989">
        <f t="shared" si="44"/>
        <v>0</v>
      </c>
      <c r="AD109" s="993"/>
      <c r="AE109" s="993">
        <f t="shared" si="45"/>
        <v>0</v>
      </c>
      <c r="AF109" s="993"/>
    </row>
    <row r="110" spans="1:32" s="290" customFormat="1" ht="15" hidden="1" customHeight="1">
      <c r="A110" t="str">
        <f t="shared" si="46"/>
        <v>*</v>
      </c>
      <c r="B110" s="100"/>
      <c r="C110" s="877" t="str">
        <f t="shared" si="31"/>
        <v/>
      </c>
      <c r="D110" s="943">
        <f t="shared" si="47"/>
        <v>0</v>
      </c>
      <c r="E110" s="943">
        <f t="shared" si="32"/>
        <v>0</v>
      </c>
      <c r="F110" s="943">
        <f t="shared" si="48"/>
        <v>0</v>
      </c>
      <c r="G110" s="943">
        <f t="shared" si="33"/>
        <v>0</v>
      </c>
      <c r="H110" s="943">
        <f t="shared" si="49"/>
        <v>0</v>
      </c>
      <c r="I110" s="943">
        <f t="shared" si="34"/>
        <v>0</v>
      </c>
      <c r="J110" s="943">
        <f t="shared" si="50"/>
        <v>0</v>
      </c>
      <c r="K110" s="943">
        <f t="shared" si="35"/>
        <v>0</v>
      </c>
      <c r="N110" s="42" t="str">
        <f t="shared" si="36"/>
        <v/>
      </c>
      <c r="O110" s="993">
        <f t="shared" si="37"/>
        <v>0</v>
      </c>
      <c r="P110" s="993"/>
      <c r="Q110" s="989">
        <f t="shared" si="38"/>
        <v>0</v>
      </c>
      <c r="R110" s="989"/>
      <c r="S110" s="989">
        <f t="shared" si="39"/>
        <v>0</v>
      </c>
      <c r="T110" s="993"/>
      <c r="U110" s="993">
        <f t="shared" si="40"/>
        <v>0</v>
      </c>
      <c r="V110" s="993"/>
      <c r="W110" s="42"/>
      <c r="X110" s="42" t="str">
        <f t="shared" si="41"/>
        <v/>
      </c>
      <c r="Y110" s="993">
        <f t="shared" si="42"/>
        <v>0</v>
      </c>
      <c r="Z110" s="993"/>
      <c r="AA110" s="989">
        <f t="shared" si="43"/>
        <v>0</v>
      </c>
      <c r="AB110" s="989"/>
      <c r="AC110" s="989">
        <f t="shared" si="44"/>
        <v>0</v>
      </c>
      <c r="AD110" s="993"/>
      <c r="AE110" s="993">
        <f t="shared" si="45"/>
        <v>0</v>
      </c>
      <c r="AF110" s="993"/>
    </row>
    <row r="111" spans="1:32" s="290" customFormat="1" ht="15" hidden="1" customHeight="1">
      <c r="A111" t="str">
        <f t="shared" si="46"/>
        <v>*</v>
      </c>
      <c r="B111" s="100"/>
      <c r="C111" s="877" t="str">
        <f t="shared" si="31"/>
        <v/>
      </c>
      <c r="D111" s="943">
        <f t="shared" si="47"/>
        <v>0</v>
      </c>
      <c r="E111" s="943">
        <f t="shared" si="32"/>
        <v>0</v>
      </c>
      <c r="F111" s="943">
        <f t="shared" si="48"/>
        <v>0</v>
      </c>
      <c r="G111" s="943">
        <f t="shared" si="33"/>
        <v>0</v>
      </c>
      <c r="H111" s="943">
        <f t="shared" si="49"/>
        <v>0</v>
      </c>
      <c r="I111" s="943">
        <f t="shared" si="34"/>
        <v>0</v>
      </c>
      <c r="J111" s="943">
        <f t="shared" si="50"/>
        <v>0</v>
      </c>
      <c r="K111" s="943">
        <f t="shared" si="35"/>
        <v>0</v>
      </c>
      <c r="N111" s="42" t="str">
        <f t="shared" si="36"/>
        <v/>
      </c>
      <c r="O111" s="993">
        <f t="shared" si="37"/>
        <v>0</v>
      </c>
      <c r="P111" s="993"/>
      <c r="Q111" s="989">
        <f t="shared" si="38"/>
        <v>0</v>
      </c>
      <c r="R111" s="989"/>
      <c r="S111" s="989">
        <f t="shared" si="39"/>
        <v>0</v>
      </c>
      <c r="T111" s="993"/>
      <c r="U111" s="993">
        <f t="shared" si="40"/>
        <v>0</v>
      </c>
      <c r="V111" s="993"/>
      <c r="W111" s="42"/>
      <c r="X111" s="42" t="str">
        <f t="shared" si="41"/>
        <v/>
      </c>
      <c r="Y111" s="993">
        <f t="shared" si="42"/>
        <v>0</v>
      </c>
      <c r="Z111" s="993"/>
      <c r="AA111" s="989">
        <f t="shared" si="43"/>
        <v>0</v>
      </c>
      <c r="AB111" s="989"/>
      <c r="AC111" s="989">
        <f t="shared" si="44"/>
        <v>0</v>
      </c>
      <c r="AD111" s="993"/>
      <c r="AE111" s="993">
        <f t="shared" si="45"/>
        <v>0</v>
      </c>
      <c r="AF111" s="993"/>
    </row>
    <row r="112" spans="1:32" s="290" customFormat="1" ht="15" hidden="1" customHeight="1">
      <c r="A112" t="str">
        <f t="shared" si="46"/>
        <v>*</v>
      </c>
      <c r="B112" s="100"/>
      <c r="C112" s="877" t="str">
        <f t="shared" si="31"/>
        <v/>
      </c>
      <c r="D112" s="943">
        <f t="shared" si="47"/>
        <v>0</v>
      </c>
      <c r="E112" s="943">
        <f t="shared" si="32"/>
        <v>0</v>
      </c>
      <c r="F112" s="943">
        <f t="shared" si="48"/>
        <v>0</v>
      </c>
      <c r="G112" s="943">
        <f t="shared" si="33"/>
        <v>0</v>
      </c>
      <c r="H112" s="943">
        <f t="shared" si="49"/>
        <v>0</v>
      </c>
      <c r="I112" s="943">
        <f t="shared" si="34"/>
        <v>0</v>
      </c>
      <c r="J112" s="943">
        <f t="shared" si="50"/>
        <v>0</v>
      </c>
      <c r="K112" s="943">
        <f t="shared" si="35"/>
        <v>0</v>
      </c>
      <c r="N112" s="42" t="str">
        <f t="shared" si="36"/>
        <v/>
      </c>
      <c r="O112" s="993">
        <f t="shared" si="37"/>
        <v>0</v>
      </c>
      <c r="P112" s="993"/>
      <c r="Q112" s="989">
        <f t="shared" si="38"/>
        <v>0</v>
      </c>
      <c r="R112" s="989"/>
      <c r="S112" s="989">
        <f t="shared" si="39"/>
        <v>0</v>
      </c>
      <c r="T112" s="993"/>
      <c r="U112" s="993">
        <f t="shared" si="40"/>
        <v>0</v>
      </c>
      <c r="V112" s="993"/>
      <c r="W112" s="42"/>
      <c r="X112" s="42" t="str">
        <f t="shared" si="41"/>
        <v/>
      </c>
      <c r="Y112" s="993">
        <f t="shared" si="42"/>
        <v>0</v>
      </c>
      <c r="Z112" s="993"/>
      <c r="AA112" s="989">
        <f t="shared" si="43"/>
        <v>0</v>
      </c>
      <c r="AB112" s="989"/>
      <c r="AC112" s="989">
        <f t="shared" si="44"/>
        <v>0</v>
      </c>
      <c r="AD112" s="993"/>
      <c r="AE112" s="993">
        <f t="shared" si="45"/>
        <v>0</v>
      </c>
      <c r="AF112" s="993"/>
    </row>
    <row r="113" spans="1:41" s="290" customFormat="1" ht="15" hidden="1" customHeight="1">
      <c r="A113" t="str">
        <f t="shared" si="46"/>
        <v>*</v>
      </c>
      <c r="B113" s="100"/>
      <c r="C113" s="877" t="str">
        <f t="shared" si="31"/>
        <v/>
      </c>
      <c r="D113" s="943">
        <f t="shared" si="47"/>
        <v>0</v>
      </c>
      <c r="E113" s="943">
        <f t="shared" si="32"/>
        <v>0</v>
      </c>
      <c r="F113" s="943">
        <f t="shared" si="48"/>
        <v>0</v>
      </c>
      <c r="G113" s="943">
        <f t="shared" si="33"/>
        <v>0</v>
      </c>
      <c r="H113" s="943">
        <f t="shared" si="49"/>
        <v>0</v>
      </c>
      <c r="I113" s="943">
        <f t="shared" si="34"/>
        <v>0</v>
      </c>
      <c r="J113" s="943">
        <f t="shared" si="50"/>
        <v>0</v>
      </c>
      <c r="K113" s="943">
        <f t="shared" si="35"/>
        <v>0</v>
      </c>
      <c r="N113" s="42" t="str">
        <f t="shared" si="36"/>
        <v/>
      </c>
      <c r="O113" s="993">
        <f t="shared" si="37"/>
        <v>0</v>
      </c>
      <c r="P113" s="993"/>
      <c r="Q113" s="989">
        <f t="shared" si="38"/>
        <v>0</v>
      </c>
      <c r="R113" s="989"/>
      <c r="S113" s="989">
        <f t="shared" si="39"/>
        <v>0</v>
      </c>
      <c r="T113" s="993"/>
      <c r="U113" s="993">
        <f t="shared" si="40"/>
        <v>0</v>
      </c>
      <c r="V113" s="993"/>
      <c r="W113" s="42"/>
      <c r="X113" s="42" t="str">
        <f t="shared" si="41"/>
        <v/>
      </c>
      <c r="Y113" s="993">
        <f t="shared" si="42"/>
        <v>0</v>
      </c>
      <c r="Z113" s="993"/>
      <c r="AA113" s="989">
        <f t="shared" si="43"/>
        <v>0</v>
      </c>
      <c r="AB113" s="989"/>
      <c r="AC113" s="989">
        <f t="shared" si="44"/>
        <v>0</v>
      </c>
      <c r="AD113" s="993"/>
      <c r="AE113" s="993">
        <f t="shared" si="45"/>
        <v>0</v>
      </c>
      <c r="AF113" s="993"/>
    </row>
    <row r="114" spans="1:41" s="290" customFormat="1" ht="15" hidden="1" customHeight="1">
      <c r="A114" t="str">
        <f t="shared" si="46"/>
        <v>*</v>
      </c>
      <c r="B114" s="100"/>
      <c r="C114" s="877" t="str">
        <f t="shared" si="31"/>
        <v/>
      </c>
      <c r="D114" s="943">
        <f t="shared" si="47"/>
        <v>0</v>
      </c>
      <c r="E114" s="943">
        <f t="shared" si="32"/>
        <v>0</v>
      </c>
      <c r="F114" s="943">
        <f t="shared" si="48"/>
        <v>0</v>
      </c>
      <c r="G114" s="943">
        <f t="shared" si="33"/>
        <v>0</v>
      </c>
      <c r="H114" s="943">
        <f t="shared" si="49"/>
        <v>0</v>
      </c>
      <c r="I114" s="943">
        <f t="shared" si="34"/>
        <v>0</v>
      </c>
      <c r="J114" s="943">
        <f t="shared" si="50"/>
        <v>0</v>
      </c>
      <c r="K114" s="943">
        <f t="shared" si="35"/>
        <v>0</v>
      </c>
      <c r="N114" s="42" t="str">
        <f t="shared" si="36"/>
        <v/>
      </c>
      <c r="O114" s="993">
        <f t="shared" si="37"/>
        <v>0</v>
      </c>
      <c r="P114" s="993"/>
      <c r="Q114" s="989">
        <f t="shared" si="38"/>
        <v>0</v>
      </c>
      <c r="R114" s="989"/>
      <c r="S114" s="989">
        <f t="shared" si="39"/>
        <v>0</v>
      </c>
      <c r="T114" s="993"/>
      <c r="U114" s="993">
        <f t="shared" si="40"/>
        <v>0</v>
      </c>
      <c r="V114" s="993"/>
      <c r="W114" s="42"/>
      <c r="X114" s="42" t="str">
        <f t="shared" si="41"/>
        <v/>
      </c>
      <c r="Y114" s="993">
        <f t="shared" si="42"/>
        <v>0</v>
      </c>
      <c r="Z114" s="993"/>
      <c r="AA114" s="989">
        <f t="shared" si="43"/>
        <v>0</v>
      </c>
      <c r="AB114" s="989"/>
      <c r="AC114" s="989">
        <f t="shared" si="44"/>
        <v>0</v>
      </c>
      <c r="AD114" s="993"/>
      <c r="AE114" s="993">
        <f t="shared" si="45"/>
        <v>0</v>
      </c>
      <c r="AF114" s="993"/>
    </row>
    <row r="115" spans="1:41" s="290" customFormat="1" ht="15" hidden="1" customHeight="1">
      <c r="A115" t="str">
        <f t="shared" si="46"/>
        <v>*</v>
      </c>
      <c r="B115" s="100"/>
      <c r="C115" s="877" t="str">
        <f t="shared" si="31"/>
        <v/>
      </c>
      <c r="D115" s="944">
        <f t="shared" si="47"/>
        <v>0</v>
      </c>
      <c r="E115" s="944">
        <f t="shared" si="32"/>
        <v>0</v>
      </c>
      <c r="F115" s="944">
        <f t="shared" si="48"/>
        <v>0</v>
      </c>
      <c r="G115" s="944">
        <f t="shared" si="33"/>
        <v>0</v>
      </c>
      <c r="H115" s="944">
        <f t="shared" si="49"/>
        <v>0</v>
      </c>
      <c r="I115" s="944">
        <f t="shared" si="34"/>
        <v>0</v>
      </c>
      <c r="J115" s="944">
        <f t="shared" si="50"/>
        <v>0</v>
      </c>
      <c r="K115" s="944">
        <f t="shared" si="35"/>
        <v>0</v>
      </c>
      <c r="N115" s="42" t="str">
        <f t="shared" si="36"/>
        <v/>
      </c>
      <c r="O115" s="993">
        <f t="shared" si="37"/>
        <v>0</v>
      </c>
      <c r="P115" s="993"/>
      <c r="Q115" s="989">
        <f t="shared" si="38"/>
        <v>0</v>
      </c>
      <c r="R115" s="989"/>
      <c r="S115" s="989">
        <f t="shared" si="39"/>
        <v>0</v>
      </c>
      <c r="T115" s="993"/>
      <c r="U115" s="993">
        <f t="shared" si="40"/>
        <v>0</v>
      </c>
      <c r="V115" s="993"/>
      <c r="W115" s="42"/>
      <c r="X115" s="42" t="str">
        <f t="shared" si="41"/>
        <v/>
      </c>
      <c r="Y115" s="993">
        <f t="shared" si="42"/>
        <v>0</v>
      </c>
      <c r="Z115" s="993"/>
      <c r="AA115" s="989">
        <f t="shared" si="43"/>
        <v>0</v>
      </c>
      <c r="AB115" s="989"/>
      <c r="AC115" s="989">
        <f t="shared" si="44"/>
        <v>0</v>
      </c>
      <c r="AD115" s="993"/>
      <c r="AE115" s="993">
        <f t="shared" si="45"/>
        <v>0</v>
      </c>
      <c r="AF115" s="993"/>
    </row>
    <row r="116" spans="1:41" s="290" customFormat="1" ht="15" customHeight="1">
      <c r="A116" s="290" t="s">
        <v>477</v>
      </c>
      <c r="B116" s="100"/>
      <c r="C116" s="879" t="s">
        <v>885</v>
      </c>
      <c r="D116" s="938">
        <f t="shared" ref="D116:I116" si="51">SUM(D96:D115)</f>
        <v>305.81875000000002</v>
      </c>
      <c r="E116" s="938">
        <f t="shared" si="51"/>
        <v>4.5</v>
      </c>
      <c r="F116" s="938" t="e">
        <f t="shared" si="51"/>
        <v>#DIV/0!</v>
      </c>
      <c r="G116" s="938" t="e">
        <f t="shared" si="51"/>
        <v>#DIV/0!</v>
      </c>
      <c r="H116" s="938" t="e">
        <f t="shared" si="51"/>
        <v>#DIV/0!</v>
      </c>
      <c r="I116" s="938" t="e">
        <f t="shared" si="51"/>
        <v>#DIV/0!</v>
      </c>
      <c r="J116" s="938">
        <f>SUM(J96:J115)</f>
        <v>316.57375000000002</v>
      </c>
      <c r="K116" s="938">
        <f>SUM(K96:K115)</f>
        <v>4.5</v>
      </c>
      <c r="N116" s="42"/>
      <c r="O116" s="42"/>
      <c r="P116" s="42"/>
      <c r="Q116" s="42"/>
      <c r="R116" s="42"/>
      <c r="S116" s="42"/>
      <c r="T116" s="42"/>
      <c r="U116" s="42"/>
      <c r="V116" s="42"/>
      <c r="W116" s="42"/>
      <c r="X116" s="42"/>
      <c r="Y116" s="42"/>
      <c r="Z116" s="42"/>
      <c r="AA116" s="42"/>
      <c r="AB116" s="42"/>
      <c r="AC116" s="42"/>
      <c r="AD116" s="42"/>
      <c r="AE116" s="42"/>
      <c r="AF116" s="42"/>
    </row>
    <row r="117" spans="1:41" s="290" customFormat="1" ht="15" customHeight="1">
      <c r="B117" s="100"/>
      <c r="C117" s="124"/>
      <c r="D117" s="878"/>
      <c r="E117" s="878"/>
      <c r="F117" s="878"/>
      <c r="G117" s="878"/>
      <c r="H117" s="878"/>
      <c r="I117" s="878"/>
      <c r="J117" s="878"/>
      <c r="K117" s="878"/>
    </row>
    <row r="118" spans="1:41" s="25" customFormat="1" ht="15" customHeight="1">
      <c r="B118" s="27"/>
      <c r="C118" s="992" t="s">
        <v>567</v>
      </c>
      <c r="D118" s="878"/>
      <c r="E118" s="290"/>
      <c r="F118" s="290"/>
      <c r="I118" s="39"/>
    </row>
    <row r="119" spans="1:41" s="25" customFormat="1" ht="15" customHeight="1">
      <c r="B119" s="27"/>
      <c r="C119" s="290"/>
      <c r="E119" s="661" t="s">
        <v>476</v>
      </c>
      <c r="F119" s="905">
        <f>CapWeight+'Conc DL'!G117</f>
        <v>171.6</v>
      </c>
      <c r="G119" s="290"/>
      <c r="H119"/>
      <c r="I119" s="1225" t="s">
        <v>1607</v>
      </c>
      <c r="J119" s="1179" t="s">
        <v>1608</v>
      </c>
      <c r="K119"/>
    </row>
    <row r="120" spans="1:41" s="25" customFormat="1" ht="15" customHeight="1">
      <c r="B120" s="27"/>
      <c r="C120" s="290"/>
      <c r="E120" s="1001" t="s">
        <v>475</v>
      </c>
      <c r="F120" s="1003">
        <f>caplength</f>
        <v>48</v>
      </c>
      <c r="G120" s="290"/>
      <c r="H120" s="1225" t="s">
        <v>1605</v>
      </c>
      <c r="I120" s="1003">
        <f>MAX(0,ColSpa1-coltranswidth/12/2)</f>
        <v>21</v>
      </c>
      <c r="J120" s="905">
        <f>$F$119*$I120/$F$120</f>
        <v>75.075000000000003</v>
      </c>
      <c r="K120" s="679" t="str">
        <f>"{"&amp;FIXED($F$119,1)&amp;"k x ("&amp;FIXED($I120,1)&amp;" ft / "&amp;FIXED($F$120,1)&amp;" ft)}"</f>
        <v>{171.6k x (21.0 ft / 48.0 ft)}</v>
      </c>
    </row>
    <row r="121" spans="1:41" s="25" customFormat="1" ht="15" customHeight="1">
      <c r="B121" s="27"/>
      <c r="C121" s="878"/>
      <c r="E121" s="1002" t="s">
        <v>568</v>
      </c>
      <c r="F121" s="1003">
        <f>ColSpa2-coltranswidth/12</f>
        <v>-6</v>
      </c>
      <c r="G121" s="290"/>
      <c r="H121" s="1225" t="s">
        <v>1606</v>
      </c>
      <c r="I121" s="1003">
        <f>MAX(0,ColSpaEnd-coltranswidth/12/2)</f>
        <v>21</v>
      </c>
      <c r="J121" s="905">
        <f>$F$119*$I121/$F$120</f>
        <v>75.075000000000003</v>
      </c>
      <c r="K121" s="679" t="str">
        <f>"{"&amp;FIXED($F$119,1)&amp;"k x ("&amp;FIXED($I121,1)&amp;" ft / "&amp;FIXED($F$120,1)&amp;" ft)}"</f>
        <v>{171.6k x (21.0 ft / 48.0 ft)}</v>
      </c>
    </row>
    <row r="122" spans="1:41" s="25" customFormat="1" ht="15" customHeight="1">
      <c r="B122" s="27"/>
      <c r="E122" s="991" t="s">
        <v>573</v>
      </c>
      <c r="F122" s="905">
        <f>F119/2*F121/F120</f>
        <v>-10.725</v>
      </c>
      <c r="G122" s="679" t="str">
        <f>"{"&amp;FIXED(F119,1)&amp;"k x ("&amp;FIXED(F121,1)&amp;" ft / "&amp;FIXED(F120,1)&amp;" ft) / 2}"</f>
        <v>{171.6k x (-6.0 ft / 48.0 ft) / 2}</v>
      </c>
      <c r="I122"/>
      <c r="J122"/>
      <c r="K122"/>
      <c r="L122"/>
    </row>
    <row r="123" spans="1:41" s="25" customFormat="1" ht="15" customHeight="1">
      <c r="B123" s="27"/>
      <c r="C123" s="1004"/>
      <c r="E123" s="990"/>
      <c r="I123" s="39"/>
    </row>
    <row r="124" spans="1:41" s="25" customFormat="1" ht="15" customHeight="1">
      <c r="B124" s="27"/>
      <c r="C124" s="866" t="s">
        <v>413</v>
      </c>
      <c r="D124" s="867">
        <v>1.25</v>
      </c>
      <c r="E124" s="870"/>
      <c r="F124" s="866" t="s">
        <v>414</v>
      </c>
      <c r="G124" s="867">
        <v>1.5</v>
      </c>
      <c r="I124" s="880"/>
      <c r="J124" s="870"/>
      <c r="K124" s="870"/>
    </row>
    <row r="125" spans="1:41" s="25" customFormat="1" ht="15" customHeight="1">
      <c r="B125" s="27"/>
      <c r="C125" s="880" t="s">
        <v>324</v>
      </c>
      <c r="D125" s="870"/>
      <c r="E125" s="870"/>
      <c r="I125" s="880" t="s">
        <v>554</v>
      </c>
      <c r="J125" s="870"/>
      <c r="K125" s="870"/>
    </row>
    <row r="126" spans="1:41" s="25" customFormat="1" ht="15" customHeight="1">
      <c r="B126" s="27"/>
      <c r="C126" s="69" t="s">
        <v>1295</v>
      </c>
      <c r="D126" s="870"/>
      <c r="E126" s="870"/>
      <c r="F126" s="871" t="s">
        <v>1176</v>
      </c>
      <c r="I126" s="69" t="s">
        <v>1295</v>
      </c>
      <c r="J126" s="870"/>
      <c r="K126" s="870"/>
      <c r="L126" s="871" t="s">
        <v>1176</v>
      </c>
    </row>
    <row r="127" spans="1:41" ht="15" customHeight="1">
      <c r="B127" s="16"/>
      <c r="C127" t="s">
        <v>552</v>
      </c>
      <c r="D127" s="864" t="e">
        <f>MAX(D90+D116+J120,F90+F116+F122)*$D$124</f>
        <v>#DIV/0!</v>
      </c>
      <c r="F127" t="s">
        <v>552</v>
      </c>
      <c r="G127" s="864" t="e">
        <f>MAX(J90+J116+J121,H90+H116+F122)*$D$124</f>
        <v>#DIV/0!</v>
      </c>
      <c r="I127" s="44" t="s">
        <v>416</v>
      </c>
      <c r="J127" s="906" t="e">
        <f>$D$124*MAX(D90+J120,D116+J120,F90+F122,F116+F122)</f>
        <v>#DIV/0!</v>
      </c>
      <c r="L127" s="44" t="s">
        <v>416</v>
      </c>
      <c r="M127" s="906" t="e">
        <f>$D$124*MAX(J90+J121,J116+J121,H90+F122,H116+F122)</f>
        <v>#DIV/0!</v>
      </c>
      <c r="N127"/>
      <c r="O127"/>
      <c r="P127"/>
      <c r="Q127"/>
      <c r="R127"/>
      <c r="S127"/>
      <c r="T127"/>
      <c r="U127"/>
      <c r="V127"/>
      <c r="W127"/>
      <c r="X127"/>
      <c r="Y127"/>
      <c r="Z127"/>
      <c r="AA127"/>
      <c r="AB127"/>
      <c r="AC127"/>
      <c r="AD127"/>
      <c r="AE127"/>
      <c r="AF127"/>
      <c r="AG127"/>
      <c r="AH127"/>
      <c r="AI127"/>
      <c r="AJ127"/>
      <c r="AK127"/>
      <c r="AL127"/>
      <c r="AM127"/>
      <c r="AN127"/>
      <c r="AO127"/>
    </row>
    <row r="128" spans="1:41" ht="15" customHeight="1">
      <c r="B128" s="16"/>
      <c r="C128" t="s">
        <v>553</v>
      </c>
      <c r="D128" s="864" t="e">
        <f>MAX(E90+E116,G90+G116)*$G$124</f>
        <v>#DIV/0!</v>
      </c>
      <c r="F128" t="s">
        <v>553</v>
      </c>
      <c r="G128" s="864" t="e">
        <f>MAX(K90+K116,I90+I116)*$G$124</f>
        <v>#DIV/0!</v>
      </c>
      <c r="I128" s="881" t="str">
        <f>IF(D90=D116,"",IF(D90&gt;D116,"Backward Span Controls","Forward Span Controls"))</f>
        <v>Forward Span Controls</v>
      </c>
      <c r="J128" s="864"/>
      <c r="L128" s="881" t="e">
        <f>IF(H90=H116,"",IF(H90&gt;H116,"Backward Span Controls","Forward Span Controls"))</f>
        <v>#DIV/0!</v>
      </c>
      <c r="M128" s="864"/>
      <c r="N128"/>
      <c r="O128"/>
      <c r="P128"/>
      <c r="Q128"/>
      <c r="R128"/>
      <c r="S128"/>
      <c r="T128"/>
      <c r="U128"/>
      <c r="V128"/>
      <c r="W128"/>
      <c r="X128"/>
      <c r="Y128"/>
      <c r="Z128"/>
      <c r="AA128"/>
      <c r="AB128"/>
      <c r="AC128"/>
      <c r="AD128"/>
      <c r="AE128"/>
      <c r="AF128"/>
      <c r="AG128"/>
      <c r="AH128"/>
      <c r="AI128"/>
      <c r="AJ128"/>
      <c r="AK128"/>
      <c r="AL128"/>
      <c r="AM128"/>
      <c r="AN128"/>
      <c r="AO128"/>
    </row>
    <row r="129" spans="1:41" ht="15" customHeight="1">
      <c r="B129" s="16"/>
      <c r="C129" s="44" t="s">
        <v>415</v>
      </c>
      <c r="D129" s="906" t="e">
        <f>D127+D128</f>
        <v>#DIV/0!</v>
      </c>
      <c r="F129" s="44" t="s">
        <v>415</v>
      </c>
      <c r="G129" s="906" t="e">
        <f>G127+G128</f>
        <v>#DIV/0!</v>
      </c>
      <c r="J129" s="864"/>
      <c r="M129" s="864"/>
      <c r="N129"/>
      <c r="O129"/>
      <c r="P129"/>
      <c r="Q129"/>
      <c r="R129"/>
      <c r="S129"/>
      <c r="T129"/>
      <c r="U129"/>
      <c r="V129"/>
      <c r="W129"/>
      <c r="X129"/>
      <c r="Y129"/>
      <c r="Z129"/>
      <c r="AA129"/>
      <c r="AB129"/>
      <c r="AC129"/>
      <c r="AD129"/>
      <c r="AE129"/>
      <c r="AF129"/>
      <c r="AG129"/>
      <c r="AH129"/>
      <c r="AI129"/>
      <c r="AJ129"/>
      <c r="AK129"/>
      <c r="AL129"/>
      <c r="AM129"/>
      <c r="AN129"/>
      <c r="AO129"/>
    </row>
    <row r="130" spans="1:41" ht="12" customHeight="1">
      <c r="B130" s="16"/>
      <c r="D130" s="864"/>
      <c r="G130" s="864"/>
      <c r="J130" s="864"/>
      <c r="N130"/>
      <c r="O130"/>
      <c r="P130"/>
      <c r="Q130"/>
      <c r="R130"/>
      <c r="S130"/>
      <c r="T130"/>
      <c r="U130"/>
      <c r="V130"/>
      <c r="W130"/>
      <c r="X130"/>
      <c r="Y130"/>
      <c r="Z130"/>
      <c r="AA130"/>
      <c r="AB130"/>
      <c r="AC130"/>
      <c r="AD130"/>
      <c r="AE130"/>
      <c r="AF130"/>
      <c r="AG130"/>
      <c r="AH130"/>
      <c r="AI130"/>
      <c r="AJ130"/>
      <c r="AK130"/>
      <c r="AL130"/>
      <c r="AM130"/>
      <c r="AN130"/>
      <c r="AO130"/>
    </row>
    <row r="131" spans="1:41" ht="15" customHeight="1" thickBot="1">
      <c r="B131" s="16"/>
      <c r="C131" s="1644" t="s">
        <v>444</v>
      </c>
      <c r="D131" s="1644"/>
      <c r="E131" s="1644"/>
      <c r="F131" s="1644"/>
      <c r="G131" s="1644"/>
      <c r="H131" s="1644"/>
      <c r="I131" s="1644"/>
      <c r="J131" s="1644"/>
      <c r="K131" s="1644"/>
      <c r="L131" s="1644"/>
      <c r="M131" s="1644"/>
      <c r="N131"/>
      <c r="O131"/>
      <c r="P131"/>
      <c r="Q131"/>
      <c r="R131"/>
      <c r="S131"/>
      <c r="T131"/>
      <c r="U131"/>
      <c r="V131"/>
      <c r="W131"/>
      <c r="X131"/>
      <c r="Y131"/>
      <c r="Z131"/>
      <c r="AA131"/>
      <c r="AB131"/>
      <c r="AC131"/>
      <c r="AD131"/>
      <c r="AE131"/>
      <c r="AF131"/>
      <c r="AG131"/>
      <c r="AH131"/>
      <c r="AI131"/>
      <c r="AJ131"/>
      <c r="AK131"/>
      <c r="AL131"/>
      <c r="AM131"/>
      <c r="AN131"/>
      <c r="AO131"/>
    </row>
    <row r="132" spans="1:41" ht="15" customHeight="1">
      <c r="B132" s="16"/>
      <c r="C132" s="886" t="s">
        <v>558</v>
      </c>
      <c r="N132"/>
      <c r="O132"/>
      <c r="P132"/>
      <c r="Q132"/>
      <c r="R132"/>
      <c r="S132"/>
      <c r="T132"/>
      <c r="U132"/>
      <c r="V132"/>
      <c r="W132"/>
      <c r="X132"/>
      <c r="Y132"/>
      <c r="Z132"/>
      <c r="AA132"/>
      <c r="AB132"/>
      <c r="AC132"/>
      <c r="AD132"/>
      <c r="AE132"/>
      <c r="AF132"/>
      <c r="AG132"/>
      <c r="AH132"/>
      <c r="AI132"/>
      <c r="AJ132"/>
      <c r="AK132"/>
      <c r="AL132"/>
      <c r="AM132"/>
      <c r="AN132"/>
      <c r="AO132"/>
    </row>
    <row r="133" spans="1:41" ht="6" customHeight="1">
      <c r="B133" s="16"/>
      <c r="C133" s="872"/>
      <c r="N133"/>
      <c r="O133"/>
      <c r="P133"/>
      <c r="Q133"/>
      <c r="R133"/>
      <c r="S133"/>
      <c r="T133"/>
      <c r="U133"/>
      <c r="V133"/>
      <c r="W133"/>
      <c r="X133"/>
      <c r="Y133"/>
      <c r="Z133"/>
      <c r="AA133"/>
      <c r="AB133"/>
      <c r="AC133"/>
      <c r="AD133"/>
      <c r="AE133"/>
      <c r="AF133"/>
      <c r="AG133"/>
      <c r="AH133"/>
      <c r="AI133"/>
      <c r="AJ133"/>
      <c r="AK133"/>
      <c r="AL133"/>
      <c r="AM133"/>
      <c r="AN133"/>
      <c r="AO133"/>
    </row>
    <row r="134" spans="1:41" ht="15" customHeight="1">
      <c r="B134" s="16"/>
      <c r="C134" s="71" t="s">
        <v>1012</v>
      </c>
      <c r="D134" s="140"/>
      <c r="E134" s="140"/>
      <c r="F134" s="140"/>
      <c r="G134" s="140"/>
      <c r="H134" s="140"/>
      <c r="I134" s="140"/>
      <c r="N134"/>
      <c r="O134"/>
      <c r="P134"/>
      <c r="Q134"/>
      <c r="R134"/>
      <c r="S134"/>
      <c r="T134"/>
      <c r="U134"/>
      <c r="V134"/>
      <c r="W134"/>
      <c r="X134"/>
      <c r="Y134"/>
      <c r="Z134"/>
      <c r="AA134"/>
      <c r="AB134"/>
      <c r="AC134"/>
      <c r="AD134"/>
      <c r="AE134"/>
      <c r="AF134"/>
      <c r="AG134"/>
      <c r="AH134"/>
      <c r="AI134"/>
      <c r="AJ134"/>
      <c r="AK134"/>
      <c r="AL134"/>
      <c r="AM134"/>
      <c r="AN134"/>
      <c r="AO134"/>
    </row>
    <row r="135" spans="1:41" ht="3.75" customHeight="1">
      <c r="B135" s="16"/>
      <c r="C135" s="71"/>
      <c r="D135" s="140"/>
      <c r="E135" s="140"/>
      <c r="F135" s="140"/>
      <c r="G135" s="140"/>
      <c r="H135" s="140"/>
      <c r="I135" s="140"/>
      <c r="N135"/>
      <c r="O135"/>
      <c r="P135"/>
      <c r="Q135"/>
      <c r="R135"/>
      <c r="S135"/>
      <c r="T135"/>
      <c r="U135"/>
      <c r="V135"/>
      <c r="W135"/>
      <c r="X135"/>
      <c r="Y135"/>
      <c r="Z135"/>
      <c r="AA135"/>
      <c r="AB135"/>
      <c r="AC135"/>
      <c r="AD135"/>
      <c r="AE135"/>
      <c r="AF135"/>
      <c r="AG135"/>
      <c r="AH135"/>
      <c r="AI135"/>
      <c r="AJ135"/>
      <c r="AK135"/>
      <c r="AL135"/>
      <c r="AM135"/>
      <c r="AN135"/>
      <c r="AO135"/>
    </row>
    <row r="136" spans="1:41" ht="15" customHeight="1">
      <c r="B136" s="16"/>
      <c r="C136" s="71"/>
      <c r="D136" s="1654" t="s">
        <v>1295</v>
      </c>
      <c r="E136" s="1654"/>
      <c r="F136" s="1654"/>
      <c r="G136" s="1654" t="s">
        <v>1176</v>
      </c>
      <c r="H136" s="1654"/>
      <c r="I136" s="1654"/>
      <c r="N136"/>
      <c r="O136"/>
      <c r="P136"/>
      <c r="Q136"/>
      <c r="R136"/>
      <c r="S136"/>
      <c r="T136"/>
      <c r="U136"/>
      <c r="V136"/>
      <c r="W136"/>
      <c r="X136"/>
      <c r="Y136"/>
      <c r="Z136"/>
      <c r="AA136"/>
      <c r="AB136"/>
      <c r="AC136"/>
      <c r="AD136"/>
      <c r="AE136"/>
      <c r="AF136"/>
      <c r="AG136"/>
      <c r="AH136"/>
      <c r="AI136"/>
      <c r="AJ136"/>
      <c r="AK136"/>
      <c r="AL136"/>
      <c r="AM136"/>
      <c r="AN136"/>
      <c r="AO136"/>
    </row>
    <row r="137" spans="1:41" ht="15" customHeight="1">
      <c r="B137" s="16"/>
      <c r="C137" s="303"/>
      <c r="D137" s="903" t="s">
        <v>721</v>
      </c>
      <c r="E137" s="242" t="s">
        <v>890</v>
      </c>
      <c r="F137" s="242" t="s">
        <v>547</v>
      </c>
      <c r="G137" s="903" t="s">
        <v>721</v>
      </c>
      <c r="H137" s="242" t="s">
        <v>890</v>
      </c>
      <c r="I137" s="242" t="s">
        <v>547</v>
      </c>
      <c r="N137"/>
      <c r="O137"/>
      <c r="P137"/>
      <c r="Q137"/>
      <c r="R137"/>
      <c r="S137"/>
      <c r="T137"/>
      <c r="U137"/>
      <c r="V137"/>
      <c r="W137"/>
      <c r="X137"/>
      <c r="Y137"/>
      <c r="Z137"/>
      <c r="AA137"/>
      <c r="AB137"/>
      <c r="AC137"/>
      <c r="AD137"/>
      <c r="AE137"/>
      <c r="AF137"/>
      <c r="AG137"/>
      <c r="AH137"/>
      <c r="AI137"/>
      <c r="AJ137"/>
      <c r="AK137"/>
      <c r="AL137"/>
      <c r="AM137"/>
      <c r="AN137"/>
      <c r="AO137"/>
    </row>
    <row r="138" spans="1:41" ht="15" customHeight="1">
      <c r="A138" t="str">
        <f>IF(C138="","*","")</f>
        <v/>
      </c>
      <c r="B138" s="894"/>
      <c r="C138" s="936" t="str">
        <f>C70</f>
        <v>Beam 1</v>
      </c>
      <c r="D138" s="933" t="e">
        <f t="shared" ref="D138:D157" si="52">-MAX(D70,F70)*(BearingDist/12)</f>
        <v>#DIV/0!</v>
      </c>
      <c r="E138" s="933" t="e">
        <f t="shared" ref="E138:E157" si="53">-MAX(E70,G70)*(BearingDist/12)</f>
        <v>#DIV/0!</v>
      </c>
      <c r="F138" s="933" t="e">
        <f>SUM(D138:E138)</f>
        <v>#DIV/0!</v>
      </c>
      <c r="G138" s="933" t="e">
        <f t="shared" ref="G138:G157" si="54">-MAX(H70,J70)*(BearingDist/12)</f>
        <v>#DIV/0!</v>
      </c>
      <c r="H138" s="933" t="e">
        <f t="shared" ref="H138:H157" si="55">-MAX(I70,K70)*(BearingDist/12)</f>
        <v>#DIV/0!</v>
      </c>
      <c r="I138" s="933" t="e">
        <f>SUM(G138:H138)</f>
        <v>#DIV/0!</v>
      </c>
      <c r="N138"/>
      <c r="O138"/>
      <c r="P138"/>
      <c r="Q138"/>
      <c r="R138"/>
      <c r="S138"/>
      <c r="T138"/>
      <c r="U138"/>
      <c r="V138"/>
      <c r="W138"/>
      <c r="X138"/>
      <c r="Y138"/>
      <c r="Z138"/>
      <c r="AA138"/>
      <c r="AB138"/>
      <c r="AC138"/>
      <c r="AD138"/>
      <c r="AE138"/>
      <c r="AF138"/>
      <c r="AG138"/>
      <c r="AH138"/>
      <c r="AI138"/>
      <c r="AJ138"/>
      <c r="AK138"/>
      <c r="AL138"/>
      <c r="AM138"/>
      <c r="AN138"/>
      <c r="AO138"/>
    </row>
    <row r="139" spans="1:41" ht="15" customHeight="1">
      <c r="A139" t="str">
        <f t="shared" ref="A139:A157" si="56">IF(C139="","*","")</f>
        <v/>
      </c>
      <c r="B139" s="894"/>
      <c r="C139" s="937" t="str">
        <f>C71</f>
        <v>Beam 2</v>
      </c>
      <c r="D139" s="934" t="e">
        <f t="shared" si="52"/>
        <v>#DIV/0!</v>
      </c>
      <c r="E139" s="934" t="e">
        <f t="shared" si="53"/>
        <v>#DIV/0!</v>
      </c>
      <c r="F139" s="934" t="e">
        <f t="shared" ref="F139:F157" si="57">SUM(D139:E139)</f>
        <v>#DIV/0!</v>
      </c>
      <c r="G139" s="934" t="e">
        <f t="shared" si="54"/>
        <v>#DIV/0!</v>
      </c>
      <c r="H139" s="934" t="e">
        <f t="shared" si="55"/>
        <v>#DIV/0!</v>
      </c>
      <c r="I139" s="934" t="e">
        <f t="shared" ref="I139:I157" si="58">SUM(G139:H139)</f>
        <v>#DIV/0!</v>
      </c>
      <c r="N139"/>
      <c r="O139"/>
      <c r="P139"/>
      <c r="Q139"/>
      <c r="R139"/>
      <c r="S139"/>
      <c r="T139"/>
      <c r="U139"/>
      <c r="V139"/>
      <c r="W139"/>
      <c r="X139"/>
      <c r="Y139"/>
      <c r="Z139"/>
      <c r="AA139"/>
      <c r="AB139"/>
      <c r="AC139"/>
      <c r="AD139"/>
      <c r="AE139"/>
      <c r="AF139"/>
      <c r="AG139"/>
      <c r="AH139"/>
      <c r="AI139"/>
      <c r="AJ139"/>
      <c r="AK139"/>
      <c r="AL139"/>
      <c r="AM139"/>
      <c r="AN139"/>
      <c r="AO139"/>
    </row>
    <row r="140" spans="1:41" ht="15" customHeight="1">
      <c r="A140" t="str">
        <f t="shared" si="56"/>
        <v/>
      </c>
      <c r="B140" s="894"/>
      <c r="C140" s="937" t="str">
        <f t="shared" ref="C140:C157" si="59">C72</f>
        <v>Beam 3</v>
      </c>
      <c r="D140" s="934" t="e">
        <f t="shared" si="52"/>
        <v>#DIV/0!</v>
      </c>
      <c r="E140" s="934" t="e">
        <f t="shared" si="53"/>
        <v>#DIV/0!</v>
      </c>
      <c r="F140" s="934" t="e">
        <f t="shared" si="57"/>
        <v>#DIV/0!</v>
      </c>
      <c r="G140" s="934" t="e">
        <f t="shared" si="54"/>
        <v>#DIV/0!</v>
      </c>
      <c r="H140" s="934" t="e">
        <f t="shared" si="55"/>
        <v>#DIV/0!</v>
      </c>
      <c r="I140" s="934" t="e">
        <f t="shared" si="58"/>
        <v>#DIV/0!</v>
      </c>
      <c r="N140"/>
      <c r="O140"/>
      <c r="P140"/>
      <c r="Q140"/>
      <c r="R140"/>
      <c r="S140"/>
      <c r="T140"/>
      <c r="U140"/>
      <c r="V140"/>
      <c r="W140"/>
      <c r="X140"/>
      <c r="Y140"/>
      <c r="Z140"/>
      <c r="AA140"/>
      <c r="AB140"/>
      <c r="AC140"/>
      <c r="AD140"/>
      <c r="AE140"/>
      <c r="AF140"/>
      <c r="AG140"/>
      <c r="AH140"/>
      <c r="AI140"/>
      <c r="AJ140"/>
      <c r="AK140"/>
      <c r="AL140"/>
      <c r="AM140"/>
      <c r="AN140"/>
      <c r="AO140"/>
    </row>
    <row r="141" spans="1:41" ht="15" customHeight="1">
      <c r="A141" t="str">
        <f t="shared" si="56"/>
        <v/>
      </c>
      <c r="B141" s="894"/>
      <c r="C141" s="937" t="str">
        <f t="shared" si="59"/>
        <v>Beam 4</v>
      </c>
      <c r="D141" s="934" t="e">
        <f t="shared" si="52"/>
        <v>#DIV/0!</v>
      </c>
      <c r="E141" s="934" t="e">
        <f t="shared" si="53"/>
        <v>#DIV/0!</v>
      </c>
      <c r="F141" s="934" t="e">
        <f t="shared" si="57"/>
        <v>#DIV/0!</v>
      </c>
      <c r="G141" s="934" t="e">
        <f t="shared" si="54"/>
        <v>#DIV/0!</v>
      </c>
      <c r="H141" s="934" t="e">
        <f t="shared" si="55"/>
        <v>#DIV/0!</v>
      </c>
      <c r="I141" s="934" t="e">
        <f t="shared" si="58"/>
        <v>#DIV/0!</v>
      </c>
      <c r="N141"/>
      <c r="O141"/>
      <c r="P141"/>
      <c r="Q141"/>
      <c r="R141"/>
      <c r="S141"/>
      <c r="T141"/>
      <c r="U141"/>
      <c r="V141"/>
      <c r="W141"/>
      <c r="X141"/>
      <c r="Y141"/>
      <c r="Z141"/>
      <c r="AA141"/>
      <c r="AB141"/>
      <c r="AC141"/>
      <c r="AD141"/>
      <c r="AE141"/>
      <c r="AF141"/>
      <c r="AG141"/>
      <c r="AH141"/>
      <c r="AI141"/>
      <c r="AJ141"/>
      <c r="AK141"/>
      <c r="AL141"/>
      <c r="AM141"/>
      <c r="AN141"/>
      <c r="AO141"/>
    </row>
    <row r="142" spans="1:41" ht="15" customHeight="1">
      <c r="A142" t="str">
        <f t="shared" si="56"/>
        <v>*</v>
      </c>
      <c r="B142" s="894"/>
      <c r="C142" s="937" t="str">
        <f t="shared" si="59"/>
        <v/>
      </c>
      <c r="D142" s="934">
        <f t="shared" si="52"/>
        <v>0</v>
      </c>
      <c r="E142" s="934">
        <f t="shared" si="53"/>
        <v>0</v>
      </c>
      <c r="F142" s="934">
        <f t="shared" si="57"/>
        <v>0</v>
      </c>
      <c r="G142" s="934">
        <f t="shared" si="54"/>
        <v>0</v>
      </c>
      <c r="H142" s="934">
        <f t="shared" si="55"/>
        <v>0</v>
      </c>
      <c r="I142" s="934">
        <f t="shared" si="58"/>
        <v>0</v>
      </c>
      <c r="M142" s="858"/>
      <c r="N142"/>
      <c r="O142"/>
      <c r="P142"/>
      <c r="Q142"/>
      <c r="R142"/>
      <c r="S142"/>
      <c r="T142"/>
      <c r="U142"/>
      <c r="V142"/>
      <c r="W142"/>
      <c r="X142"/>
      <c r="Y142"/>
      <c r="Z142"/>
      <c r="AA142"/>
      <c r="AB142"/>
      <c r="AC142"/>
      <c r="AD142"/>
      <c r="AE142"/>
      <c r="AF142"/>
      <c r="AG142"/>
      <c r="AH142"/>
      <c r="AI142"/>
      <c r="AJ142"/>
      <c r="AK142"/>
      <c r="AL142"/>
      <c r="AM142"/>
      <c r="AN142"/>
      <c r="AO142"/>
    </row>
    <row r="143" spans="1:41" ht="15" customHeight="1">
      <c r="A143" t="str">
        <f t="shared" si="56"/>
        <v>*</v>
      </c>
      <c r="B143" s="894"/>
      <c r="C143" s="937" t="str">
        <f t="shared" si="59"/>
        <v/>
      </c>
      <c r="D143" s="934">
        <f t="shared" si="52"/>
        <v>0</v>
      </c>
      <c r="E143" s="934">
        <f t="shared" si="53"/>
        <v>0</v>
      </c>
      <c r="F143" s="934">
        <f t="shared" si="57"/>
        <v>0</v>
      </c>
      <c r="G143" s="934">
        <f t="shared" si="54"/>
        <v>0</v>
      </c>
      <c r="H143" s="934">
        <f t="shared" si="55"/>
        <v>0</v>
      </c>
      <c r="I143" s="934">
        <f t="shared" si="58"/>
        <v>0</v>
      </c>
      <c r="M143" s="858"/>
      <c r="N143"/>
      <c r="O143"/>
      <c r="P143"/>
      <c r="Q143"/>
      <c r="R143"/>
      <c r="S143"/>
      <c r="T143"/>
      <c r="U143"/>
      <c r="V143"/>
      <c r="W143"/>
      <c r="X143"/>
      <c r="Y143"/>
      <c r="Z143"/>
      <c r="AA143"/>
      <c r="AB143"/>
      <c r="AC143"/>
      <c r="AD143"/>
      <c r="AE143"/>
      <c r="AF143"/>
      <c r="AG143"/>
      <c r="AH143"/>
      <c r="AI143"/>
      <c r="AJ143"/>
      <c r="AK143"/>
      <c r="AL143"/>
      <c r="AM143"/>
      <c r="AN143"/>
      <c r="AO143"/>
    </row>
    <row r="144" spans="1:41" ht="15" hidden="1" customHeight="1">
      <c r="A144" t="str">
        <f t="shared" si="56"/>
        <v>*</v>
      </c>
      <c r="B144" s="894"/>
      <c r="C144" s="937" t="str">
        <f t="shared" si="59"/>
        <v/>
      </c>
      <c r="D144" s="934">
        <f t="shared" si="52"/>
        <v>0</v>
      </c>
      <c r="E144" s="934">
        <f t="shared" si="53"/>
        <v>0</v>
      </c>
      <c r="F144" s="934">
        <f t="shared" si="57"/>
        <v>0</v>
      </c>
      <c r="G144" s="934">
        <f t="shared" si="54"/>
        <v>0</v>
      </c>
      <c r="H144" s="934">
        <f t="shared" si="55"/>
        <v>0</v>
      </c>
      <c r="I144" s="934">
        <f t="shared" si="58"/>
        <v>0</v>
      </c>
      <c r="M144" s="858"/>
      <c r="N144"/>
      <c r="O144"/>
      <c r="P144"/>
      <c r="Q144"/>
      <c r="R144"/>
      <c r="S144"/>
      <c r="T144"/>
      <c r="U144"/>
      <c r="V144"/>
      <c r="W144"/>
      <c r="X144"/>
      <c r="Y144"/>
      <c r="Z144"/>
      <c r="AA144"/>
      <c r="AB144"/>
      <c r="AC144"/>
      <c r="AD144"/>
      <c r="AE144"/>
      <c r="AF144"/>
      <c r="AG144"/>
      <c r="AH144"/>
      <c r="AI144"/>
      <c r="AJ144"/>
      <c r="AK144"/>
      <c r="AL144"/>
      <c r="AM144"/>
      <c r="AN144"/>
      <c r="AO144"/>
    </row>
    <row r="145" spans="1:41" ht="15" hidden="1" customHeight="1">
      <c r="A145" t="str">
        <f t="shared" si="56"/>
        <v>*</v>
      </c>
      <c r="B145" s="894"/>
      <c r="C145" s="937" t="str">
        <f t="shared" si="59"/>
        <v/>
      </c>
      <c r="D145" s="934">
        <f t="shared" si="52"/>
        <v>0</v>
      </c>
      <c r="E145" s="934">
        <f t="shared" si="53"/>
        <v>0</v>
      </c>
      <c r="F145" s="934">
        <f t="shared" si="57"/>
        <v>0</v>
      </c>
      <c r="G145" s="934">
        <f t="shared" si="54"/>
        <v>0</v>
      </c>
      <c r="H145" s="934">
        <f t="shared" si="55"/>
        <v>0</v>
      </c>
      <c r="I145" s="934">
        <f t="shared" si="58"/>
        <v>0</v>
      </c>
      <c r="M145" s="858"/>
      <c r="N145"/>
      <c r="O145"/>
      <c r="P145"/>
      <c r="Q145"/>
      <c r="R145"/>
      <c r="S145"/>
      <c r="T145"/>
      <c r="U145"/>
      <c r="V145"/>
      <c r="W145"/>
      <c r="X145"/>
      <c r="Y145"/>
      <c r="Z145"/>
      <c r="AA145"/>
      <c r="AB145"/>
      <c r="AC145"/>
      <c r="AD145"/>
      <c r="AE145"/>
      <c r="AF145"/>
      <c r="AG145"/>
      <c r="AH145"/>
      <c r="AI145"/>
      <c r="AJ145"/>
      <c r="AK145"/>
      <c r="AL145"/>
      <c r="AM145"/>
      <c r="AN145"/>
      <c r="AO145"/>
    </row>
    <row r="146" spans="1:41" ht="15" hidden="1" customHeight="1">
      <c r="A146" t="str">
        <f t="shared" si="56"/>
        <v>*</v>
      </c>
      <c r="B146" s="894"/>
      <c r="C146" s="937" t="str">
        <f t="shared" si="59"/>
        <v/>
      </c>
      <c r="D146" s="934">
        <f t="shared" si="52"/>
        <v>0</v>
      </c>
      <c r="E146" s="934">
        <f t="shared" si="53"/>
        <v>0</v>
      </c>
      <c r="F146" s="934">
        <f t="shared" si="57"/>
        <v>0</v>
      </c>
      <c r="G146" s="934">
        <f t="shared" si="54"/>
        <v>0</v>
      </c>
      <c r="H146" s="934">
        <f t="shared" si="55"/>
        <v>0</v>
      </c>
      <c r="I146" s="934">
        <f t="shared" si="58"/>
        <v>0</v>
      </c>
      <c r="M146" s="858"/>
      <c r="N146"/>
      <c r="O146"/>
      <c r="P146"/>
      <c r="Q146"/>
      <c r="R146"/>
      <c r="S146"/>
      <c r="T146"/>
      <c r="U146"/>
      <c r="V146"/>
      <c r="W146"/>
      <c r="X146"/>
      <c r="Y146"/>
      <c r="Z146"/>
      <c r="AA146"/>
      <c r="AB146"/>
      <c r="AC146"/>
      <c r="AD146"/>
      <c r="AE146"/>
      <c r="AF146"/>
      <c r="AG146"/>
      <c r="AH146"/>
      <c r="AI146"/>
      <c r="AJ146"/>
      <c r="AK146"/>
      <c r="AL146"/>
      <c r="AM146"/>
      <c r="AN146"/>
      <c r="AO146"/>
    </row>
    <row r="147" spans="1:41" ht="15" hidden="1" customHeight="1">
      <c r="A147" t="str">
        <f t="shared" si="56"/>
        <v>*</v>
      </c>
      <c r="B147" s="894"/>
      <c r="C147" s="937" t="str">
        <f t="shared" si="59"/>
        <v/>
      </c>
      <c r="D147" s="934">
        <f t="shared" si="52"/>
        <v>0</v>
      </c>
      <c r="E147" s="934">
        <f t="shared" si="53"/>
        <v>0</v>
      </c>
      <c r="F147" s="934">
        <f t="shared" si="57"/>
        <v>0</v>
      </c>
      <c r="G147" s="934">
        <f t="shared" si="54"/>
        <v>0</v>
      </c>
      <c r="H147" s="934">
        <f t="shared" si="55"/>
        <v>0</v>
      </c>
      <c r="I147" s="934">
        <f t="shared" si="58"/>
        <v>0</v>
      </c>
      <c r="M147" s="858"/>
      <c r="N147"/>
      <c r="O147"/>
      <c r="P147"/>
      <c r="Q147"/>
      <c r="R147"/>
      <c r="S147"/>
      <c r="T147"/>
      <c r="U147"/>
      <c r="V147"/>
      <c r="W147"/>
      <c r="X147"/>
      <c r="Y147"/>
      <c r="Z147"/>
      <c r="AA147"/>
      <c r="AB147"/>
      <c r="AC147"/>
      <c r="AD147"/>
      <c r="AE147"/>
      <c r="AF147"/>
      <c r="AG147"/>
      <c r="AH147"/>
      <c r="AI147"/>
      <c r="AJ147"/>
      <c r="AK147"/>
      <c r="AL147"/>
      <c r="AM147"/>
      <c r="AN147"/>
      <c r="AO147"/>
    </row>
    <row r="148" spans="1:41" ht="15" hidden="1" customHeight="1">
      <c r="A148" t="str">
        <f t="shared" si="56"/>
        <v>*</v>
      </c>
      <c r="B148" s="894"/>
      <c r="C148" s="937" t="str">
        <f t="shared" si="59"/>
        <v/>
      </c>
      <c r="D148" s="934">
        <f t="shared" si="52"/>
        <v>0</v>
      </c>
      <c r="E148" s="934">
        <f t="shared" si="53"/>
        <v>0</v>
      </c>
      <c r="F148" s="934">
        <f t="shared" si="57"/>
        <v>0</v>
      </c>
      <c r="G148" s="934">
        <f t="shared" si="54"/>
        <v>0</v>
      </c>
      <c r="H148" s="934">
        <f t="shared" si="55"/>
        <v>0</v>
      </c>
      <c r="I148" s="934">
        <f t="shared" si="58"/>
        <v>0</v>
      </c>
      <c r="M148" s="858"/>
      <c r="N148"/>
      <c r="O148"/>
      <c r="P148"/>
      <c r="Q148"/>
      <c r="R148"/>
      <c r="S148"/>
      <c r="T148"/>
      <c r="U148"/>
      <c r="V148"/>
      <c r="W148"/>
      <c r="X148"/>
      <c r="Y148"/>
      <c r="Z148"/>
      <c r="AA148"/>
      <c r="AB148"/>
      <c r="AC148"/>
      <c r="AD148"/>
      <c r="AE148"/>
      <c r="AF148"/>
      <c r="AG148"/>
      <c r="AH148"/>
      <c r="AI148"/>
      <c r="AJ148"/>
      <c r="AK148"/>
      <c r="AL148"/>
      <c r="AM148"/>
      <c r="AN148"/>
      <c r="AO148"/>
    </row>
    <row r="149" spans="1:41" ht="15" hidden="1" customHeight="1">
      <c r="A149" t="str">
        <f t="shared" si="56"/>
        <v>*</v>
      </c>
      <c r="B149" s="894"/>
      <c r="C149" s="937" t="str">
        <f t="shared" si="59"/>
        <v/>
      </c>
      <c r="D149" s="934">
        <f t="shared" si="52"/>
        <v>0</v>
      </c>
      <c r="E149" s="934">
        <f t="shared" si="53"/>
        <v>0</v>
      </c>
      <c r="F149" s="934">
        <f t="shared" si="57"/>
        <v>0</v>
      </c>
      <c r="G149" s="934">
        <f t="shared" si="54"/>
        <v>0</v>
      </c>
      <c r="H149" s="934">
        <f t="shared" si="55"/>
        <v>0</v>
      </c>
      <c r="I149" s="934">
        <f t="shared" si="58"/>
        <v>0</v>
      </c>
      <c r="M149" s="858"/>
      <c r="N149"/>
      <c r="O149"/>
      <c r="P149"/>
      <c r="Q149"/>
      <c r="R149"/>
      <c r="S149"/>
      <c r="T149"/>
      <c r="U149"/>
      <c r="V149"/>
      <c r="W149"/>
      <c r="X149"/>
      <c r="Y149"/>
      <c r="Z149"/>
      <c r="AA149"/>
      <c r="AB149"/>
      <c r="AC149"/>
      <c r="AD149"/>
      <c r="AE149"/>
      <c r="AF149"/>
      <c r="AG149"/>
      <c r="AH149"/>
      <c r="AI149"/>
      <c r="AJ149"/>
      <c r="AK149"/>
      <c r="AL149"/>
      <c r="AM149"/>
      <c r="AN149"/>
      <c r="AO149"/>
    </row>
    <row r="150" spans="1:41" ht="15" hidden="1" customHeight="1">
      <c r="A150" t="str">
        <f t="shared" si="56"/>
        <v>*</v>
      </c>
      <c r="B150" s="894"/>
      <c r="C150" s="937" t="str">
        <f t="shared" si="59"/>
        <v/>
      </c>
      <c r="D150" s="934">
        <f t="shared" si="52"/>
        <v>0</v>
      </c>
      <c r="E150" s="934">
        <f t="shared" si="53"/>
        <v>0</v>
      </c>
      <c r="F150" s="934">
        <f t="shared" si="57"/>
        <v>0</v>
      </c>
      <c r="G150" s="934">
        <f t="shared" si="54"/>
        <v>0</v>
      </c>
      <c r="H150" s="934">
        <f t="shared" si="55"/>
        <v>0</v>
      </c>
      <c r="I150" s="934">
        <f t="shared" si="58"/>
        <v>0</v>
      </c>
      <c r="M150" s="858"/>
      <c r="N150"/>
      <c r="O150"/>
      <c r="P150"/>
      <c r="Q150"/>
      <c r="R150"/>
      <c r="S150"/>
      <c r="T150"/>
      <c r="U150"/>
      <c r="V150"/>
      <c r="W150"/>
      <c r="X150"/>
      <c r="Y150"/>
      <c r="Z150"/>
      <c r="AA150"/>
      <c r="AB150"/>
      <c r="AC150"/>
      <c r="AD150"/>
      <c r="AE150"/>
      <c r="AF150"/>
      <c r="AG150"/>
      <c r="AH150"/>
      <c r="AI150"/>
      <c r="AJ150"/>
      <c r="AK150"/>
      <c r="AL150"/>
      <c r="AM150"/>
      <c r="AN150"/>
      <c r="AO150"/>
    </row>
    <row r="151" spans="1:41" ht="15" hidden="1" customHeight="1">
      <c r="A151" t="str">
        <f t="shared" si="56"/>
        <v>*</v>
      </c>
      <c r="B151" s="894"/>
      <c r="C151" s="937" t="str">
        <f t="shared" si="59"/>
        <v/>
      </c>
      <c r="D151" s="934">
        <f t="shared" si="52"/>
        <v>0</v>
      </c>
      <c r="E151" s="934">
        <f t="shared" si="53"/>
        <v>0</v>
      </c>
      <c r="F151" s="934">
        <f t="shared" si="57"/>
        <v>0</v>
      </c>
      <c r="G151" s="934">
        <f t="shared" si="54"/>
        <v>0</v>
      </c>
      <c r="H151" s="934">
        <f t="shared" si="55"/>
        <v>0</v>
      </c>
      <c r="I151" s="934">
        <f t="shared" si="58"/>
        <v>0</v>
      </c>
      <c r="M151" s="858"/>
      <c r="N151"/>
      <c r="O151"/>
      <c r="P151"/>
      <c r="Q151"/>
      <c r="R151"/>
      <c r="S151"/>
      <c r="T151"/>
      <c r="U151"/>
      <c r="V151"/>
      <c r="W151"/>
      <c r="X151"/>
      <c r="Y151"/>
      <c r="Z151"/>
      <c r="AA151"/>
      <c r="AB151"/>
      <c r="AC151"/>
      <c r="AD151"/>
      <c r="AE151"/>
      <c r="AF151"/>
      <c r="AG151"/>
      <c r="AH151"/>
      <c r="AI151"/>
      <c r="AJ151"/>
      <c r="AK151"/>
      <c r="AL151"/>
      <c r="AM151"/>
      <c r="AN151"/>
      <c r="AO151"/>
    </row>
    <row r="152" spans="1:41" ht="15" hidden="1" customHeight="1">
      <c r="A152" t="str">
        <f t="shared" si="56"/>
        <v>*</v>
      </c>
      <c r="B152" s="894"/>
      <c r="C152" s="937" t="str">
        <f t="shared" si="59"/>
        <v/>
      </c>
      <c r="D152" s="934">
        <f t="shared" si="52"/>
        <v>0</v>
      </c>
      <c r="E152" s="934">
        <f t="shared" si="53"/>
        <v>0</v>
      </c>
      <c r="F152" s="934">
        <f t="shared" si="57"/>
        <v>0</v>
      </c>
      <c r="G152" s="934">
        <f t="shared" si="54"/>
        <v>0</v>
      </c>
      <c r="H152" s="934">
        <f t="shared" si="55"/>
        <v>0</v>
      </c>
      <c r="I152" s="934">
        <f t="shared" si="58"/>
        <v>0</v>
      </c>
      <c r="M152" s="858"/>
      <c r="N152"/>
      <c r="O152"/>
      <c r="P152"/>
      <c r="Q152"/>
      <c r="R152"/>
      <c r="S152"/>
      <c r="T152"/>
      <c r="U152"/>
      <c r="V152"/>
      <c r="W152"/>
      <c r="X152"/>
      <c r="Y152"/>
      <c r="Z152"/>
      <c r="AA152"/>
      <c r="AB152"/>
      <c r="AC152"/>
      <c r="AD152"/>
      <c r="AE152"/>
      <c r="AF152"/>
      <c r="AG152"/>
      <c r="AH152"/>
      <c r="AI152"/>
      <c r="AJ152"/>
      <c r="AK152"/>
      <c r="AL152"/>
      <c r="AM152"/>
      <c r="AN152"/>
      <c r="AO152"/>
    </row>
    <row r="153" spans="1:41" ht="15" hidden="1" customHeight="1">
      <c r="A153" t="str">
        <f t="shared" si="56"/>
        <v>*</v>
      </c>
      <c r="B153" s="894"/>
      <c r="C153" s="937" t="str">
        <f t="shared" si="59"/>
        <v/>
      </c>
      <c r="D153" s="934">
        <f t="shared" si="52"/>
        <v>0</v>
      </c>
      <c r="E153" s="934">
        <f t="shared" si="53"/>
        <v>0</v>
      </c>
      <c r="F153" s="934">
        <f t="shared" si="57"/>
        <v>0</v>
      </c>
      <c r="G153" s="934">
        <f t="shared" si="54"/>
        <v>0</v>
      </c>
      <c r="H153" s="934">
        <f t="shared" si="55"/>
        <v>0</v>
      </c>
      <c r="I153" s="934">
        <f t="shared" si="58"/>
        <v>0</v>
      </c>
      <c r="M153" s="858"/>
      <c r="N153"/>
      <c r="O153"/>
      <c r="P153"/>
      <c r="Q153"/>
      <c r="R153"/>
      <c r="S153"/>
      <c r="T153"/>
      <c r="U153"/>
      <c r="V153"/>
      <c r="W153"/>
      <c r="X153"/>
      <c r="Y153"/>
      <c r="Z153"/>
      <c r="AA153"/>
      <c r="AB153"/>
      <c r="AC153"/>
      <c r="AD153"/>
      <c r="AE153"/>
      <c r="AF153"/>
      <c r="AG153"/>
      <c r="AH153"/>
      <c r="AI153"/>
      <c r="AJ153"/>
      <c r="AK153"/>
      <c r="AL153"/>
      <c r="AM153"/>
      <c r="AN153"/>
      <c r="AO153"/>
    </row>
    <row r="154" spans="1:41" ht="15" hidden="1" customHeight="1">
      <c r="A154" t="str">
        <f t="shared" si="56"/>
        <v>*</v>
      </c>
      <c r="B154" s="894"/>
      <c r="C154" s="937" t="str">
        <f t="shared" si="59"/>
        <v/>
      </c>
      <c r="D154" s="934">
        <f t="shared" si="52"/>
        <v>0</v>
      </c>
      <c r="E154" s="934">
        <f t="shared" si="53"/>
        <v>0</v>
      </c>
      <c r="F154" s="934">
        <f t="shared" si="57"/>
        <v>0</v>
      </c>
      <c r="G154" s="934">
        <f t="shared" si="54"/>
        <v>0</v>
      </c>
      <c r="H154" s="934">
        <f t="shared" si="55"/>
        <v>0</v>
      </c>
      <c r="I154" s="934">
        <f t="shared" si="58"/>
        <v>0</v>
      </c>
      <c r="M154" s="858"/>
      <c r="N154"/>
      <c r="O154"/>
      <c r="P154"/>
      <c r="Q154"/>
      <c r="R154"/>
      <c r="S154"/>
      <c r="T154"/>
      <c r="U154"/>
      <c r="V154"/>
      <c r="W154"/>
      <c r="X154"/>
      <c r="Y154"/>
      <c r="Z154"/>
      <c r="AA154"/>
      <c r="AB154"/>
      <c r="AC154"/>
      <c r="AD154"/>
      <c r="AE154"/>
      <c r="AF154"/>
      <c r="AG154"/>
      <c r="AH154"/>
      <c r="AI154"/>
      <c r="AJ154"/>
      <c r="AK154"/>
      <c r="AL154"/>
      <c r="AM154"/>
      <c r="AN154"/>
      <c r="AO154"/>
    </row>
    <row r="155" spans="1:41" ht="15" hidden="1" customHeight="1">
      <c r="A155" t="str">
        <f t="shared" si="56"/>
        <v>*</v>
      </c>
      <c r="B155" s="894"/>
      <c r="C155" s="937" t="str">
        <f t="shared" si="59"/>
        <v/>
      </c>
      <c r="D155" s="934">
        <f t="shared" si="52"/>
        <v>0</v>
      </c>
      <c r="E155" s="934">
        <f t="shared" si="53"/>
        <v>0</v>
      </c>
      <c r="F155" s="934">
        <f t="shared" si="57"/>
        <v>0</v>
      </c>
      <c r="G155" s="934">
        <f t="shared" si="54"/>
        <v>0</v>
      </c>
      <c r="H155" s="934">
        <f t="shared" si="55"/>
        <v>0</v>
      </c>
      <c r="I155" s="934">
        <f t="shared" si="58"/>
        <v>0</v>
      </c>
      <c r="M155" s="858"/>
      <c r="N155"/>
      <c r="O155"/>
      <c r="P155"/>
      <c r="Q155"/>
      <c r="R155"/>
      <c r="S155"/>
      <c r="T155"/>
      <c r="U155"/>
      <c r="V155"/>
      <c r="W155"/>
      <c r="X155"/>
      <c r="Y155"/>
      <c r="Z155"/>
      <c r="AA155"/>
      <c r="AB155"/>
      <c r="AC155"/>
      <c r="AD155"/>
      <c r="AE155"/>
      <c r="AF155"/>
      <c r="AG155"/>
      <c r="AH155"/>
      <c r="AI155"/>
      <c r="AJ155"/>
      <c r="AK155"/>
      <c r="AL155"/>
      <c r="AM155"/>
      <c r="AN155"/>
      <c r="AO155"/>
    </row>
    <row r="156" spans="1:41" ht="15" hidden="1" customHeight="1">
      <c r="A156" t="str">
        <f t="shared" si="56"/>
        <v>*</v>
      </c>
      <c r="B156" s="894"/>
      <c r="C156" s="937" t="str">
        <f t="shared" si="59"/>
        <v/>
      </c>
      <c r="D156" s="934">
        <f t="shared" si="52"/>
        <v>0</v>
      </c>
      <c r="E156" s="934">
        <f t="shared" si="53"/>
        <v>0</v>
      </c>
      <c r="F156" s="934">
        <f t="shared" si="57"/>
        <v>0</v>
      </c>
      <c r="G156" s="934">
        <f t="shared" si="54"/>
        <v>0</v>
      </c>
      <c r="H156" s="934">
        <f t="shared" si="55"/>
        <v>0</v>
      </c>
      <c r="I156" s="934">
        <f t="shared" si="58"/>
        <v>0</v>
      </c>
      <c r="M156" s="858"/>
      <c r="N156"/>
      <c r="O156"/>
      <c r="P156"/>
      <c r="Q156"/>
      <c r="R156"/>
      <c r="S156"/>
      <c r="T156"/>
      <c r="U156"/>
      <c r="V156"/>
      <c r="W156"/>
      <c r="X156"/>
      <c r="Y156"/>
      <c r="Z156"/>
      <c r="AA156"/>
      <c r="AB156"/>
      <c r="AC156"/>
      <c r="AD156"/>
      <c r="AE156"/>
      <c r="AF156"/>
      <c r="AG156"/>
      <c r="AH156"/>
      <c r="AI156"/>
      <c r="AJ156"/>
      <c r="AK156"/>
      <c r="AL156"/>
      <c r="AM156"/>
      <c r="AN156"/>
      <c r="AO156"/>
    </row>
    <row r="157" spans="1:41" ht="15" hidden="1" customHeight="1">
      <c r="A157" t="str">
        <f t="shared" si="56"/>
        <v>*</v>
      </c>
      <c r="B157" s="894"/>
      <c r="C157" s="937" t="str">
        <f t="shared" si="59"/>
        <v/>
      </c>
      <c r="D157" s="935">
        <f t="shared" si="52"/>
        <v>0</v>
      </c>
      <c r="E157" s="935">
        <f t="shared" si="53"/>
        <v>0</v>
      </c>
      <c r="F157" s="935">
        <f t="shared" si="57"/>
        <v>0</v>
      </c>
      <c r="G157" s="935">
        <f t="shared" si="54"/>
        <v>0</v>
      </c>
      <c r="H157" s="935">
        <f t="shared" si="55"/>
        <v>0</v>
      </c>
      <c r="I157" s="935">
        <f t="shared" si="58"/>
        <v>0</v>
      </c>
      <c r="M157" s="858"/>
      <c r="N157"/>
      <c r="O157"/>
      <c r="P157"/>
      <c r="Q157"/>
      <c r="R157"/>
      <c r="S157"/>
      <c r="T157"/>
      <c r="U157"/>
      <c r="V157"/>
      <c r="W157"/>
      <c r="X157"/>
      <c r="Y157"/>
      <c r="Z157"/>
      <c r="AA157"/>
      <c r="AB157"/>
      <c r="AC157"/>
      <c r="AD157"/>
      <c r="AE157"/>
      <c r="AF157"/>
      <c r="AG157"/>
      <c r="AH157"/>
      <c r="AI157"/>
      <c r="AJ157"/>
      <c r="AK157"/>
      <c r="AL157"/>
      <c r="AM157"/>
      <c r="AN157"/>
      <c r="AO157"/>
    </row>
    <row r="158" spans="1:41" ht="15" customHeight="1">
      <c r="B158" s="16"/>
      <c r="C158" s="859" t="s">
        <v>885</v>
      </c>
      <c r="D158" s="1386" t="e">
        <f t="shared" ref="D158:I158" si="60">SUM(D138:D157)</f>
        <v>#DIV/0!</v>
      </c>
      <c r="E158" s="1386" t="e">
        <f t="shared" si="60"/>
        <v>#DIV/0!</v>
      </c>
      <c r="F158" s="1386" t="e">
        <f t="shared" si="60"/>
        <v>#DIV/0!</v>
      </c>
      <c r="G158" s="1386" t="e">
        <f t="shared" si="60"/>
        <v>#DIV/0!</v>
      </c>
      <c r="H158" s="1386" t="e">
        <f t="shared" si="60"/>
        <v>#DIV/0!</v>
      </c>
      <c r="I158" s="1386" t="e">
        <f t="shared" si="60"/>
        <v>#DIV/0!</v>
      </c>
      <c r="N158"/>
      <c r="O158"/>
      <c r="P158"/>
      <c r="Q158"/>
      <c r="R158"/>
      <c r="S158"/>
      <c r="T158"/>
      <c r="U158"/>
      <c r="V158"/>
      <c r="W158"/>
      <c r="X158"/>
      <c r="Y158"/>
      <c r="Z158"/>
      <c r="AA158"/>
      <c r="AB158"/>
      <c r="AC158"/>
      <c r="AD158"/>
      <c r="AE158"/>
      <c r="AF158"/>
      <c r="AG158"/>
      <c r="AH158"/>
      <c r="AI158"/>
      <c r="AJ158"/>
      <c r="AK158"/>
      <c r="AL158"/>
      <c r="AM158"/>
      <c r="AN158"/>
      <c r="AO158"/>
    </row>
    <row r="159" spans="1:41" ht="4.5" customHeight="1">
      <c r="B159" s="16"/>
      <c r="C159" s="860"/>
      <c r="D159" s="858"/>
      <c r="E159" s="858"/>
      <c r="F159" s="858"/>
      <c r="G159" s="858"/>
      <c r="H159" s="858"/>
      <c r="I159" s="858"/>
      <c r="N159"/>
      <c r="O159"/>
      <c r="P159"/>
      <c r="Q159"/>
      <c r="R159"/>
      <c r="S159"/>
      <c r="T159"/>
      <c r="U159"/>
      <c r="V159"/>
      <c r="W159"/>
      <c r="X159"/>
      <c r="Y159"/>
      <c r="Z159"/>
      <c r="AA159"/>
      <c r="AB159"/>
      <c r="AC159"/>
      <c r="AD159"/>
      <c r="AE159"/>
      <c r="AF159"/>
      <c r="AG159"/>
      <c r="AH159"/>
      <c r="AI159"/>
      <c r="AJ159"/>
      <c r="AK159"/>
      <c r="AL159"/>
      <c r="AM159"/>
      <c r="AN159"/>
      <c r="AO159"/>
    </row>
    <row r="160" spans="1:41" ht="4.5" customHeight="1">
      <c r="B160" s="16"/>
      <c r="C160" s="860"/>
      <c r="D160" s="858"/>
      <c r="E160" s="858"/>
      <c r="F160" s="858"/>
      <c r="G160" s="858"/>
      <c r="H160" s="858"/>
      <c r="I160" s="858"/>
      <c r="N160"/>
      <c r="O160"/>
      <c r="P160"/>
      <c r="Q160"/>
      <c r="R160"/>
      <c r="S160"/>
      <c r="T160"/>
      <c r="U160"/>
      <c r="V160"/>
      <c r="W160"/>
      <c r="X160"/>
      <c r="Y160"/>
      <c r="Z160"/>
      <c r="AA160"/>
      <c r="AB160"/>
      <c r="AC160"/>
      <c r="AD160"/>
      <c r="AE160"/>
      <c r="AF160"/>
      <c r="AG160"/>
      <c r="AH160"/>
      <c r="AI160"/>
      <c r="AJ160"/>
      <c r="AK160"/>
      <c r="AL160"/>
      <c r="AM160"/>
      <c r="AN160"/>
      <c r="AO160"/>
    </row>
    <row r="161" spans="1:41" ht="15" customHeight="1">
      <c r="B161" s="16"/>
      <c r="C161" s="44" t="s">
        <v>1009</v>
      </c>
      <c r="I161" s="860"/>
      <c r="J161" s="858"/>
      <c r="K161" s="858"/>
      <c r="N161"/>
      <c r="O161"/>
      <c r="P161"/>
      <c r="Q161"/>
      <c r="R161"/>
      <c r="S161"/>
      <c r="T161"/>
      <c r="U161"/>
      <c r="V161"/>
      <c r="W161"/>
      <c r="X161"/>
      <c r="Y161"/>
      <c r="Z161"/>
      <c r="AA161"/>
      <c r="AB161"/>
      <c r="AC161"/>
      <c r="AD161"/>
      <c r="AE161"/>
      <c r="AF161"/>
      <c r="AG161"/>
      <c r="AH161"/>
      <c r="AI161"/>
      <c r="AJ161"/>
      <c r="AK161"/>
      <c r="AL161"/>
      <c r="AM161"/>
      <c r="AN161"/>
      <c r="AO161"/>
    </row>
    <row r="162" spans="1:41" ht="3.75" customHeight="1">
      <c r="B162" s="16"/>
      <c r="C162" s="44"/>
      <c r="I162" s="860"/>
      <c r="J162" s="858"/>
      <c r="K162" s="858"/>
      <c r="N162"/>
      <c r="O162"/>
      <c r="P162"/>
      <c r="Q162"/>
      <c r="R162"/>
      <c r="S162"/>
      <c r="T162"/>
      <c r="U162"/>
      <c r="V162"/>
      <c r="W162"/>
      <c r="X162"/>
      <c r="Y162"/>
      <c r="Z162"/>
      <c r="AA162"/>
      <c r="AB162"/>
      <c r="AC162"/>
      <c r="AD162"/>
      <c r="AE162"/>
      <c r="AF162"/>
      <c r="AG162"/>
      <c r="AH162"/>
      <c r="AI162"/>
      <c r="AJ162"/>
      <c r="AK162"/>
      <c r="AL162"/>
      <c r="AM162"/>
      <c r="AN162"/>
      <c r="AO162"/>
    </row>
    <row r="163" spans="1:41" ht="15" customHeight="1">
      <c r="B163" s="16"/>
      <c r="C163" s="71"/>
      <c r="D163" s="1654" t="s">
        <v>1295</v>
      </c>
      <c r="E163" s="1654"/>
      <c r="F163" s="1654"/>
      <c r="G163" s="1654" t="s">
        <v>1176</v>
      </c>
      <c r="H163" s="1654"/>
      <c r="I163" s="1654"/>
      <c r="J163" s="858"/>
      <c r="N163"/>
      <c r="O163"/>
      <c r="P163"/>
      <c r="Q163"/>
      <c r="R163"/>
      <c r="S163"/>
      <c r="T163"/>
      <c r="U163"/>
      <c r="V163"/>
      <c r="W163"/>
      <c r="X163"/>
      <c r="Y163"/>
      <c r="Z163"/>
      <c r="AA163"/>
      <c r="AB163"/>
      <c r="AC163"/>
      <c r="AD163"/>
      <c r="AE163"/>
      <c r="AF163"/>
      <c r="AG163"/>
      <c r="AH163"/>
      <c r="AI163"/>
      <c r="AJ163"/>
      <c r="AK163"/>
      <c r="AL163"/>
      <c r="AM163"/>
      <c r="AN163"/>
      <c r="AO163"/>
    </row>
    <row r="164" spans="1:41" ht="15" customHeight="1">
      <c r="B164" s="16"/>
      <c r="C164" s="303"/>
      <c r="D164" s="903" t="s">
        <v>721</v>
      </c>
      <c r="E164" s="242" t="s">
        <v>890</v>
      </c>
      <c r="F164" s="242" t="s">
        <v>547</v>
      </c>
      <c r="G164" s="903" t="s">
        <v>721</v>
      </c>
      <c r="H164" s="242" t="s">
        <v>890</v>
      </c>
      <c r="I164" s="242" t="s">
        <v>547</v>
      </c>
      <c r="J164" s="858"/>
      <c r="N164"/>
      <c r="O164"/>
      <c r="P164"/>
      <c r="Q164"/>
      <c r="R164"/>
      <c r="S164"/>
      <c r="T164"/>
      <c r="U164"/>
      <c r="V164"/>
      <c r="W164"/>
      <c r="X164"/>
      <c r="Y164"/>
      <c r="Z164"/>
      <c r="AA164"/>
      <c r="AB164"/>
      <c r="AC164"/>
      <c r="AD164"/>
      <c r="AE164"/>
      <c r="AF164"/>
      <c r="AG164"/>
      <c r="AH164"/>
      <c r="AI164"/>
      <c r="AJ164"/>
      <c r="AK164"/>
      <c r="AL164"/>
      <c r="AM164"/>
      <c r="AN164"/>
      <c r="AO164"/>
    </row>
    <row r="165" spans="1:41" ht="15" customHeight="1">
      <c r="A165" t="str">
        <f>IF(C165="","*","")</f>
        <v/>
      </c>
      <c r="B165" s="16"/>
      <c r="C165" s="936" t="str">
        <f>C96</f>
        <v>Beam 1</v>
      </c>
      <c r="D165" s="933" t="e">
        <f t="shared" ref="D165:D184" si="61">MAX(D96,F96)*(BearingDist/12)</f>
        <v>#DIV/0!</v>
      </c>
      <c r="E165" s="933" t="e">
        <f t="shared" ref="E165:E184" si="62">MAX(E96,G96)*(BearingDist/12)</f>
        <v>#DIV/0!</v>
      </c>
      <c r="F165" s="933" t="e">
        <f>SUM(D165:E165)</f>
        <v>#DIV/0!</v>
      </c>
      <c r="G165" s="933" t="e">
        <f t="shared" ref="G165:G184" si="63">MAX(H96,J96)*(BearingDist/12)</f>
        <v>#DIV/0!</v>
      </c>
      <c r="H165" s="933" t="e">
        <f t="shared" ref="H165:H184" si="64">MAX(I96,K96)*(BearingDist/12)</f>
        <v>#DIV/0!</v>
      </c>
      <c r="I165" s="933" t="e">
        <f>SUM(G165:H165)</f>
        <v>#DIV/0!</v>
      </c>
      <c r="J165" s="858"/>
      <c r="K165" s="858"/>
      <c r="N165"/>
      <c r="O165"/>
      <c r="P165"/>
      <c r="Q165"/>
      <c r="R165"/>
      <c r="S165"/>
      <c r="T165"/>
      <c r="U165"/>
      <c r="V165"/>
      <c r="W165"/>
      <c r="X165"/>
      <c r="Y165"/>
      <c r="Z165"/>
      <c r="AA165"/>
      <c r="AB165"/>
      <c r="AC165"/>
      <c r="AD165"/>
      <c r="AE165"/>
      <c r="AF165"/>
      <c r="AG165"/>
      <c r="AH165"/>
      <c r="AI165"/>
      <c r="AJ165"/>
      <c r="AK165"/>
      <c r="AL165"/>
      <c r="AM165"/>
      <c r="AN165"/>
      <c r="AO165"/>
    </row>
    <row r="166" spans="1:41" ht="15" customHeight="1">
      <c r="A166" t="str">
        <f t="shared" ref="A166:A184" si="65">IF(C166="","*","")</f>
        <v/>
      </c>
      <c r="B166" s="16"/>
      <c r="C166" s="937" t="str">
        <f>C97</f>
        <v>Beam 2</v>
      </c>
      <c r="D166" s="934" t="e">
        <f t="shared" si="61"/>
        <v>#DIV/0!</v>
      </c>
      <c r="E166" s="934" t="e">
        <f t="shared" si="62"/>
        <v>#DIV/0!</v>
      </c>
      <c r="F166" s="934" t="e">
        <f t="shared" ref="F166:F184" si="66">SUM(D166:E166)</f>
        <v>#DIV/0!</v>
      </c>
      <c r="G166" s="934" t="e">
        <f t="shared" si="63"/>
        <v>#DIV/0!</v>
      </c>
      <c r="H166" s="934" t="e">
        <f t="shared" si="64"/>
        <v>#DIV/0!</v>
      </c>
      <c r="I166" s="934" t="e">
        <f t="shared" ref="I166:I184" si="67">SUM(G166:H166)</f>
        <v>#DIV/0!</v>
      </c>
      <c r="J166" s="858"/>
      <c r="K166" s="858"/>
      <c r="N166"/>
      <c r="O166"/>
      <c r="P166"/>
      <c r="Q166"/>
      <c r="R166"/>
      <c r="S166"/>
      <c r="T166"/>
      <c r="U166"/>
      <c r="V166"/>
      <c r="W166"/>
      <c r="X166"/>
      <c r="Y166"/>
      <c r="Z166"/>
      <c r="AA166"/>
      <c r="AB166"/>
      <c r="AC166"/>
      <c r="AD166"/>
      <c r="AE166"/>
      <c r="AF166"/>
      <c r="AG166"/>
      <c r="AH166"/>
      <c r="AI166"/>
      <c r="AJ166"/>
      <c r="AK166"/>
      <c r="AL166"/>
      <c r="AM166"/>
      <c r="AN166"/>
      <c r="AO166"/>
    </row>
    <row r="167" spans="1:41" ht="15" customHeight="1">
      <c r="A167" t="str">
        <f t="shared" si="65"/>
        <v/>
      </c>
      <c r="B167" s="16"/>
      <c r="C167" s="937" t="str">
        <f t="shared" ref="C167:C184" si="68">C98</f>
        <v>Beam 3</v>
      </c>
      <c r="D167" s="934" t="e">
        <f t="shared" si="61"/>
        <v>#DIV/0!</v>
      </c>
      <c r="E167" s="934" t="e">
        <f t="shared" si="62"/>
        <v>#DIV/0!</v>
      </c>
      <c r="F167" s="934" t="e">
        <f t="shared" si="66"/>
        <v>#DIV/0!</v>
      </c>
      <c r="G167" s="934" t="e">
        <f t="shared" si="63"/>
        <v>#DIV/0!</v>
      </c>
      <c r="H167" s="934" t="e">
        <f t="shared" si="64"/>
        <v>#DIV/0!</v>
      </c>
      <c r="I167" s="934" t="e">
        <f t="shared" si="67"/>
        <v>#DIV/0!</v>
      </c>
      <c r="J167" s="858"/>
      <c r="N167"/>
      <c r="O167"/>
      <c r="P167"/>
      <c r="Q167"/>
      <c r="R167"/>
      <c r="S167"/>
      <c r="T167"/>
      <c r="U167"/>
      <c r="V167"/>
      <c r="W167"/>
      <c r="X167"/>
      <c r="Y167"/>
      <c r="Z167"/>
      <c r="AA167"/>
      <c r="AB167"/>
      <c r="AC167"/>
      <c r="AD167"/>
      <c r="AE167"/>
      <c r="AF167"/>
      <c r="AG167"/>
      <c r="AH167"/>
      <c r="AI167"/>
      <c r="AJ167"/>
      <c r="AK167"/>
      <c r="AL167"/>
      <c r="AM167"/>
      <c r="AN167"/>
      <c r="AO167"/>
    </row>
    <row r="168" spans="1:41" ht="15" customHeight="1">
      <c r="A168" t="str">
        <f t="shared" si="65"/>
        <v/>
      </c>
      <c r="B168" s="16"/>
      <c r="C168" s="937" t="str">
        <f t="shared" si="68"/>
        <v>Beam 4</v>
      </c>
      <c r="D168" s="934" t="e">
        <f t="shared" si="61"/>
        <v>#DIV/0!</v>
      </c>
      <c r="E168" s="934" t="e">
        <f t="shared" si="62"/>
        <v>#DIV/0!</v>
      </c>
      <c r="F168" s="934" t="e">
        <f t="shared" si="66"/>
        <v>#DIV/0!</v>
      </c>
      <c r="G168" s="934" t="e">
        <f t="shared" si="63"/>
        <v>#DIV/0!</v>
      </c>
      <c r="H168" s="934" t="e">
        <f t="shared" si="64"/>
        <v>#DIV/0!</v>
      </c>
      <c r="I168" s="934" t="e">
        <f t="shared" si="67"/>
        <v>#DIV/0!</v>
      </c>
      <c r="J168" s="858"/>
      <c r="N168"/>
      <c r="O168"/>
      <c r="P168"/>
      <c r="Q168"/>
      <c r="R168"/>
      <c r="S168"/>
      <c r="T168"/>
      <c r="U168"/>
      <c r="V168"/>
      <c r="W168"/>
      <c r="X168"/>
      <c r="Y168"/>
      <c r="Z168"/>
      <c r="AA168"/>
      <c r="AB168"/>
      <c r="AC168"/>
      <c r="AD168"/>
      <c r="AE168"/>
      <c r="AF168"/>
      <c r="AG168"/>
      <c r="AH168"/>
      <c r="AI168"/>
      <c r="AJ168"/>
      <c r="AK168"/>
      <c r="AL168"/>
      <c r="AM168"/>
      <c r="AN168"/>
      <c r="AO168"/>
    </row>
    <row r="169" spans="1:41" ht="15" customHeight="1">
      <c r="A169" t="str">
        <f t="shared" si="65"/>
        <v>*</v>
      </c>
      <c r="B169" s="16"/>
      <c r="C169" s="937" t="str">
        <f t="shared" si="68"/>
        <v/>
      </c>
      <c r="D169" s="934">
        <f t="shared" si="61"/>
        <v>0</v>
      </c>
      <c r="E169" s="934">
        <f t="shared" si="62"/>
        <v>0</v>
      </c>
      <c r="F169" s="934">
        <f t="shared" si="66"/>
        <v>0</v>
      </c>
      <c r="G169" s="934">
        <f t="shared" si="63"/>
        <v>0</v>
      </c>
      <c r="H169" s="934">
        <f t="shared" si="64"/>
        <v>0</v>
      </c>
      <c r="I169" s="934">
        <f t="shared" si="67"/>
        <v>0</v>
      </c>
      <c r="J169" s="858"/>
      <c r="K169" s="858"/>
      <c r="N169"/>
      <c r="O169"/>
      <c r="P169"/>
      <c r="Q169"/>
      <c r="R169"/>
      <c r="S169"/>
      <c r="T169"/>
      <c r="U169"/>
      <c r="V169"/>
      <c r="W169"/>
      <c r="X169"/>
      <c r="Y169"/>
      <c r="Z169"/>
      <c r="AA169"/>
      <c r="AB169"/>
      <c r="AC169"/>
      <c r="AD169"/>
      <c r="AE169"/>
      <c r="AF169"/>
      <c r="AG169"/>
      <c r="AH169"/>
      <c r="AI169"/>
      <c r="AJ169"/>
      <c r="AK169"/>
      <c r="AL169"/>
      <c r="AM169"/>
      <c r="AN169"/>
      <c r="AO169"/>
    </row>
    <row r="170" spans="1:41" ht="15" customHeight="1">
      <c r="A170" t="str">
        <f t="shared" si="65"/>
        <v>*</v>
      </c>
      <c r="B170" s="16"/>
      <c r="C170" s="937" t="str">
        <f t="shared" si="68"/>
        <v/>
      </c>
      <c r="D170" s="934">
        <f t="shared" si="61"/>
        <v>0</v>
      </c>
      <c r="E170" s="934">
        <f t="shared" si="62"/>
        <v>0</v>
      </c>
      <c r="F170" s="934">
        <f t="shared" si="66"/>
        <v>0</v>
      </c>
      <c r="G170" s="934">
        <f t="shared" si="63"/>
        <v>0</v>
      </c>
      <c r="H170" s="934">
        <f t="shared" si="64"/>
        <v>0</v>
      </c>
      <c r="I170" s="934">
        <f t="shared" si="67"/>
        <v>0</v>
      </c>
      <c r="J170" s="858"/>
      <c r="K170" s="858"/>
      <c r="N170"/>
      <c r="O170"/>
      <c r="P170"/>
      <c r="Q170"/>
      <c r="R170"/>
      <c r="S170"/>
      <c r="T170"/>
      <c r="U170"/>
      <c r="V170"/>
      <c r="W170"/>
      <c r="X170"/>
      <c r="Y170"/>
      <c r="Z170"/>
      <c r="AA170"/>
      <c r="AB170"/>
      <c r="AC170"/>
      <c r="AD170"/>
      <c r="AE170"/>
      <c r="AF170"/>
      <c r="AG170"/>
      <c r="AH170"/>
      <c r="AI170"/>
      <c r="AJ170"/>
      <c r="AK170"/>
      <c r="AL170"/>
      <c r="AM170"/>
      <c r="AN170"/>
      <c r="AO170"/>
    </row>
    <row r="171" spans="1:41" ht="15" hidden="1" customHeight="1">
      <c r="A171" t="str">
        <f t="shared" si="65"/>
        <v>*</v>
      </c>
      <c r="B171" s="16"/>
      <c r="C171" s="937" t="str">
        <f t="shared" si="68"/>
        <v/>
      </c>
      <c r="D171" s="934">
        <f t="shared" si="61"/>
        <v>0</v>
      </c>
      <c r="E171" s="934">
        <f t="shared" si="62"/>
        <v>0</v>
      </c>
      <c r="F171" s="934">
        <f t="shared" si="66"/>
        <v>0</v>
      </c>
      <c r="G171" s="934">
        <f t="shared" si="63"/>
        <v>0</v>
      </c>
      <c r="H171" s="934">
        <f t="shared" si="64"/>
        <v>0</v>
      </c>
      <c r="I171" s="934">
        <f t="shared" si="67"/>
        <v>0</v>
      </c>
      <c r="J171" s="858"/>
      <c r="K171" s="858"/>
      <c r="N171"/>
      <c r="O171"/>
      <c r="P171"/>
      <c r="Q171"/>
      <c r="R171"/>
      <c r="S171"/>
      <c r="T171"/>
      <c r="U171"/>
      <c r="V171"/>
      <c r="W171"/>
      <c r="X171"/>
      <c r="Y171"/>
      <c r="Z171"/>
      <c r="AA171"/>
      <c r="AB171"/>
      <c r="AC171"/>
      <c r="AD171"/>
      <c r="AE171"/>
      <c r="AF171"/>
      <c r="AG171"/>
      <c r="AH171"/>
      <c r="AI171"/>
      <c r="AJ171"/>
      <c r="AK171"/>
      <c r="AL171"/>
      <c r="AM171"/>
      <c r="AN171"/>
      <c r="AO171"/>
    </row>
    <row r="172" spans="1:41" ht="15" hidden="1" customHeight="1">
      <c r="A172" t="str">
        <f t="shared" si="65"/>
        <v>*</v>
      </c>
      <c r="B172" s="16"/>
      <c r="C172" s="937" t="str">
        <f t="shared" si="68"/>
        <v/>
      </c>
      <c r="D172" s="934">
        <f t="shared" si="61"/>
        <v>0</v>
      </c>
      <c r="E172" s="934">
        <f t="shared" si="62"/>
        <v>0</v>
      </c>
      <c r="F172" s="934">
        <f t="shared" si="66"/>
        <v>0</v>
      </c>
      <c r="G172" s="934">
        <f t="shared" si="63"/>
        <v>0</v>
      </c>
      <c r="H172" s="934">
        <f t="shared" si="64"/>
        <v>0</v>
      </c>
      <c r="I172" s="934">
        <f t="shared" si="67"/>
        <v>0</v>
      </c>
      <c r="J172" s="858"/>
      <c r="K172" s="858"/>
      <c r="N172"/>
      <c r="O172"/>
      <c r="P172"/>
      <c r="Q172"/>
      <c r="R172"/>
      <c r="S172"/>
      <c r="T172"/>
      <c r="U172"/>
      <c r="V172"/>
      <c r="W172"/>
      <c r="X172"/>
      <c r="Y172"/>
      <c r="Z172"/>
      <c r="AA172"/>
      <c r="AB172"/>
      <c r="AC172"/>
      <c r="AD172"/>
      <c r="AE172"/>
      <c r="AF172"/>
      <c r="AG172"/>
      <c r="AH172"/>
      <c r="AI172"/>
      <c r="AJ172"/>
      <c r="AK172"/>
      <c r="AL172"/>
      <c r="AM172"/>
      <c r="AN172"/>
      <c r="AO172"/>
    </row>
    <row r="173" spans="1:41" ht="15" hidden="1" customHeight="1">
      <c r="A173" t="str">
        <f t="shared" si="65"/>
        <v>*</v>
      </c>
      <c r="B173" s="16"/>
      <c r="C173" s="937" t="str">
        <f t="shared" si="68"/>
        <v/>
      </c>
      <c r="D173" s="934">
        <f t="shared" si="61"/>
        <v>0</v>
      </c>
      <c r="E173" s="934">
        <f t="shared" si="62"/>
        <v>0</v>
      </c>
      <c r="F173" s="934">
        <f t="shared" si="66"/>
        <v>0</v>
      </c>
      <c r="G173" s="934">
        <f t="shared" si="63"/>
        <v>0</v>
      </c>
      <c r="H173" s="934">
        <f t="shared" si="64"/>
        <v>0</v>
      </c>
      <c r="I173" s="934">
        <f t="shared" si="67"/>
        <v>0</v>
      </c>
      <c r="J173" s="858"/>
      <c r="K173" s="858"/>
      <c r="N173"/>
      <c r="O173"/>
      <c r="P173"/>
      <c r="Q173"/>
      <c r="R173"/>
      <c r="S173"/>
      <c r="T173"/>
      <c r="U173"/>
      <c r="V173"/>
      <c r="W173"/>
      <c r="X173"/>
      <c r="Y173"/>
      <c r="Z173"/>
      <c r="AA173"/>
      <c r="AB173"/>
      <c r="AC173"/>
      <c r="AD173"/>
      <c r="AE173"/>
      <c r="AF173"/>
      <c r="AG173"/>
      <c r="AH173"/>
      <c r="AI173"/>
      <c r="AJ173"/>
      <c r="AK173"/>
      <c r="AL173"/>
      <c r="AM173"/>
      <c r="AN173"/>
      <c r="AO173"/>
    </row>
    <row r="174" spans="1:41" ht="15" hidden="1" customHeight="1">
      <c r="A174" t="str">
        <f t="shared" si="65"/>
        <v>*</v>
      </c>
      <c r="B174" s="16"/>
      <c r="C174" s="937" t="str">
        <f t="shared" si="68"/>
        <v/>
      </c>
      <c r="D174" s="934">
        <f t="shared" si="61"/>
        <v>0</v>
      </c>
      <c r="E174" s="934">
        <f t="shared" si="62"/>
        <v>0</v>
      </c>
      <c r="F174" s="934">
        <f t="shared" si="66"/>
        <v>0</v>
      </c>
      <c r="G174" s="934">
        <f t="shared" si="63"/>
        <v>0</v>
      </c>
      <c r="H174" s="934">
        <f t="shared" si="64"/>
        <v>0</v>
      </c>
      <c r="I174" s="934">
        <f t="shared" si="67"/>
        <v>0</v>
      </c>
      <c r="J174" s="858"/>
      <c r="K174" s="858"/>
      <c r="N174"/>
      <c r="O174"/>
      <c r="P174"/>
      <c r="Q174"/>
      <c r="R174"/>
      <c r="S174"/>
      <c r="T174"/>
      <c r="U174"/>
      <c r="V174"/>
      <c r="W174"/>
      <c r="X174"/>
      <c r="Y174"/>
      <c r="Z174"/>
      <c r="AA174"/>
      <c r="AB174"/>
      <c r="AC174"/>
      <c r="AD174"/>
      <c r="AE174"/>
      <c r="AF174"/>
      <c r="AG174"/>
      <c r="AH174"/>
      <c r="AI174"/>
      <c r="AJ174"/>
      <c r="AK174"/>
      <c r="AL174"/>
      <c r="AM174"/>
      <c r="AN174"/>
      <c r="AO174"/>
    </row>
    <row r="175" spans="1:41" ht="15" hidden="1" customHeight="1">
      <c r="A175" t="str">
        <f t="shared" si="65"/>
        <v>*</v>
      </c>
      <c r="B175" s="16"/>
      <c r="C175" s="937" t="str">
        <f t="shared" si="68"/>
        <v/>
      </c>
      <c r="D175" s="934">
        <f t="shared" si="61"/>
        <v>0</v>
      </c>
      <c r="E175" s="934">
        <f t="shared" si="62"/>
        <v>0</v>
      </c>
      <c r="F175" s="934">
        <f t="shared" si="66"/>
        <v>0</v>
      </c>
      <c r="G175" s="934">
        <f t="shared" si="63"/>
        <v>0</v>
      </c>
      <c r="H175" s="934">
        <f t="shared" si="64"/>
        <v>0</v>
      </c>
      <c r="I175" s="934">
        <f t="shared" si="67"/>
        <v>0</v>
      </c>
      <c r="J175" s="858"/>
      <c r="K175" s="858"/>
      <c r="N175"/>
      <c r="O175"/>
      <c r="P175"/>
      <c r="Q175"/>
      <c r="R175"/>
      <c r="S175"/>
      <c r="T175"/>
      <c r="U175"/>
      <c r="V175"/>
      <c r="W175"/>
      <c r="X175"/>
      <c r="Y175"/>
      <c r="Z175"/>
      <c r="AA175"/>
      <c r="AB175"/>
      <c r="AC175"/>
      <c r="AD175"/>
      <c r="AE175"/>
      <c r="AF175"/>
      <c r="AG175"/>
      <c r="AH175"/>
      <c r="AI175"/>
      <c r="AJ175"/>
      <c r="AK175"/>
      <c r="AL175"/>
      <c r="AM175"/>
      <c r="AN175"/>
      <c r="AO175"/>
    </row>
    <row r="176" spans="1:41" ht="15" hidden="1" customHeight="1">
      <c r="A176" t="str">
        <f t="shared" si="65"/>
        <v>*</v>
      </c>
      <c r="B176" s="16"/>
      <c r="C176" s="937" t="str">
        <f t="shared" si="68"/>
        <v/>
      </c>
      <c r="D176" s="934">
        <f t="shared" si="61"/>
        <v>0</v>
      </c>
      <c r="E176" s="934">
        <f t="shared" si="62"/>
        <v>0</v>
      </c>
      <c r="F176" s="934">
        <f t="shared" si="66"/>
        <v>0</v>
      </c>
      <c r="G176" s="934">
        <f t="shared" si="63"/>
        <v>0</v>
      </c>
      <c r="H176" s="934">
        <f t="shared" si="64"/>
        <v>0</v>
      </c>
      <c r="I176" s="934">
        <f t="shared" si="67"/>
        <v>0</v>
      </c>
      <c r="J176" s="858"/>
      <c r="K176" s="858"/>
      <c r="N176"/>
      <c r="O176"/>
      <c r="P176"/>
      <c r="Q176"/>
      <c r="R176"/>
      <c r="S176"/>
      <c r="T176"/>
      <c r="U176"/>
      <c r="V176"/>
      <c r="W176"/>
      <c r="X176"/>
      <c r="Y176"/>
      <c r="Z176"/>
      <c r="AA176"/>
      <c r="AB176"/>
      <c r="AC176"/>
      <c r="AD176"/>
      <c r="AE176"/>
      <c r="AF176"/>
      <c r="AG176"/>
      <c r="AH176"/>
      <c r="AI176"/>
      <c r="AJ176"/>
      <c r="AK176"/>
      <c r="AL176"/>
      <c r="AM176"/>
      <c r="AN176"/>
      <c r="AO176"/>
    </row>
    <row r="177" spans="1:41" ht="15" hidden="1" customHeight="1">
      <c r="A177" t="str">
        <f t="shared" si="65"/>
        <v>*</v>
      </c>
      <c r="B177" s="16"/>
      <c r="C177" s="937" t="str">
        <f t="shared" si="68"/>
        <v/>
      </c>
      <c r="D177" s="934">
        <f t="shared" si="61"/>
        <v>0</v>
      </c>
      <c r="E177" s="934">
        <f t="shared" si="62"/>
        <v>0</v>
      </c>
      <c r="F177" s="934">
        <f t="shared" si="66"/>
        <v>0</v>
      </c>
      <c r="G177" s="934">
        <f t="shared" si="63"/>
        <v>0</v>
      </c>
      <c r="H177" s="934">
        <f t="shared" si="64"/>
        <v>0</v>
      </c>
      <c r="I177" s="934">
        <f t="shared" si="67"/>
        <v>0</v>
      </c>
      <c r="J177" s="858"/>
      <c r="K177" s="858"/>
      <c r="N177"/>
      <c r="O177"/>
      <c r="P177"/>
      <c r="Q177"/>
      <c r="R177"/>
      <c r="S177"/>
      <c r="T177"/>
      <c r="U177"/>
      <c r="V177"/>
      <c r="W177"/>
      <c r="X177"/>
      <c r="Y177"/>
      <c r="Z177"/>
      <c r="AA177"/>
      <c r="AB177"/>
      <c r="AC177"/>
      <c r="AD177"/>
      <c r="AE177"/>
      <c r="AF177"/>
      <c r="AG177"/>
      <c r="AH177"/>
      <c r="AI177"/>
      <c r="AJ177"/>
      <c r="AK177"/>
      <c r="AL177"/>
      <c r="AM177"/>
      <c r="AN177"/>
      <c r="AO177"/>
    </row>
    <row r="178" spans="1:41" ht="15" hidden="1" customHeight="1">
      <c r="A178" t="str">
        <f t="shared" si="65"/>
        <v>*</v>
      </c>
      <c r="B178" s="16"/>
      <c r="C178" s="937" t="str">
        <f t="shared" si="68"/>
        <v/>
      </c>
      <c r="D178" s="934">
        <f t="shared" si="61"/>
        <v>0</v>
      </c>
      <c r="E178" s="934">
        <f t="shared" si="62"/>
        <v>0</v>
      </c>
      <c r="F178" s="934">
        <f t="shared" si="66"/>
        <v>0</v>
      </c>
      <c r="G178" s="934">
        <f t="shared" si="63"/>
        <v>0</v>
      </c>
      <c r="H178" s="934">
        <f t="shared" si="64"/>
        <v>0</v>
      </c>
      <c r="I178" s="934">
        <f t="shared" si="67"/>
        <v>0</v>
      </c>
      <c r="J178" s="858"/>
      <c r="K178" s="858"/>
      <c r="N178"/>
      <c r="O178"/>
      <c r="P178"/>
      <c r="Q178"/>
      <c r="R178"/>
      <c r="S178"/>
      <c r="T178"/>
      <c r="U178"/>
      <c r="V178"/>
      <c r="W178"/>
      <c r="X178"/>
      <c r="Y178"/>
      <c r="Z178"/>
      <c r="AA178"/>
      <c r="AB178"/>
      <c r="AC178"/>
      <c r="AD178"/>
      <c r="AE178"/>
      <c r="AF178"/>
      <c r="AG178"/>
      <c r="AH178"/>
      <c r="AI178"/>
      <c r="AJ178"/>
      <c r="AK178"/>
      <c r="AL178"/>
      <c r="AM178"/>
      <c r="AN178"/>
      <c r="AO178"/>
    </row>
    <row r="179" spans="1:41" ht="15" hidden="1" customHeight="1">
      <c r="A179" t="str">
        <f t="shared" si="65"/>
        <v>*</v>
      </c>
      <c r="B179" s="16"/>
      <c r="C179" s="937" t="str">
        <f t="shared" si="68"/>
        <v/>
      </c>
      <c r="D179" s="934">
        <f t="shared" si="61"/>
        <v>0</v>
      </c>
      <c r="E179" s="934">
        <f t="shared" si="62"/>
        <v>0</v>
      </c>
      <c r="F179" s="934">
        <f t="shared" si="66"/>
        <v>0</v>
      </c>
      <c r="G179" s="934">
        <f t="shared" si="63"/>
        <v>0</v>
      </c>
      <c r="H179" s="934">
        <f t="shared" si="64"/>
        <v>0</v>
      </c>
      <c r="I179" s="934">
        <f t="shared" si="67"/>
        <v>0</v>
      </c>
      <c r="J179" s="858"/>
      <c r="K179" s="858"/>
      <c r="N179"/>
      <c r="O179"/>
      <c r="P179"/>
      <c r="Q179"/>
      <c r="R179"/>
      <c r="S179"/>
      <c r="T179"/>
      <c r="U179"/>
      <c r="V179"/>
      <c r="W179"/>
      <c r="X179"/>
      <c r="Y179"/>
      <c r="Z179"/>
      <c r="AA179"/>
      <c r="AB179"/>
      <c r="AC179"/>
      <c r="AD179"/>
      <c r="AE179"/>
      <c r="AF179"/>
      <c r="AG179"/>
      <c r="AH179"/>
      <c r="AI179"/>
      <c r="AJ179"/>
      <c r="AK179"/>
      <c r="AL179"/>
      <c r="AM179"/>
      <c r="AN179"/>
      <c r="AO179"/>
    </row>
    <row r="180" spans="1:41" ht="15" hidden="1" customHeight="1">
      <c r="A180" t="str">
        <f t="shared" si="65"/>
        <v>*</v>
      </c>
      <c r="B180" s="16"/>
      <c r="C180" s="937" t="str">
        <f t="shared" si="68"/>
        <v/>
      </c>
      <c r="D180" s="934">
        <f t="shared" si="61"/>
        <v>0</v>
      </c>
      <c r="E180" s="934">
        <f t="shared" si="62"/>
        <v>0</v>
      </c>
      <c r="F180" s="934">
        <f t="shared" si="66"/>
        <v>0</v>
      </c>
      <c r="G180" s="934">
        <f t="shared" si="63"/>
        <v>0</v>
      </c>
      <c r="H180" s="934">
        <f t="shared" si="64"/>
        <v>0</v>
      </c>
      <c r="I180" s="934">
        <f t="shared" si="67"/>
        <v>0</v>
      </c>
      <c r="J180" s="858"/>
      <c r="K180" s="858"/>
      <c r="N180"/>
      <c r="O180"/>
      <c r="P180"/>
      <c r="Q180"/>
      <c r="R180"/>
      <c r="S180"/>
      <c r="T180"/>
      <c r="U180"/>
      <c r="V180"/>
      <c r="W180"/>
      <c r="X180"/>
      <c r="Y180"/>
      <c r="Z180"/>
      <c r="AA180"/>
      <c r="AB180"/>
      <c r="AC180"/>
      <c r="AD180"/>
      <c r="AE180"/>
      <c r="AF180"/>
      <c r="AG180"/>
      <c r="AH180"/>
      <c r="AI180"/>
      <c r="AJ180"/>
      <c r="AK180"/>
      <c r="AL180"/>
      <c r="AM180"/>
      <c r="AN180"/>
      <c r="AO180"/>
    </row>
    <row r="181" spans="1:41" ht="15" hidden="1" customHeight="1">
      <c r="A181" t="str">
        <f t="shared" si="65"/>
        <v>*</v>
      </c>
      <c r="B181" s="16"/>
      <c r="C181" s="937" t="str">
        <f t="shared" si="68"/>
        <v/>
      </c>
      <c r="D181" s="934">
        <f t="shared" si="61"/>
        <v>0</v>
      </c>
      <c r="E181" s="934">
        <f t="shared" si="62"/>
        <v>0</v>
      </c>
      <c r="F181" s="934">
        <f t="shared" si="66"/>
        <v>0</v>
      </c>
      <c r="G181" s="934">
        <f t="shared" si="63"/>
        <v>0</v>
      </c>
      <c r="H181" s="934">
        <f t="shared" si="64"/>
        <v>0</v>
      </c>
      <c r="I181" s="934">
        <f t="shared" si="67"/>
        <v>0</v>
      </c>
      <c r="J181" s="858"/>
      <c r="K181" s="858"/>
      <c r="N181"/>
      <c r="O181"/>
      <c r="P181"/>
      <c r="Q181"/>
      <c r="R181"/>
      <c r="S181"/>
      <c r="T181"/>
      <c r="U181"/>
      <c r="V181"/>
      <c r="W181"/>
      <c r="X181"/>
      <c r="Y181"/>
      <c r="Z181"/>
      <c r="AA181"/>
      <c r="AB181"/>
      <c r="AC181"/>
      <c r="AD181"/>
      <c r="AE181"/>
      <c r="AF181"/>
      <c r="AG181"/>
      <c r="AH181"/>
      <c r="AI181"/>
      <c r="AJ181"/>
      <c r="AK181"/>
      <c r="AL181"/>
      <c r="AM181"/>
      <c r="AN181"/>
      <c r="AO181"/>
    </row>
    <row r="182" spans="1:41" ht="15" hidden="1" customHeight="1">
      <c r="A182" t="str">
        <f t="shared" si="65"/>
        <v>*</v>
      </c>
      <c r="B182" s="16"/>
      <c r="C182" s="937" t="str">
        <f t="shared" si="68"/>
        <v/>
      </c>
      <c r="D182" s="934">
        <f t="shared" si="61"/>
        <v>0</v>
      </c>
      <c r="E182" s="934">
        <f t="shared" si="62"/>
        <v>0</v>
      </c>
      <c r="F182" s="934">
        <f t="shared" si="66"/>
        <v>0</v>
      </c>
      <c r="G182" s="934">
        <f t="shared" si="63"/>
        <v>0</v>
      </c>
      <c r="H182" s="934">
        <f t="shared" si="64"/>
        <v>0</v>
      </c>
      <c r="I182" s="934">
        <f t="shared" si="67"/>
        <v>0</v>
      </c>
      <c r="J182" s="858"/>
      <c r="K182" s="858"/>
      <c r="N182"/>
      <c r="O182"/>
      <c r="P182"/>
      <c r="Q182"/>
      <c r="R182"/>
      <c r="S182"/>
      <c r="T182"/>
      <c r="U182"/>
      <c r="V182"/>
      <c r="W182"/>
      <c r="X182"/>
      <c r="Y182"/>
      <c r="Z182"/>
      <c r="AA182"/>
      <c r="AB182"/>
      <c r="AC182"/>
      <c r="AD182"/>
      <c r="AE182"/>
      <c r="AF182"/>
      <c r="AG182"/>
      <c r="AH182"/>
      <c r="AI182"/>
      <c r="AJ182"/>
      <c r="AK182"/>
      <c r="AL182"/>
      <c r="AM182"/>
      <c r="AN182"/>
      <c r="AO182"/>
    </row>
    <row r="183" spans="1:41" ht="15" hidden="1" customHeight="1">
      <c r="A183" t="str">
        <f t="shared" si="65"/>
        <v>*</v>
      </c>
      <c r="B183" s="16"/>
      <c r="C183" s="937" t="str">
        <f t="shared" si="68"/>
        <v/>
      </c>
      <c r="D183" s="934">
        <f t="shared" si="61"/>
        <v>0</v>
      </c>
      <c r="E183" s="934">
        <f t="shared" si="62"/>
        <v>0</v>
      </c>
      <c r="F183" s="934">
        <f t="shared" si="66"/>
        <v>0</v>
      </c>
      <c r="G183" s="934">
        <f t="shared" si="63"/>
        <v>0</v>
      </c>
      <c r="H183" s="934">
        <f t="shared" si="64"/>
        <v>0</v>
      </c>
      <c r="I183" s="934">
        <f t="shared" si="67"/>
        <v>0</v>
      </c>
      <c r="J183" s="858"/>
      <c r="K183" s="858"/>
      <c r="N183"/>
      <c r="O183"/>
      <c r="P183"/>
      <c r="Q183"/>
      <c r="R183"/>
      <c r="S183"/>
      <c r="T183"/>
      <c r="U183"/>
      <c r="V183"/>
      <c r="W183"/>
      <c r="X183"/>
      <c r="Y183"/>
      <c r="Z183"/>
      <c r="AA183"/>
      <c r="AB183"/>
      <c r="AC183"/>
      <c r="AD183"/>
      <c r="AE183"/>
      <c r="AF183"/>
      <c r="AG183"/>
      <c r="AH183"/>
      <c r="AI183"/>
      <c r="AJ183"/>
      <c r="AK183"/>
      <c r="AL183"/>
      <c r="AM183"/>
      <c r="AN183"/>
      <c r="AO183"/>
    </row>
    <row r="184" spans="1:41" ht="15" hidden="1" customHeight="1">
      <c r="A184" t="str">
        <f t="shared" si="65"/>
        <v>*</v>
      </c>
      <c r="B184" s="16"/>
      <c r="C184" s="937" t="str">
        <f t="shared" si="68"/>
        <v/>
      </c>
      <c r="D184" s="935">
        <f t="shared" si="61"/>
        <v>0</v>
      </c>
      <c r="E184" s="935">
        <f t="shared" si="62"/>
        <v>0</v>
      </c>
      <c r="F184" s="935">
        <f t="shared" si="66"/>
        <v>0</v>
      </c>
      <c r="G184" s="935">
        <f t="shared" si="63"/>
        <v>0</v>
      </c>
      <c r="H184" s="935">
        <f t="shared" si="64"/>
        <v>0</v>
      </c>
      <c r="I184" s="935">
        <f t="shared" si="67"/>
        <v>0</v>
      </c>
      <c r="J184" s="858"/>
      <c r="K184" s="858"/>
      <c r="N184"/>
      <c r="O184"/>
      <c r="P184"/>
      <c r="Q184"/>
      <c r="R184"/>
      <c r="S184"/>
      <c r="T184"/>
      <c r="U184"/>
      <c r="V184"/>
      <c r="W184"/>
      <c r="X184"/>
      <c r="Y184"/>
      <c r="Z184"/>
      <c r="AA184"/>
      <c r="AB184"/>
      <c r="AC184"/>
      <c r="AD184"/>
      <c r="AE184"/>
      <c r="AF184"/>
      <c r="AG184"/>
      <c r="AH184"/>
      <c r="AI184"/>
      <c r="AJ184"/>
      <c r="AK184"/>
      <c r="AL184"/>
      <c r="AM184"/>
      <c r="AN184"/>
      <c r="AO184"/>
    </row>
    <row r="185" spans="1:41" ht="15" customHeight="1">
      <c r="A185" t="s">
        <v>477</v>
      </c>
      <c r="B185" s="16"/>
      <c r="C185" s="859" t="s">
        <v>885</v>
      </c>
      <c r="D185" s="1386" t="e">
        <f t="shared" ref="D185:I185" si="69">SUM(D165:D184)</f>
        <v>#DIV/0!</v>
      </c>
      <c r="E185" s="1386" t="e">
        <f t="shared" si="69"/>
        <v>#DIV/0!</v>
      </c>
      <c r="F185" s="1386" t="e">
        <f t="shared" si="69"/>
        <v>#DIV/0!</v>
      </c>
      <c r="G185" s="1387" t="e">
        <f t="shared" si="69"/>
        <v>#DIV/0!</v>
      </c>
      <c r="H185" s="1386" t="e">
        <f t="shared" si="69"/>
        <v>#DIV/0!</v>
      </c>
      <c r="I185" s="1386" t="e">
        <f t="shared" si="69"/>
        <v>#DIV/0!</v>
      </c>
      <c r="J185" s="858"/>
      <c r="K185" s="858"/>
      <c r="N185"/>
      <c r="O185"/>
      <c r="P185"/>
      <c r="Q185"/>
      <c r="R185"/>
      <c r="S185"/>
      <c r="T185"/>
      <c r="U185"/>
      <c r="V185"/>
      <c r="W185"/>
      <c r="X185"/>
      <c r="Y185"/>
      <c r="Z185"/>
      <c r="AA185"/>
      <c r="AB185"/>
      <c r="AC185"/>
      <c r="AD185"/>
      <c r="AE185"/>
      <c r="AF185"/>
      <c r="AG185"/>
      <c r="AH185"/>
      <c r="AI185"/>
      <c r="AJ185"/>
      <c r="AK185"/>
      <c r="AL185"/>
      <c r="AM185"/>
      <c r="AN185"/>
      <c r="AO185"/>
    </row>
    <row r="186" spans="1:41" s="25" customFormat="1" ht="7.5" customHeight="1">
      <c r="B186" s="27"/>
      <c r="C186" s="39"/>
      <c r="D186" s="870"/>
      <c r="E186" s="870"/>
      <c r="I186" s="39"/>
      <c r="J186" s="870"/>
      <c r="K186" s="870"/>
    </row>
    <row r="187" spans="1:41" s="25" customFormat="1" ht="15" customHeight="1">
      <c r="B187" s="27"/>
      <c r="I187" s="880"/>
      <c r="J187" s="870"/>
      <c r="K187" s="870"/>
    </row>
    <row r="188" spans="1:41" s="25" customFormat="1" ht="15" customHeight="1">
      <c r="B188" s="27"/>
      <c r="C188" s="880" t="s">
        <v>325</v>
      </c>
      <c r="D188" s="870"/>
      <c r="E188" s="870"/>
      <c r="I188" s="880" t="s">
        <v>557</v>
      </c>
      <c r="J188" s="870"/>
      <c r="K188" s="870"/>
    </row>
    <row r="189" spans="1:41" s="25" customFormat="1" ht="15" customHeight="1">
      <c r="B189" s="27"/>
      <c r="C189" s="69" t="s">
        <v>1295</v>
      </c>
      <c r="D189" s="870"/>
      <c r="E189" s="870"/>
      <c r="F189" s="871" t="s">
        <v>1176</v>
      </c>
      <c r="I189" s="69" t="s">
        <v>1295</v>
      </c>
      <c r="J189" s="870"/>
      <c r="K189" s="870"/>
      <c r="L189" s="871" t="s">
        <v>1176</v>
      </c>
    </row>
    <row r="190" spans="1:41" ht="15" customHeight="1">
      <c r="B190" s="16"/>
      <c r="C190" t="s">
        <v>555</v>
      </c>
      <c r="D190" s="884" t="e">
        <f>(D185+D158)*$J$192</f>
        <v>#DIV/0!</v>
      </c>
      <c r="F190" t="s">
        <v>555</v>
      </c>
      <c r="G190" s="884" t="e">
        <f>(G185+G158)*$J$192</f>
        <v>#DIV/0!</v>
      </c>
      <c r="I190" s="44" t="s">
        <v>574</v>
      </c>
      <c r="J190" s="1192" t="e">
        <f>$J$192*IF(ABS(D158)&gt;ABS(D185),D158,D185)</f>
        <v>#DIV/0!</v>
      </c>
      <c r="L190" s="44" t="s">
        <v>574</v>
      </c>
      <c r="M190" s="1192" t="e">
        <f>$J$192*IF(ABS(G158)&gt;ABS(G185),G158,G185)</f>
        <v>#DIV/0!</v>
      </c>
      <c r="N190"/>
      <c r="O190"/>
      <c r="P190"/>
      <c r="Q190"/>
      <c r="R190"/>
      <c r="S190"/>
      <c r="T190"/>
      <c r="U190"/>
      <c r="V190"/>
      <c r="W190"/>
      <c r="X190"/>
      <c r="Y190"/>
      <c r="Z190"/>
      <c r="AA190"/>
      <c r="AB190"/>
      <c r="AC190"/>
      <c r="AD190"/>
      <c r="AE190"/>
      <c r="AF190"/>
      <c r="AG190"/>
      <c r="AH190"/>
      <c r="AI190"/>
      <c r="AJ190"/>
      <c r="AK190"/>
      <c r="AL190"/>
      <c r="AM190"/>
      <c r="AN190"/>
      <c r="AO190"/>
    </row>
    <row r="191" spans="1:41" ht="15" customHeight="1">
      <c r="B191" s="16"/>
      <c r="C191" t="s">
        <v>556</v>
      </c>
      <c r="D191" s="884" t="e">
        <f>(E158+E185)*$J$193</f>
        <v>#DIV/0!</v>
      </c>
      <c r="F191" t="s">
        <v>556</v>
      </c>
      <c r="G191" s="884" t="e">
        <f>(H158+H185)*$J$193</f>
        <v>#DIV/0!</v>
      </c>
      <c r="I191" s="881" t="e">
        <f>IF(ABS(D158)=ABS(D185),"",IF(ABS(D158)&gt;ABS(D185),"Backward Span Controls","Forward Span Controls"))</f>
        <v>#DIV/0!</v>
      </c>
      <c r="J191" s="864"/>
      <c r="L191" s="881" t="e">
        <f>IF(ABS(G158)=ABS(G185),"",IF(ABS(G158)&gt;ABS(G185),"Backward Span Controls","Forward Span Controls"))</f>
        <v>#DIV/0!</v>
      </c>
      <c r="M191" s="864"/>
      <c r="N191"/>
      <c r="O191"/>
      <c r="P191"/>
      <c r="Q191"/>
      <c r="R191"/>
      <c r="S191"/>
      <c r="T191"/>
      <c r="U191"/>
      <c r="V191"/>
      <c r="W191"/>
      <c r="X191"/>
      <c r="Y191"/>
      <c r="Z191"/>
      <c r="AA191"/>
      <c r="AB191"/>
      <c r="AC191"/>
      <c r="AD191"/>
      <c r="AE191"/>
      <c r="AF191"/>
      <c r="AG191"/>
      <c r="AH191"/>
      <c r="AI191"/>
      <c r="AJ191"/>
      <c r="AK191"/>
      <c r="AL191"/>
      <c r="AM191"/>
      <c r="AN191"/>
      <c r="AO191"/>
    </row>
    <row r="192" spans="1:41" ht="15" customHeight="1">
      <c r="B192" s="16"/>
      <c r="C192" s="44" t="s">
        <v>417</v>
      </c>
      <c r="D192" s="907" t="e">
        <f>D190+D191</f>
        <v>#DIV/0!</v>
      </c>
      <c r="F192" s="44" t="s">
        <v>417</v>
      </c>
      <c r="G192" s="907" t="e">
        <f>G190+G191</f>
        <v>#DIV/0!</v>
      </c>
      <c r="I192" s="860" t="s">
        <v>413</v>
      </c>
      <c r="J192" s="947">
        <v>1.25</v>
      </c>
      <c r="N192"/>
      <c r="O192"/>
      <c r="P192"/>
      <c r="Q192"/>
      <c r="R192"/>
      <c r="S192"/>
      <c r="T192"/>
      <c r="U192"/>
      <c r="V192"/>
      <c r="W192"/>
      <c r="X192"/>
      <c r="Y192"/>
      <c r="Z192"/>
      <c r="AA192"/>
      <c r="AB192"/>
      <c r="AC192"/>
      <c r="AD192"/>
      <c r="AE192"/>
      <c r="AF192"/>
      <c r="AG192"/>
      <c r="AH192"/>
      <c r="AI192"/>
      <c r="AJ192"/>
      <c r="AK192"/>
      <c r="AL192"/>
      <c r="AM192"/>
      <c r="AN192"/>
      <c r="AO192"/>
    </row>
    <row r="193" spans="1:41" ht="15" customHeight="1">
      <c r="B193" s="16"/>
      <c r="I193" s="860" t="s">
        <v>414</v>
      </c>
      <c r="J193" s="947">
        <v>1.5</v>
      </c>
      <c r="N193"/>
      <c r="O193"/>
      <c r="P193"/>
      <c r="Q193"/>
      <c r="R193"/>
      <c r="S193"/>
      <c r="T193"/>
      <c r="U193"/>
      <c r="V193"/>
      <c r="W193"/>
      <c r="X193"/>
      <c r="Y193"/>
      <c r="Z193"/>
      <c r="AA193"/>
      <c r="AB193"/>
      <c r="AC193"/>
      <c r="AD193"/>
      <c r="AE193"/>
      <c r="AF193"/>
      <c r="AG193"/>
      <c r="AH193"/>
      <c r="AI193"/>
      <c r="AJ193"/>
      <c r="AK193"/>
      <c r="AL193"/>
      <c r="AM193"/>
      <c r="AN193"/>
      <c r="AO193"/>
    </row>
    <row r="194" spans="1:41" ht="15" customHeight="1">
      <c r="B194" s="16"/>
      <c r="N194"/>
      <c r="O194"/>
      <c r="P194"/>
      <c r="Q194"/>
      <c r="R194"/>
      <c r="S194"/>
      <c r="T194"/>
      <c r="U194"/>
      <c r="V194"/>
      <c r="W194"/>
      <c r="X194"/>
      <c r="Y194"/>
      <c r="Z194"/>
      <c r="AA194"/>
      <c r="AB194"/>
      <c r="AC194"/>
      <c r="AD194"/>
      <c r="AE194"/>
      <c r="AF194"/>
      <c r="AG194"/>
      <c r="AH194"/>
      <c r="AI194"/>
      <c r="AJ194"/>
      <c r="AK194"/>
      <c r="AL194"/>
      <c r="AM194"/>
      <c r="AN194"/>
      <c r="AO194"/>
    </row>
    <row r="195" spans="1:41" ht="15" customHeight="1" thickBot="1">
      <c r="B195" s="16"/>
      <c r="C195" s="1644" t="s">
        <v>445</v>
      </c>
      <c r="D195" s="1644"/>
      <c r="E195" s="1644"/>
      <c r="F195" s="1644"/>
      <c r="G195" s="1644"/>
      <c r="H195" s="1644"/>
      <c r="I195" s="1644"/>
      <c r="J195" s="1644"/>
      <c r="K195" s="1644"/>
      <c r="L195" s="1644"/>
      <c r="M195" s="1644"/>
      <c r="N195"/>
      <c r="O195"/>
      <c r="P195"/>
      <c r="Q195"/>
      <c r="R195"/>
      <c r="S195"/>
      <c r="T195"/>
      <c r="U195"/>
      <c r="V195"/>
      <c r="W195"/>
      <c r="X195"/>
      <c r="Y195"/>
      <c r="Z195"/>
      <c r="AA195"/>
      <c r="AB195"/>
      <c r="AC195"/>
      <c r="AD195"/>
      <c r="AE195"/>
      <c r="AF195"/>
      <c r="AG195"/>
      <c r="AH195"/>
      <c r="AI195"/>
      <c r="AJ195"/>
      <c r="AK195"/>
      <c r="AL195"/>
      <c r="AM195"/>
      <c r="AN195"/>
      <c r="AO195"/>
    </row>
    <row r="196" spans="1:41" ht="6" customHeight="1">
      <c r="B196" s="16"/>
      <c r="N196"/>
      <c r="O196"/>
      <c r="P196"/>
      <c r="Q196"/>
      <c r="R196"/>
      <c r="S196"/>
      <c r="T196"/>
      <c r="U196"/>
      <c r="V196"/>
      <c r="W196"/>
      <c r="X196"/>
      <c r="Y196"/>
      <c r="Z196"/>
      <c r="AA196"/>
      <c r="AB196"/>
      <c r="AC196"/>
      <c r="AD196"/>
      <c r="AE196"/>
      <c r="AF196"/>
      <c r="AG196"/>
      <c r="AH196"/>
      <c r="AI196"/>
      <c r="AJ196"/>
      <c r="AK196"/>
      <c r="AL196"/>
      <c r="AM196"/>
      <c r="AN196"/>
      <c r="AO196"/>
    </row>
    <row r="197" spans="1:41" s="290" customFormat="1" ht="15" customHeight="1">
      <c r="B197" s="100"/>
      <c r="C197" s="928"/>
      <c r="D197" s="929"/>
      <c r="E197" s="930"/>
      <c r="F197" s="1668" t="s">
        <v>979</v>
      </c>
      <c r="G197" s="1668"/>
      <c r="H197" s="1668" t="s">
        <v>980</v>
      </c>
      <c r="I197" s="1668"/>
      <c r="J197" s="1667" t="s">
        <v>559</v>
      </c>
      <c r="K197" s="1667"/>
      <c r="L197" s="1667"/>
      <c r="M197" s="1667"/>
      <c r="N197" s="911"/>
    </row>
    <row r="198" spans="1:41" s="290" customFormat="1" ht="15" customHeight="1">
      <c r="A198" t="str">
        <f>IF(E198="","*","")</f>
        <v/>
      </c>
      <c r="B198" s="898">
        <v>1</v>
      </c>
      <c r="C198" s="757"/>
      <c r="D198" s="42"/>
      <c r="E198" s="877" t="s">
        <v>886</v>
      </c>
      <c r="F198" s="1669">
        <f>-CapEndToSlabEdge+(RailWidth+5)/COS(RADIANS(BentSkew))-ColSpa1</f>
        <v>-19</v>
      </c>
      <c r="G198" s="1669"/>
      <c r="H198" s="1669">
        <f>caplength-(-CapEndToSlabEdge+DeckWidth/COS(RADIANS(BentSkew))+(Geometry!G117))+(RailWidthRt+5+12*(NumLanes-B198))/COS(RADIANS(BentSkew))</f>
        <v>17</v>
      </c>
      <c r="I198" s="1669"/>
      <c r="J198" s="1667"/>
      <c r="K198" s="1667"/>
      <c r="L198" s="1667"/>
      <c r="M198" s="1667"/>
      <c r="N198" s="911"/>
    </row>
    <row r="199" spans="1:41" s="290" customFormat="1" ht="15" customHeight="1">
      <c r="A199" t="str">
        <f>IF(E199="","*","")</f>
        <v/>
      </c>
      <c r="B199" s="898">
        <f>B198+1</f>
        <v>2</v>
      </c>
      <c r="C199" s="757"/>
      <c r="D199" s="42"/>
      <c r="E199" s="877" t="str">
        <f>IF(NumLanes&lt;B199,"","CL Column to CL Lane "&amp;B199)</f>
        <v>CL Column to CL Lane 2</v>
      </c>
      <c r="F199" s="1666">
        <f>IF(E199="","",F198+12/COS(RADIANS(BentSkew)))</f>
        <v>-7</v>
      </c>
      <c r="G199" s="1666"/>
      <c r="H199" s="1666">
        <f>IF(E199="","",H198-12/COS(RADIANS(BentSkew)))</f>
        <v>5</v>
      </c>
      <c r="I199" s="1666"/>
      <c r="L199"/>
      <c r="M199"/>
    </row>
    <row r="200" spans="1:41" s="290" customFormat="1" ht="15" customHeight="1">
      <c r="A200" t="str">
        <f>IF(E200="","*","")</f>
        <v/>
      </c>
      <c r="B200" s="898">
        <f>B199+1</f>
        <v>3</v>
      </c>
      <c r="C200" s="757"/>
      <c r="D200" s="42"/>
      <c r="E200" s="734" t="str">
        <f>IF(NumLanes&lt;B200,"","CL Column to CL Lane "&amp;B200)</f>
        <v>CL Column to CL Lane 3</v>
      </c>
      <c r="F200" s="1666">
        <f>IF(E200="","",F199+12/COS(RADIANS(BentSkew)))</f>
        <v>5</v>
      </c>
      <c r="G200" s="1666"/>
      <c r="H200" s="1666">
        <f>IF(E200="","",H199-12/COS(RADIANS(BentSkew)))</f>
        <v>-7</v>
      </c>
      <c r="I200" s="1666"/>
      <c r="L200"/>
      <c r="M200"/>
    </row>
    <row r="201" spans="1:41" s="290" customFormat="1" ht="15" customHeight="1">
      <c r="A201" t="str">
        <f>IF(E201="","*","")</f>
        <v/>
      </c>
      <c r="B201" s="898">
        <v>4</v>
      </c>
      <c r="C201" s="758"/>
      <c r="D201" s="698"/>
      <c r="E201" s="781" t="str">
        <f>IF(NumLanes&lt;B201,"","CL Column to CL Lane "&amp;B201)</f>
        <v>CL Column to CL Lane 4</v>
      </c>
      <c r="F201" s="1666">
        <f>IF(E201="","",F200+12/COS(RADIANS(BentSkew)))</f>
        <v>17</v>
      </c>
      <c r="G201" s="1666"/>
      <c r="H201" s="1666">
        <f>IF(E201="","",H200-12/COS(RADIANS(BentSkew)))</f>
        <v>-19</v>
      </c>
      <c r="I201" s="1666"/>
    </row>
    <row r="202" spans="1:41" s="290" customFormat="1" ht="6" customHeight="1">
      <c r="A202"/>
      <c r="B202" s="100"/>
      <c r="C202" s="968"/>
      <c r="D202" s="968"/>
      <c r="E202" s="968"/>
      <c r="F202" s="968"/>
      <c r="G202" s="968"/>
      <c r="H202" s="968"/>
      <c r="I202" s="968"/>
    </row>
    <row r="203" spans="1:41" ht="15" customHeight="1" thickBot="1">
      <c r="A203" t="s">
        <v>477</v>
      </c>
      <c r="B203" s="16"/>
      <c r="C203" s="1644" t="s">
        <v>887</v>
      </c>
      <c r="D203" s="1644"/>
      <c r="E203" s="1644"/>
      <c r="F203" s="1644"/>
      <c r="G203" s="1644"/>
      <c r="H203" s="1644"/>
      <c r="I203" s="1644"/>
      <c r="J203" s="1644"/>
      <c r="K203" s="1644"/>
      <c r="L203" s="1644"/>
      <c r="M203" s="1644"/>
      <c r="N203"/>
      <c r="O203"/>
      <c r="P203"/>
      <c r="Q203"/>
      <c r="R203"/>
      <c r="S203"/>
      <c r="T203"/>
      <c r="U203"/>
      <c r="V203"/>
      <c r="W203"/>
      <c r="X203"/>
      <c r="Y203"/>
      <c r="Z203"/>
      <c r="AA203"/>
      <c r="AB203"/>
      <c r="AC203"/>
      <c r="AD203"/>
      <c r="AE203"/>
      <c r="AF203"/>
      <c r="AG203"/>
      <c r="AH203"/>
      <c r="AI203"/>
      <c r="AJ203"/>
      <c r="AK203"/>
      <c r="AL203"/>
      <c r="AM203"/>
      <c r="AN203"/>
      <c r="AO203"/>
    </row>
    <row r="204" spans="1:41" ht="6" customHeight="1">
      <c r="B204" s="16"/>
      <c r="N204"/>
      <c r="O204"/>
      <c r="P204"/>
      <c r="Q204"/>
      <c r="R204"/>
      <c r="S204"/>
      <c r="T204"/>
      <c r="U204"/>
      <c r="V204"/>
      <c r="W204"/>
      <c r="X204"/>
      <c r="Y204"/>
      <c r="Z204"/>
      <c r="AA204"/>
      <c r="AB204"/>
      <c r="AC204"/>
      <c r="AD204"/>
      <c r="AE204"/>
      <c r="AF204"/>
      <c r="AG204"/>
      <c r="AH204"/>
      <c r="AI204"/>
      <c r="AJ204"/>
      <c r="AK204"/>
      <c r="AL204"/>
      <c r="AM204"/>
      <c r="AN204"/>
      <c r="AO204"/>
    </row>
    <row r="205" spans="1:41" ht="12.75" customHeight="1">
      <c r="B205" s="16"/>
      <c r="C205" t="s">
        <v>422</v>
      </c>
      <c r="N205"/>
      <c r="O205"/>
      <c r="P205"/>
      <c r="Q205"/>
      <c r="R205"/>
      <c r="S205"/>
      <c r="T205"/>
      <c r="U205"/>
      <c r="V205"/>
      <c r="W205"/>
      <c r="X205"/>
      <c r="Y205"/>
      <c r="Z205"/>
      <c r="AA205"/>
      <c r="AB205"/>
      <c r="AC205"/>
      <c r="AD205"/>
      <c r="AE205"/>
      <c r="AF205"/>
      <c r="AG205"/>
      <c r="AH205"/>
      <c r="AI205"/>
      <c r="AJ205"/>
      <c r="AK205"/>
      <c r="AL205"/>
      <c r="AM205"/>
      <c r="AN205"/>
      <c r="AO205"/>
    </row>
    <row r="206" spans="1:41" ht="12.75" customHeight="1">
      <c r="B206" s="16"/>
      <c r="D206" s="44" t="s">
        <v>418</v>
      </c>
      <c r="H206" t="s">
        <v>420</v>
      </c>
      <c r="N206"/>
      <c r="O206"/>
      <c r="P206"/>
      <c r="Q206"/>
      <c r="R206"/>
      <c r="S206"/>
      <c r="T206"/>
      <c r="U206"/>
      <c r="V206"/>
      <c r="W206"/>
      <c r="X206"/>
      <c r="Y206"/>
      <c r="Z206"/>
      <c r="AA206"/>
      <c r="AB206"/>
      <c r="AC206"/>
      <c r="AD206"/>
      <c r="AE206"/>
      <c r="AF206"/>
      <c r="AG206"/>
      <c r="AH206"/>
      <c r="AI206"/>
      <c r="AJ206"/>
      <c r="AK206"/>
      <c r="AL206"/>
      <c r="AM206"/>
      <c r="AN206"/>
      <c r="AO206"/>
    </row>
    <row r="207" spans="1:41" ht="12.75" customHeight="1">
      <c r="B207" s="16"/>
      <c r="D207" s="44" t="s">
        <v>419</v>
      </c>
      <c r="H207" t="s">
        <v>421</v>
      </c>
      <c r="N207"/>
      <c r="O207"/>
      <c r="P207"/>
      <c r="Q207"/>
      <c r="R207"/>
      <c r="S207"/>
      <c r="T207"/>
      <c r="U207"/>
      <c r="V207"/>
      <c r="W207"/>
      <c r="X207"/>
      <c r="Y207"/>
      <c r="Z207"/>
      <c r="AA207"/>
      <c r="AB207"/>
      <c r="AC207"/>
      <c r="AD207"/>
      <c r="AE207"/>
      <c r="AF207"/>
      <c r="AG207"/>
      <c r="AH207"/>
      <c r="AI207"/>
      <c r="AJ207"/>
      <c r="AK207"/>
      <c r="AL207"/>
      <c r="AM207"/>
      <c r="AN207"/>
      <c r="AO207"/>
    </row>
    <row r="208" spans="1:41" ht="7.5" customHeight="1">
      <c r="B208" s="16"/>
      <c r="D208" s="44"/>
      <c r="E208" s="18"/>
      <c r="F208" s="18"/>
      <c r="N208"/>
      <c r="O208"/>
      <c r="P208"/>
      <c r="Q208"/>
      <c r="R208"/>
      <c r="S208"/>
      <c r="T208"/>
      <c r="U208"/>
      <c r="V208"/>
      <c r="W208"/>
      <c r="X208"/>
      <c r="Y208"/>
      <c r="Z208"/>
      <c r="AA208"/>
      <c r="AB208"/>
      <c r="AC208"/>
      <c r="AD208"/>
      <c r="AE208"/>
      <c r="AF208"/>
      <c r="AG208"/>
      <c r="AH208"/>
      <c r="AI208"/>
      <c r="AJ208"/>
      <c r="AK208"/>
      <c r="AL208"/>
      <c r="AM208"/>
      <c r="AN208"/>
      <c r="AO208"/>
    </row>
    <row r="209" spans="1:41" ht="12" customHeight="1">
      <c r="B209" s="16"/>
      <c r="C209" s="18"/>
      <c r="D209" s="18"/>
      <c r="E209" s="1633" t="s">
        <v>453</v>
      </c>
      <c r="F209" s="1641"/>
      <c r="G209" s="1641" t="s">
        <v>454</v>
      </c>
      <c r="H209" s="1634"/>
      <c r="L209" s="858"/>
      <c r="M209" s="858"/>
      <c r="N209"/>
      <c r="O209"/>
      <c r="P209"/>
      <c r="Q209"/>
      <c r="R209"/>
      <c r="S209"/>
      <c r="T209"/>
      <c r="U209"/>
      <c r="V209"/>
      <c r="W209"/>
      <c r="X209"/>
      <c r="Y209"/>
      <c r="Z209"/>
      <c r="AA209"/>
      <c r="AB209"/>
      <c r="AC209"/>
      <c r="AD209"/>
      <c r="AE209"/>
      <c r="AF209"/>
      <c r="AG209"/>
      <c r="AH209"/>
      <c r="AI209"/>
      <c r="AJ209"/>
      <c r="AK209"/>
      <c r="AL209"/>
      <c r="AM209"/>
      <c r="AN209"/>
      <c r="AO209"/>
    </row>
    <row r="210" spans="1:41" ht="13.5" customHeight="1">
      <c r="B210" s="16"/>
      <c r="C210" s="32"/>
      <c r="D210" s="280"/>
      <c r="E210" s="242" t="s">
        <v>997</v>
      </c>
      <c r="F210" s="914" t="s">
        <v>1008</v>
      </c>
      <c r="G210" s="915" t="s">
        <v>997</v>
      </c>
      <c r="H210" s="913" t="s">
        <v>1008</v>
      </c>
      <c r="N210"/>
      <c r="O210"/>
      <c r="P210"/>
      <c r="Q210"/>
      <c r="R210"/>
      <c r="S210"/>
      <c r="T210"/>
      <c r="U210"/>
      <c r="V210"/>
      <c r="W210"/>
      <c r="X210"/>
      <c r="Y210"/>
      <c r="Z210"/>
      <c r="AA210"/>
      <c r="AB210"/>
      <c r="AC210"/>
      <c r="AD210"/>
      <c r="AE210"/>
      <c r="AF210"/>
      <c r="AG210"/>
      <c r="AH210"/>
      <c r="AI210"/>
      <c r="AJ210"/>
      <c r="AK210"/>
      <c r="AL210"/>
      <c r="AM210"/>
      <c r="AN210"/>
      <c r="AO210"/>
    </row>
    <row r="211" spans="1:41" ht="15" customHeight="1">
      <c r="B211" s="16"/>
      <c r="C211" s="923"/>
      <c r="D211" s="891" t="s">
        <v>1012</v>
      </c>
      <c r="E211" s="865">
        <f>'Live Load'!F15+IF(K212="Backward",LLTruckBoth,0)</f>
        <v>32</v>
      </c>
      <c r="F211" s="865">
        <f>IF(K212="Backward",LLTruckBoth,0)*'Live Load'!F11/100</f>
        <v>0</v>
      </c>
      <c r="G211" s="865">
        <f>IF(K212="Backward",'Live Load'!F15+LLTruckBk,0)</f>
        <v>0</v>
      </c>
      <c r="H211" s="865">
        <f>IF(K212="Backward",LLTruckBk,0)*'Live Load'!F11/100</f>
        <v>0</v>
      </c>
      <c r="N211"/>
      <c r="O211"/>
      <c r="P211"/>
      <c r="Q211"/>
      <c r="R211"/>
      <c r="S211"/>
      <c r="T211"/>
      <c r="U211"/>
      <c r="V211"/>
      <c r="W211"/>
      <c r="X211"/>
      <c r="Y211"/>
      <c r="Z211"/>
      <c r="AA211"/>
      <c r="AB211"/>
      <c r="AC211"/>
      <c r="AD211"/>
      <c r="AE211"/>
      <c r="AF211"/>
      <c r="AG211"/>
      <c r="AH211"/>
      <c r="AI211"/>
      <c r="AJ211"/>
      <c r="AK211"/>
      <c r="AL211"/>
      <c r="AM211"/>
      <c r="AN211"/>
      <c r="AO211"/>
    </row>
    <row r="212" spans="1:41" ht="15" customHeight="1">
      <c r="B212" s="16"/>
      <c r="C212" s="926"/>
      <c r="D212" s="893" t="s">
        <v>1009</v>
      </c>
      <c r="E212" s="920">
        <f>'Live Load'!F17+IF(K212="Backward",0,LLTruckBoth)</f>
        <v>105.54666666666665</v>
      </c>
      <c r="F212" s="920">
        <f>IF(K212="Backward",0,LLTruckBoth)*'Live Load'!F11/100</f>
        <v>22.158399999999997</v>
      </c>
      <c r="G212" s="920">
        <f>IF(K212="Backward",0,'Live Load'!F17+LLTruckFd)</f>
        <v>104.80000000000001</v>
      </c>
      <c r="H212" s="920">
        <f>IF(K212="Backward",0,LLTruckFd)*'Live Load'!F11/100</f>
        <v>21.912000000000003</v>
      </c>
      <c r="J212" s="890" t="s">
        <v>315</v>
      </c>
      <c r="K212" s="889" t="str">
        <f>IF(BkSpanLong&gt;FdSpanLong,"Backward",IF(BkSpanLong&lt;FdSpanLong,"Forward","Spans are Equal - Use Forward Span"))</f>
        <v>Forward</v>
      </c>
      <c r="N212"/>
      <c r="O212"/>
      <c r="P212"/>
      <c r="Q212"/>
      <c r="R212"/>
      <c r="S212"/>
      <c r="T212"/>
      <c r="U212"/>
      <c r="V212"/>
      <c r="W212"/>
      <c r="X212"/>
      <c r="Y212"/>
      <c r="Z212"/>
      <c r="AA212"/>
      <c r="AB212"/>
      <c r="AC212"/>
      <c r="AD212"/>
      <c r="AE212"/>
      <c r="AF212"/>
      <c r="AG212"/>
      <c r="AH212"/>
      <c r="AI212"/>
      <c r="AJ212"/>
      <c r="AK212"/>
      <c r="AL212"/>
      <c r="AM212"/>
      <c r="AN212"/>
      <c r="AO212"/>
    </row>
    <row r="213" spans="1:41" ht="6.75" customHeight="1">
      <c r="B213" s="16"/>
      <c r="C213" s="854"/>
      <c r="D213" s="854"/>
      <c r="E213" s="931"/>
      <c r="F213" s="967"/>
      <c r="G213" s="854"/>
      <c r="H213" s="967"/>
      <c r="L213" s="858"/>
      <c r="M213" s="858"/>
      <c r="N213"/>
      <c r="O213"/>
      <c r="P213"/>
      <c r="Q213"/>
      <c r="R213"/>
      <c r="S213"/>
      <c r="T213"/>
      <c r="U213"/>
      <c r="V213"/>
      <c r="W213"/>
      <c r="X213"/>
      <c r="Y213"/>
      <c r="Z213"/>
      <c r="AA213"/>
      <c r="AB213"/>
      <c r="AC213"/>
      <c r="AD213"/>
      <c r="AE213"/>
      <c r="AF213"/>
      <c r="AG213"/>
      <c r="AH213"/>
      <c r="AI213"/>
      <c r="AJ213"/>
      <c r="AK213"/>
      <c r="AL213"/>
      <c r="AM213"/>
      <c r="AN213"/>
      <c r="AO213"/>
    </row>
    <row r="214" spans="1:41" ht="15" customHeight="1" thickBot="1">
      <c r="B214" s="16"/>
      <c r="C214" s="1644" t="s">
        <v>446</v>
      </c>
      <c r="D214" s="1644"/>
      <c r="E214" s="1644"/>
      <c r="F214" s="1644"/>
      <c r="G214" s="1644"/>
      <c r="H214" s="1644"/>
      <c r="I214" s="1644"/>
      <c r="J214" s="1644"/>
      <c r="K214" s="1644"/>
      <c r="L214" s="1644"/>
      <c r="M214" s="1644"/>
      <c r="N214"/>
      <c r="O214"/>
      <c r="P214"/>
      <c r="Q214"/>
      <c r="R214"/>
      <c r="S214"/>
      <c r="T214"/>
      <c r="U214"/>
      <c r="V214"/>
      <c r="W214"/>
      <c r="X214"/>
      <c r="Y214"/>
      <c r="Z214"/>
      <c r="AA214"/>
      <c r="AB214"/>
      <c r="AC214"/>
      <c r="AD214"/>
      <c r="AE214"/>
      <c r="AF214"/>
      <c r="AG214"/>
      <c r="AH214"/>
      <c r="AI214"/>
      <c r="AJ214"/>
      <c r="AK214"/>
      <c r="AL214"/>
      <c r="AM214"/>
      <c r="AN214"/>
      <c r="AO214"/>
    </row>
    <row r="215" spans="1:41" ht="6" customHeight="1">
      <c r="B215" s="16"/>
      <c r="C215" s="43"/>
      <c r="D215" s="43"/>
      <c r="E215" s="43"/>
      <c r="F215" s="43"/>
      <c r="G215" s="43"/>
      <c r="H215" s="43"/>
      <c r="I215" s="43"/>
      <c r="J215" s="43"/>
      <c r="K215" s="43"/>
      <c r="L215" s="43"/>
      <c r="M215" s="43"/>
      <c r="N215"/>
      <c r="O215"/>
      <c r="P215"/>
      <c r="Q215"/>
      <c r="R215"/>
      <c r="S215"/>
      <c r="T215"/>
      <c r="U215"/>
      <c r="V215"/>
      <c r="W215"/>
      <c r="X215"/>
      <c r="Y215"/>
      <c r="Z215"/>
      <c r="AA215"/>
      <c r="AB215"/>
      <c r="AC215"/>
      <c r="AD215"/>
      <c r="AE215"/>
      <c r="AF215"/>
      <c r="AG215"/>
      <c r="AH215"/>
      <c r="AI215"/>
      <c r="AJ215"/>
      <c r="AK215"/>
      <c r="AL215"/>
      <c r="AM215"/>
      <c r="AN215"/>
      <c r="AO215"/>
    </row>
    <row r="216" spans="1:41" ht="12" customHeight="1">
      <c r="B216" s="16"/>
      <c r="C216" s="44"/>
      <c r="E216" s="1664" t="s">
        <v>1642</v>
      </c>
      <c r="F216" s="1665"/>
      <c r="G216" s="1665"/>
      <c r="H216" s="1665"/>
      <c r="I216" s="1665"/>
      <c r="J216" s="1665"/>
      <c r="K216" s="1665"/>
      <c r="L216" s="1665"/>
      <c r="M216" s="858"/>
      <c r="N216"/>
      <c r="O216"/>
      <c r="P216"/>
      <c r="Q216"/>
      <c r="R216"/>
      <c r="S216"/>
      <c r="T216"/>
      <c r="U216"/>
      <c r="V216"/>
      <c r="W216"/>
      <c r="X216"/>
      <c r="Y216"/>
      <c r="Z216"/>
      <c r="AA216"/>
      <c r="AB216"/>
      <c r="AC216"/>
      <c r="AD216"/>
      <c r="AE216"/>
      <c r="AF216"/>
      <c r="AG216"/>
      <c r="AH216"/>
      <c r="AI216"/>
      <c r="AJ216"/>
      <c r="AK216"/>
      <c r="AL216"/>
      <c r="AM216"/>
      <c r="AN216"/>
      <c r="AO216"/>
    </row>
    <row r="217" spans="1:41" ht="13.5" customHeight="1">
      <c r="B217" s="16"/>
      <c r="C217" s="71"/>
      <c r="E217" s="1660" t="s">
        <v>1639</v>
      </c>
      <c r="F217" s="1661"/>
      <c r="G217" s="1660" t="s">
        <v>1640</v>
      </c>
      <c r="H217" s="1661"/>
      <c r="I217" s="1662" t="s">
        <v>1641</v>
      </c>
      <c r="J217" s="1663"/>
      <c r="K217" s="1662" t="s">
        <v>1644</v>
      </c>
      <c r="L217" s="1663"/>
      <c r="N217"/>
      <c r="O217"/>
      <c r="P217"/>
      <c r="Q217"/>
      <c r="R217"/>
      <c r="S217"/>
      <c r="T217"/>
      <c r="U217"/>
      <c r="V217"/>
      <c r="W217"/>
      <c r="X217"/>
      <c r="Y217"/>
      <c r="Z217"/>
      <c r="AA217"/>
      <c r="AB217"/>
      <c r="AC217"/>
      <c r="AD217"/>
      <c r="AE217"/>
      <c r="AF217"/>
      <c r="AG217"/>
      <c r="AH217"/>
      <c r="AI217"/>
      <c r="AJ217"/>
      <c r="AK217"/>
      <c r="AL217"/>
      <c r="AM217"/>
      <c r="AN217"/>
      <c r="AO217"/>
    </row>
    <row r="218" spans="1:41" ht="15" customHeight="1">
      <c r="B218" s="16"/>
      <c r="C218" s="923"/>
      <c r="D218" s="891" t="s">
        <v>1012</v>
      </c>
      <c r="E218" s="869" t="s">
        <v>997</v>
      </c>
      <c r="F218" s="903" t="s">
        <v>1008</v>
      </c>
      <c r="G218" s="869" t="s">
        <v>997</v>
      </c>
      <c r="H218" s="903" t="s">
        <v>1008</v>
      </c>
      <c r="I218" s="869" t="s">
        <v>997</v>
      </c>
      <c r="J218" s="903" t="s">
        <v>1008</v>
      </c>
      <c r="K218" s="869" t="s">
        <v>997</v>
      </c>
      <c r="L218" s="903" t="s">
        <v>1008</v>
      </c>
      <c r="N218"/>
      <c r="O218"/>
      <c r="P218"/>
      <c r="Q218"/>
      <c r="R218"/>
      <c r="S218"/>
      <c r="T218"/>
      <c r="U218"/>
      <c r="V218"/>
      <c r="W218"/>
      <c r="X218"/>
      <c r="Y218"/>
      <c r="Z218"/>
      <c r="AA218"/>
      <c r="AB218"/>
      <c r="AC218"/>
      <c r="AD218"/>
      <c r="AE218"/>
      <c r="AF218"/>
      <c r="AG218"/>
      <c r="AH218"/>
      <c r="AI218"/>
      <c r="AJ218"/>
      <c r="AK218"/>
      <c r="AL218"/>
      <c r="AM218"/>
      <c r="AN218"/>
      <c r="AO218"/>
    </row>
    <row r="219" spans="1:41" ht="15" customHeight="1">
      <c r="A219" t="str">
        <f>IF(D219="","*","")</f>
        <v/>
      </c>
      <c r="B219" s="894">
        <v>1</v>
      </c>
      <c r="C219" s="19"/>
      <c r="D219" s="861" t="s">
        <v>882</v>
      </c>
      <c r="E219" s="868">
        <f>IF($D219="","",E$211*IF($F198&lt;0,1,0))</f>
        <v>32</v>
      </c>
      <c r="F219" s="868">
        <f>IF($D219="","",F$211*IF($F198&lt;0,1,0))</f>
        <v>0</v>
      </c>
      <c r="G219" s="868" t="e">
        <f t="shared" ref="G219:H222" si="70">IF($D219="","",IF(E219=0,MAX(E$211*(ColSpa2-$F198)/ColSpa2,0),E219*-$F198/ColSpa2))</f>
        <v>#DIV/0!</v>
      </c>
      <c r="H219" s="868" t="e">
        <f t="shared" si="70"/>
        <v>#DIV/0!</v>
      </c>
      <c r="I219" s="868" t="e">
        <f t="shared" ref="I219:J222" si="71">IF($D219="","",IF(K219=0,MAX(E$211*(ColSpa2-$H198)/ColSpa2,0),K219*-$H198/ColSpa2))</f>
        <v>#DIV/0!</v>
      </c>
      <c r="J219" s="868" t="e">
        <f t="shared" si="71"/>
        <v>#DIV/0!</v>
      </c>
      <c r="K219" s="868">
        <f>IF($D219="","",E$211*IF($H198&lt;0,1,0))</f>
        <v>0</v>
      </c>
      <c r="L219" s="1098">
        <f>IF($D219="","",F$211*IF($H198&lt;0,1,0))</f>
        <v>0</v>
      </c>
      <c r="N219"/>
      <c r="O219"/>
      <c r="P219"/>
      <c r="Q219"/>
      <c r="R219"/>
      <c r="S219"/>
      <c r="T219"/>
      <c r="U219"/>
      <c r="V219"/>
      <c r="W219"/>
      <c r="X219"/>
      <c r="Y219"/>
      <c r="Z219"/>
      <c r="AA219"/>
      <c r="AB219"/>
      <c r="AC219"/>
      <c r="AD219"/>
      <c r="AE219"/>
      <c r="AF219"/>
      <c r="AG219"/>
      <c r="AH219"/>
      <c r="AI219"/>
      <c r="AJ219"/>
      <c r="AK219"/>
      <c r="AL219"/>
      <c r="AM219"/>
      <c r="AN219"/>
      <c r="AO219"/>
    </row>
    <row r="220" spans="1:41" ht="15" customHeight="1">
      <c r="A220" t="str">
        <f>IF(D220="","*","")</f>
        <v/>
      </c>
      <c r="B220" s="894">
        <f>B219+1</f>
        <v>2</v>
      </c>
      <c r="C220" s="19"/>
      <c r="D220" s="861" t="str">
        <f>IF(NumLanes&lt;B220,"","Lane "&amp;B220)</f>
        <v>Lane 2</v>
      </c>
      <c r="E220" s="868">
        <f t="shared" ref="E220:F220" si="72">IF($D220="","",E$211*IF($F199&lt;0,1,0))</f>
        <v>32</v>
      </c>
      <c r="F220" s="868">
        <f t="shared" si="72"/>
        <v>0</v>
      </c>
      <c r="G220" s="868" t="e">
        <f t="shared" si="70"/>
        <v>#DIV/0!</v>
      </c>
      <c r="H220" s="868" t="e">
        <f t="shared" si="70"/>
        <v>#DIV/0!</v>
      </c>
      <c r="I220" s="868" t="e">
        <f t="shared" si="71"/>
        <v>#DIV/0!</v>
      </c>
      <c r="J220" s="868" t="e">
        <f t="shared" si="71"/>
        <v>#DIV/0!</v>
      </c>
      <c r="K220" s="868">
        <f t="shared" ref="K220:L220" si="73">IF($D220="","",E$211*IF($H199&lt;0,1,0))</f>
        <v>0</v>
      </c>
      <c r="L220" s="921">
        <f t="shared" si="73"/>
        <v>0</v>
      </c>
      <c r="N220"/>
      <c r="O220"/>
      <c r="P220"/>
      <c r="Q220"/>
      <c r="R220"/>
      <c r="S220"/>
      <c r="T220"/>
      <c r="U220"/>
      <c r="V220"/>
      <c r="W220"/>
      <c r="X220"/>
      <c r="Y220"/>
      <c r="Z220"/>
      <c r="AA220"/>
      <c r="AB220"/>
      <c r="AC220"/>
      <c r="AD220"/>
      <c r="AE220"/>
      <c r="AF220"/>
      <c r="AG220"/>
      <c r="AH220"/>
      <c r="AI220"/>
      <c r="AJ220"/>
      <c r="AK220"/>
      <c r="AL220"/>
      <c r="AM220"/>
      <c r="AN220"/>
      <c r="AO220"/>
    </row>
    <row r="221" spans="1:41" ht="15" customHeight="1">
      <c r="A221" t="str">
        <f>IF(D221="","*","")</f>
        <v/>
      </c>
      <c r="B221" s="894">
        <f>B220+1</f>
        <v>3</v>
      </c>
      <c r="C221" s="19"/>
      <c r="D221" s="861" t="str">
        <f>IF(NumLanes&lt;B221,"","Lane "&amp;B221)</f>
        <v>Lane 3</v>
      </c>
      <c r="E221" s="868">
        <f t="shared" ref="E221:F221" si="74">IF($D221="","",E$211*IF($F200&lt;0,1,0))</f>
        <v>0</v>
      </c>
      <c r="F221" s="868">
        <f t="shared" si="74"/>
        <v>0</v>
      </c>
      <c r="G221" s="868" t="e">
        <f t="shared" si="70"/>
        <v>#DIV/0!</v>
      </c>
      <c r="H221" s="868" t="e">
        <f t="shared" si="70"/>
        <v>#DIV/0!</v>
      </c>
      <c r="I221" s="868" t="e">
        <f t="shared" si="71"/>
        <v>#DIV/0!</v>
      </c>
      <c r="J221" s="868" t="e">
        <f t="shared" si="71"/>
        <v>#DIV/0!</v>
      </c>
      <c r="K221" s="868">
        <f t="shared" ref="K221:L221" si="75">IF($D221="","",E$211*IF($H200&lt;0,1,0))</f>
        <v>32</v>
      </c>
      <c r="L221" s="921">
        <f t="shared" si="75"/>
        <v>0</v>
      </c>
      <c r="N221"/>
      <c r="O221"/>
      <c r="P221"/>
      <c r="Q221"/>
      <c r="R221"/>
      <c r="S221"/>
      <c r="T221"/>
      <c r="U221"/>
      <c r="V221"/>
      <c r="W221"/>
      <c r="X221"/>
      <c r="Y221"/>
      <c r="Z221"/>
      <c r="AA221"/>
      <c r="AB221"/>
      <c r="AC221"/>
      <c r="AD221"/>
      <c r="AE221"/>
      <c r="AF221"/>
      <c r="AG221"/>
      <c r="AH221"/>
      <c r="AI221"/>
      <c r="AJ221"/>
      <c r="AK221"/>
      <c r="AL221"/>
      <c r="AM221"/>
      <c r="AN221"/>
      <c r="AO221"/>
    </row>
    <row r="222" spans="1:41" ht="15" customHeight="1" thickBot="1">
      <c r="A222" t="str">
        <f>IF(D222="","*","")</f>
        <v/>
      </c>
      <c r="B222" s="894">
        <f>B221+1</f>
        <v>4</v>
      </c>
      <c r="C222" s="924"/>
      <c r="D222" s="917" t="str">
        <f>IF(NumLanes&lt;B222,"","Lane "&amp;B222)</f>
        <v>Lane 4</v>
      </c>
      <c r="E222" s="918">
        <f t="shared" ref="E222:F222" si="76">IF($D222="","",E$211*IF($F201&lt;0,1,0))</f>
        <v>0</v>
      </c>
      <c r="F222" s="918">
        <f t="shared" si="76"/>
        <v>0</v>
      </c>
      <c r="G222" s="918" t="e">
        <f t="shared" si="70"/>
        <v>#DIV/0!</v>
      </c>
      <c r="H222" s="918" t="e">
        <f t="shared" si="70"/>
        <v>#DIV/0!</v>
      </c>
      <c r="I222" s="918" t="e">
        <f t="shared" si="71"/>
        <v>#DIV/0!</v>
      </c>
      <c r="J222" s="918" t="e">
        <f t="shared" si="71"/>
        <v>#DIV/0!</v>
      </c>
      <c r="K222" s="918">
        <f t="shared" ref="K222:L222" si="77">IF($D222="","",E$211*IF($H201&lt;0,1,0))</f>
        <v>32</v>
      </c>
      <c r="L222" s="922">
        <f t="shared" si="77"/>
        <v>0</v>
      </c>
      <c r="N222"/>
      <c r="O222"/>
      <c r="P222"/>
      <c r="Q222"/>
      <c r="R222"/>
      <c r="S222"/>
      <c r="T222"/>
      <c r="U222"/>
      <c r="V222"/>
      <c r="W222"/>
      <c r="X222"/>
      <c r="Y222"/>
      <c r="Z222"/>
      <c r="AA222"/>
      <c r="AB222"/>
      <c r="AC222"/>
      <c r="AD222"/>
      <c r="AE222"/>
      <c r="AF222"/>
      <c r="AG222"/>
      <c r="AH222"/>
      <c r="AI222"/>
      <c r="AJ222"/>
      <c r="AK222"/>
      <c r="AL222"/>
      <c r="AM222"/>
      <c r="AN222"/>
      <c r="AO222"/>
    </row>
    <row r="223" spans="1:41" ht="15" customHeight="1" thickTop="1">
      <c r="B223" s="894"/>
      <c r="C223" s="925"/>
      <c r="D223" s="919" t="s">
        <v>1009</v>
      </c>
      <c r="E223" s="946" t="s">
        <v>997</v>
      </c>
      <c r="F223" s="946" t="s">
        <v>1008</v>
      </c>
      <c r="G223" s="946" t="s">
        <v>997</v>
      </c>
      <c r="H223" s="946" t="s">
        <v>1008</v>
      </c>
      <c r="I223" s="946" t="s">
        <v>997</v>
      </c>
      <c r="J223" s="946" t="s">
        <v>1008</v>
      </c>
      <c r="K223" s="946" t="s">
        <v>997</v>
      </c>
      <c r="L223" s="946" t="s">
        <v>1008</v>
      </c>
      <c r="N223"/>
      <c r="O223"/>
      <c r="P223"/>
      <c r="Q223"/>
      <c r="R223"/>
      <c r="S223"/>
      <c r="T223"/>
      <c r="U223"/>
      <c r="V223"/>
      <c r="W223"/>
      <c r="X223"/>
      <c r="Y223"/>
      <c r="Z223"/>
      <c r="AA223"/>
      <c r="AB223"/>
      <c r="AC223"/>
      <c r="AD223"/>
      <c r="AE223"/>
      <c r="AF223"/>
      <c r="AG223"/>
      <c r="AH223"/>
      <c r="AI223"/>
      <c r="AJ223"/>
      <c r="AK223"/>
      <c r="AL223"/>
      <c r="AM223"/>
      <c r="AN223"/>
      <c r="AO223"/>
    </row>
    <row r="224" spans="1:41" ht="15" customHeight="1">
      <c r="A224" t="str">
        <f>IF(D224="","*","")</f>
        <v/>
      </c>
      <c r="B224" s="894">
        <v>1</v>
      </c>
      <c r="C224" s="19"/>
      <c r="D224" s="861" t="str">
        <f>D219</f>
        <v>Lane 1</v>
      </c>
      <c r="E224" s="868">
        <f>IF($D224="","",E$212*IF($F198&lt;0,1,0))</f>
        <v>105.54666666666665</v>
      </c>
      <c r="F224" s="868">
        <f>IF($D224="","",F$212*IF($F198&lt;0,1,0))</f>
        <v>22.158399999999997</v>
      </c>
      <c r="G224" s="868" t="e">
        <f t="shared" ref="G224:H227" si="78">IF($D224="","",IF(E224=0,MAX(E$212*(ColSpa2-$F198)/ColSpa2,0),E224*-$F198/ColSpa2))</f>
        <v>#DIV/0!</v>
      </c>
      <c r="H224" s="868" t="e">
        <f t="shared" si="78"/>
        <v>#DIV/0!</v>
      </c>
      <c r="I224" s="868" t="e">
        <f t="shared" ref="I224:J227" si="79">IF($D224="","",IF(K224=0,MAX(E$212*(ColSpa2-$H198)/ColSpa2,0),K224*-$H198/ColSpa2))</f>
        <v>#DIV/0!</v>
      </c>
      <c r="J224" s="868" t="e">
        <f t="shared" si="79"/>
        <v>#DIV/0!</v>
      </c>
      <c r="K224" s="868">
        <f>IF($D224="","",E$212*IF($H198&lt;0,1,0))</f>
        <v>0</v>
      </c>
      <c r="L224" s="1098">
        <f>IF($D224="","",F$212*IF($H198&lt;0,1,0))</f>
        <v>0</v>
      </c>
      <c r="N224"/>
      <c r="O224"/>
      <c r="P224"/>
      <c r="Q224"/>
      <c r="R224"/>
      <c r="S224"/>
      <c r="T224"/>
      <c r="U224"/>
      <c r="V224"/>
      <c r="W224"/>
      <c r="X224"/>
      <c r="Y224"/>
      <c r="Z224"/>
      <c r="AA224"/>
      <c r="AB224"/>
      <c r="AC224"/>
      <c r="AD224"/>
      <c r="AE224"/>
      <c r="AF224"/>
      <c r="AG224"/>
      <c r="AH224"/>
      <c r="AI224"/>
      <c r="AJ224"/>
      <c r="AK224"/>
      <c r="AL224"/>
      <c r="AM224"/>
      <c r="AN224"/>
      <c r="AO224"/>
    </row>
    <row r="225" spans="1:41" ht="15" customHeight="1">
      <c r="A225" t="str">
        <f>IF(D225="","*","")</f>
        <v/>
      </c>
      <c r="B225" s="894">
        <f>B224+1</f>
        <v>2</v>
      </c>
      <c r="C225" s="19"/>
      <c r="D225" s="861" t="str">
        <f>D220</f>
        <v>Lane 2</v>
      </c>
      <c r="E225" s="868">
        <f t="shared" ref="E225:F225" si="80">IF($D225="","",E$212*IF($F199&lt;0,1,0))</f>
        <v>105.54666666666665</v>
      </c>
      <c r="F225" s="868">
        <f t="shared" si="80"/>
        <v>22.158399999999997</v>
      </c>
      <c r="G225" s="868" t="e">
        <f t="shared" si="78"/>
        <v>#DIV/0!</v>
      </c>
      <c r="H225" s="868" t="e">
        <f t="shared" si="78"/>
        <v>#DIV/0!</v>
      </c>
      <c r="I225" s="868" t="e">
        <f t="shared" si="79"/>
        <v>#DIV/0!</v>
      </c>
      <c r="J225" s="868" t="e">
        <f t="shared" si="79"/>
        <v>#DIV/0!</v>
      </c>
      <c r="K225" s="868">
        <f t="shared" ref="K225:L225" si="81">IF($D225="","",E$212*IF($H199&lt;0,1,0))</f>
        <v>0</v>
      </c>
      <c r="L225" s="921">
        <f t="shared" si="81"/>
        <v>0</v>
      </c>
      <c r="N225"/>
      <c r="O225"/>
      <c r="P225"/>
      <c r="Q225"/>
      <c r="R225"/>
      <c r="S225"/>
      <c r="T225"/>
      <c r="U225"/>
      <c r="V225"/>
      <c r="W225"/>
      <c r="X225"/>
      <c r="Y225"/>
      <c r="Z225"/>
      <c r="AA225"/>
      <c r="AB225"/>
      <c r="AC225"/>
      <c r="AD225"/>
      <c r="AE225"/>
      <c r="AF225"/>
      <c r="AG225"/>
      <c r="AH225"/>
      <c r="AI225"/>
      <c r="AJ225"/>
      <c r="AK225"/>
      <c r="AL225"/>
      <c r="AM225"/>
      <c r="AN225"/>
      <c r="AO225"/>
    </row>
    <row r="226" spans="1:41" ht="15" customHeight="1">
      <c r="A226" t="str">
        <f>IF(D226="","*","")</f>
        <v/>
      </c>
      <c r="B226" s="894">
        <f>B225+1</f>
        <v>3</v>
      </c>
      <c r="C226" s="19"/>
      <c r="D226" s="861" t="str">
        <f>D221</f>
        <v>Lane 3</v>
      </c>
      <c r="E226" s="868">
        <f t="shared" ref="E226:F226" si="82">IF($D226="","",E$212*IF($F200&lt;0,1,0))</f>
        <v>0</v>
      </c>
      <c r="F226" s="868">
        <f t="shared" si="82"/>
        <v>0</v>
      </c>
      <c r="G226" s="868" t="e">
        <f t="shared" si="78"/>
        <v>#DIV/0!</v>
      </c>
      <c r="H226" s="868" t="e">
        <f t="shared" si="78"/>
        <v>#DIV/0!</v>
      </c>
      <c r="I226" s="868" t="e">
        <f t="shared" si="79"/>
        <v>#DIV/0!</v>
      </c>
      <c r="J226" s="868" t="e">
        <f t="shared" si="79"/>
        <v>#DIV/0!</v>
      </c>
      <c r="K226" s="868">
        <f t="shared" ref="K226:L226" si="83">IF($D226="","",E$212*IF($H200&lt;0,1,0))</f>
        <v>105.54666666666665</v>
      </c>
      <c r="L226" s="921">
        <f t="shared" si="83"/>
        <v>22.158399999999997</v>
      </c>
      <c r="N226"/>
      <c r="O226"/>
      <c r="P226"/>
      <c r="Q226"/>
      <c r="R226"/>
      <c r="S226"/>
      <c r="T226"/>
      <c r="U226"/>
      <c r="V226"/>
      <c r="W226"/>
      <c r="X226"/>
      <c r="Y226"/>
      <c r="Z226"/>
      <c r="AA226"/>
      <c r="AB226"/>
      <c r="AC226"/>
      <c r="AD226"/>
      <c r="AE226"/>
      <c r="AF226"/>
      <c r="AG226"/>
      <c r="AH226"/>
      <c r="AI226"/>
      <c r="AJ226"/>
      <c r="AK226"/>
      <c r="AL226"/>
      <c r="AM226"/>
      <c r="AN226"/>
      <c r="AO226"/>
    </row>
    <row r="227" spans="1:41" ht="15" customHeight="1">
      <c r="A227" t="str">
        <f>IF(D227="","*","")</f>
        <v/>
      </c>
      <c r="B227" s="894">
        <f>B226+1</f>
        <v>4</v>
      </c>
      <c r="C227" s="926"/>
      <c r="D227" s="861" t="str">
        <f>D222</f>
        <v>Lane 4</v>
      </c>
      <c r="E227" s="868">
        <f t="shared" ref="E227:F227" si="84">IF($D227="","",E$212*IF($F201&lt;0,1,0))</f>
        <v>0</v>
      </c>
      <c r="F227" s="868">
        <f t="shared" si="84"/>
        <v>0</v>
      </c>
      <c r="G227" s="868" t="e">
        <f t="shared" si="78"/>
        <v>#DIV/0!</v>
      </c>
      <c r="H227" s="868" t="e">
        <f t="shared" si="78"/>
        <v>#DIV/0!</v>
      </c>
      <c r="I227" s="868" t="e">
        <f t="shared" si="79"/>
        <v>#DIV/0!</v>
      </c>
      <c r="J227" s="868" t="e">
        <f t="shared" si="79"/>
        <v>#DIV/0!</v>
      </c>
      <c r="K227" s="868">
        <f t="shared" ref="K227:L227" si="85">IF($D227="","",E$212*IF($H201&lt;0,1,0))</f>
        <v>105.54666666666665</v>
      </c>
      <c r="L227" s="1099">
        <f t="shared" si="85"/>
        <v>22.158399999999997</v>
      </c>
      <c r="N227"/>
      <c r="O227"/>
      <c r="P227"/>
      <c r="Q227"/>
      <c r="R227"/>
      <c r="S227"/>
      <c r="T227"/>
      <c r="U227"/>
      <c r="V227"/>
      <c r="W227"/>
      <c r="X227"/>
      <c r="Y227"/>
      <c r="Z227"/>
      <c r="AA227"/>
      <c r="AB227"/>
      <c r="AC227"/>
      <c r="AD227"/>
      <c r="AE227"/>
      <c r="AF227"/>
      <c r="AG227"/>
      <c r="AH227"/>
      <c r="AI227"/>
      <c r="AJ227"/>
      <c r="AK227"/>
      <c r="AL227"/>
      <c r="AM227"/>
      <c r="AN227"/>
      <c r="AO227"/>
    </row>
    <row r="228" spans="1:41" ht="15" customHeight="1">
      <c r="B228" s="16"/>
      <c r="C228" s="854"/>
      <c r="D228" s="859" t="s">
        <v>551</v>
      </c>
      <c r="E228" s="892">
        <f t="shared" ref="E228:F228" si="86">SUM(E219:E227)</f>
        <v>275.09333333333331</v>
      </c>
      <c r="F228" s="892">
        <f t="shared" si="86"/>
        <v>44.316799999999994</v>
      </c>
      <c r="G228" s="1400" t="e">
        <f t="shared" ref="G228:H228" si="87">SUM(G219:G227)</f>
        <v>#DIV/0!</v>
      </c>
      <c r="H228" s="1400" t="e">
        <f t="shared" si="87"/>
        <v>#DIV/0!</v>
      </c>
      <c r="I228" s="892" t="e">
        <f>SUM(I219:I227)</f>
        <v>#DIV/0!</v>
      </c>
      <c r="J228" s="892" t="e">
        <f>SUM(J219:J227)</f>
        <v>#DIV/0!</v>
      </c>
      <c r="K228" s="1400">
        <f>SUM(K219:K227)</f>
        <v>275.09333333333331</v>
      </c>
      <c r="L228" s="1400">
        <f>SUM(L219:L227)</f>
        <v>44.316799999999994</v>
      </c>
      <c r="N228"/>
      <c r="O228"/>
      <c r="P228"/>
      <c r="Q228"/>
      <c r="R228"/>
      <c r="S228"/>
      <c r="T228"/>
      <c r="U228"/>
      <c r="V228"/>
      <c r="W228"/>
      <c r="X228"/>
      <c r="Y228"/>
      <c r="Z228"/>
      <c r="AA228"/>
      <c r="AB228"/>
      <c r="AC228"/>
      <c r="AD228"/>
      <c r="AE228"/>
      <c r="AF228"/>
      <c r="AG228"/>
      <c r="AH228"/>
      <c r="AI228"/>
      <c r="AJ228"/>
      <c r="AK228"/>
      <c r="AL228"/>
      <c r="AM228"/>
      <c r="AN228"/>
      <c r="AO228"/>
    </row>
    <row r="229" spans="1:41" ht="15" customHeight="1">
      <c r="B229" s="16"/>
      <c r="C229" s="40"/>
      <c r="D229" s="858"/>
      <c r="E229" s="858"/>
      <c r="F229" s="858"/>
      <c r="G229" s="858"/>
      <c r="H229" s="858"/>
      <c r="I229" s="858"/>
      <c r="J229" s="858"/>
      <c r="K229" s="858"/>
      <c r="N229"/>
      <c r="O229"/>
      <c r="P229"/>
      <c r="Q229"/>
      <c r="R229"/>
      <c r="S229"/>
      <c r="T229"/>
      <c r="U229"/>
      <c r="V229"/>
      <c r="W229"/>
      <c r="X229"/>
      <c r="Y229"/>
      <c r="Z229"/>
      <c r="AA229"/>
      <c r="AB229"/>
      <c r="AC229"/>
      <c r="AD229"/>
      <c r="AE229"/>
      <c r="AF229"/>
      <c r="AG229"/>
      <c r="AH229"/>
      <c r="AI229"/>
      <c r="AJ229"/>
      <c r="AK229"/>
      <c r="AL229"/>
      <c r="AM229"/>
      <c r="AN229"/>
      <c r="AO229"/>
    </row>
    <row r="230" spans="1:41" ht="15" customHeight="1">
      <c r="B230" s="16"/>
      <c r="C230" s="40"/>
      <c r="D230" s="858"/>
      <c r="E230" s="1656" t="s">
        <v>1643</v>
      </c>
      <c r="F230" s="1656"/>
      <c r="G230" s="1656"/>
      <c r="H230" s="1656"/>
      <c r="I230" s="1656"/>
      <c r="J230" s="1656"/>
      <c r="K230" s="1656"/>
      <c r="L230" s="1656"/>
      <c r="N230"/>
      <c r="O230"/>
      <c r="P230"/>
      <c r="Q230"/>
      <c r="R230"/>
      <c r="S230"/>
      <c r="T230"/>
      <c r="U230"/>
      <c r="V230"/>
      <c r="W230"/>
      <c r="X230"/>
      <c r="Y230"/>
      <c r="Z230"/>
      <c r="AA230"/>
      <c r="AB230"/>
      <c r="AC230"/>
      <c r="AD230"/>
      <c r="AE230"/>
      <c r="AF230"/>
      <c r="AG230"/>
      <c r="AH230"/>
      <c r="AI230"/>
      <c r="AJ230"/>
      <c r="AK230"/>
      <c r="AL230"/>
      <c r="AM230"/>
      <c r="AN230"/>
      <c r="AO230"/>
    </row>
    <row r="231" spans="1:41" ht="15" customHeight="1">
      <c r="B231" s="16"/>
      <c r="C231" s="40"/>
      <c r="D231" s="858"/>
      <c r="E231" s="1660" t="s">
        <v>1639</v>
      </c>
      <c r="F231" s="1661"/>
      <c r="G231" s="1660" t="s">
        <v>1640</v>
      </c>
      <c r="H231" s="1661"/>
      <c r="I231" s="1662" t="s">
        <v>1641</v>
      </c>
      <c r="J231" s="1663"/>
      <c r="K231" s="1662" t="s">
        <v>1644</v>
      </c>
      <c r="L231" s="1663"/>
      <c r="N231"/>
      <c r="O231"/>
      <c r="P231"/>
      <c r="Q231"/>
      <c r="R231"/>
      <c r="S231"/>
      <c r="T231"/>
      <c r="U231"/>
      <c r="V231"/>
      <c r="W231"/>
      <c r="X231"/>
      <c r="Y231"/>
      <c r="Z231"/>
      <c r="AA231"/>
      <c r="AB231"/>
      <c r="AC231"/>
      <c r="AD231"/>
      <c r="AE231"/>
      <c r="AF231"/>
      <c r="AG231"/>
      <c r="AH231"/>
      <c r="AI231"/>
      <c r="AJ231"/>
      <c r="AK231"/>
      <c r="AL231"/>
      <c r="AM231"/>
      <c r="AN231"/>
      <c r="AO231"/>
    </row>
    <row r="232" spans="1:41" ht="15" customHeight="1">
      <c r="B232" s="16"/>
      <c r="C232" s="923"/>
      <c r="D232" s="891" t="s">
        <v>1012</v>
      </c>
      <c r="E232" s="869" t="s">
        <v>997</v>
      </c>
      <c r="F232" s="903" t="s">
        <v>1008</v>
      </c>
      <c r="G232" s="869" t="s">
        <v>997</v>
      </c>
      <c r="H232" s="903" t="s">
        <v>1008</v>
      </c>
      <c r="I232" s="869" t="s">
        <v>997</v>
      </c>
      <c r="J232" s="903" t="s">
        <v>1008</v>
      </c>
      <c r="K232" s="869" t="s">
        <v>997</v>
      </c>
      <c r="L232" s="903" t="s">
        <v>1008</v>
      </c>
      <c r="N232"/>
      <c r="O232"/>
      <c r="P232"/>
      <c r="Q232"/>
      <c r="R232"/>
      <c r="S232"/>
      <c r="T232"/>
      <c r="U232"/>
      <c r="V232"/>
      <c r="W232"/>
      <c r="X232"/>
      <c r="Y232"/>
      <c r="Z232"/>
      <c r="AA232"/>
      <c r="AB232"/>
      <c r="AC232"/>
      <c r="AD232"/>
      <c r="AE232"/>
      <c r="AF232"/>
      <c r="AG232"/>
      <c r="AH232"/>
      <c r="AI232"/>
      <c r="AJ232"/>
      <c r="AK232"/>
      <c r="AL232"/>
      <c r="AM232"/>
      <c r="AN232"/>
      <c r="AO232"/>
    </row>
    <row r="233" spans="1:41" ht="15" customHeight="1">
      <c r="A233" t="str">
        <f>IF(D233="","*","")</f>
        <v/>
      </c>
      <c r="B233" s="894">
        <v>1</v>
      </c>
      <c r="C233" s="19"/>
      <c r="D233" s="861" t="s">
        <v>882</v>
      </c>
      <c r="E233" s="868">
        <f>IF($D233="","",G$211*IF($F198&lt;0,1,0))</f>
        <v>0</v>
      </c>
      <c r="F233" s="868">
        <f>IF($D233="","",H$211*IF($F198&lt;0,1,0))</f>
        <v>0</v>
      </c>
      <c r="G233" s="868" t="e">
        <f t="shared" ref="G233:H236" si="88">IF($D233="","",IF(E233=0,MAX(G$211*(ColSpa2-$F198)/ColSpa2,0),E233*-$F198/ColSpa2))</f>
        <v>#DIV/0!</v>
      </c>
      <c r="H233" s="868" t="e">
        <f t="shared" si="88"/>
        <v>#DIV/0!</v>
      </c>
      <c r="I233" s="868" t="e">
        <f t="shared" ref="I233:J236" si="89">IF($D233="","",IF(K233=0,MAX(G$211*(ColSpa2-$H198)/ColSpa2,0),K233*-$H198/ColSpa2))</f>
        <v>#DIV/0!</v>
      </c>
      <c r="J233" s="868" t="e">
        <f t="shared" si="89"/>
        <v>#DIV/0!</v>
      </c>
      <c r="K233" s="868">
        <f>IF($D233="","",G$211*IF($H198&lt;0,1,0))</f>
        <v>0</v>
      </c>
      <c r="L233" s="921">
        <f>IF($D233="","",H$211*IF($H198&lt;0,1,0))</f>
        <v>0</v>
      </c>
      <c r="N233"/>
      <c r="O233"/>
      <c r="P233"/>
      <c r="Q233"/>
      <c r="R233"/>
      <c r="S233"/>
      <c r="T233"/>
      <c r="U233"/>
      <c r="V233"/>
      <c r="W233"/>
      <c r="X233"/>
      <c r="Y233"/>
      <c r="Z233"/>
      <c r="AA233"/>
      <c r="AB233"/>
      <c r="AC233"/>
      <c r="AD233"/>
      <c r="AE233"/>
      <c r="AF233"/>
      <c r="AG233"/>
      <c r="AH233"/>
      <c r="AI233"/>
      <c r="AJ233"/>
      <c r="AK233"/>
      <c r="AL233"/>
      <c r="AM233"/>
      <c r="AN233"/>
      <c r="AO233"/>
    </row>
    <row r="234" spans="1:41" ht="15" customHeight="1">
      <c r="A234" t="str">
        <f>IF(D234="","*","")</f>
        <v/>
      </c>
      <c r="B234" s="894">
        <f>B233+1</f>
        <v>2</v>
      </c>
      <c r="C234" s="19"/>
      <c r="D234" s="861" t="str">
        <f>IF(NumLanes&lt;B234,"","Lane "&amp;B234)</f>
        <v>Lane 2</v>
      </c>
      <c r="E234" s="868">
        <f t="shared" ref="E234:F234" si="90">IF($D234="","",G$211*IF($F199&lt;0,1,0))</f>
        <v>0</v>
      </c>
      <c r="F234" s="868">
        <f t="shared" si="90"/>
        <v>0</v>
      </c>
      <c r="G234" s="868" t="e">
        <f t="shared" si="88"/>
        <v>#DIV/0!</v>
      </c>
      <c r="H234" s="868" t="e">
        <f t="shared" si="88"/>
        <v>#DIV/0!</v>
      </c>
      <c r="I234" s="868" t="e">
        <f t="shared" si="89"/>
        <v>#DIV/0!</v>
      </c>
      <c r="J234" s="921" t="e">
        <f t="shared" si="89"/>
        <v>#DIV/0!</v>
      </c>
      <c r="K234" s="868">
        <f t="shared" ref="K234:L234" si="91">IF($D234="","",G$211*IF($H199&lt;0,1,0))</f>
        <v>0</v>
      </c>
      <c r="L234" s="921">
        <f t="shared" si="91"/>
        <v>0</v>
      </c>
      <c r="N234"/>
      <c r="O234"/>
      <c r="P234"/>
      <c r="Q234"/>
      <c r="R234"/>
      <c r="S234"/>
      <c r="T234"/>
      <c r="U234"/>
      <c r="V234"/>
      <c r="W234"/>
      <c r="X234"/>
      <c r="Y234"/>
      <c r="Z234"/>
      <c r="AA234"/>
      <c r="AB234"/>
      <c r="AC234"/>
      <c r="AD234"/>
      <c r="AE234"/>
      <c r="AF234"/>
      <c r="AG234"/>
      <c r="AH234"/>
      <c r="AI234"/>
      <c r="AJ234"/>
      <c r="AK234"/>
      <c r="AL234"/>
      <c r="AM234"/>
      <c r="AN234"/>
      <c r="AO234"/>
    </row>
    <row r="235" spans="1:41" ht="15" customHeight="1">
      <c r="A235" t="str">
        <f>IF(D235="","*","")</f>
        <v/>
      </c>
      <c r="B235" s="894">
        <f>B234+1</f>
        <v>3</v>
      </c>
      <c r="C235" s="19"/>
      <c r="D235" s="861" t="str">
        <f>IF(NumLanes&lt;B235,"","Lane "&amp;B235)</f>
        <v>Lane 3</v>
      </c>
      <c r="E235" s="868">
        <f t="shared" ref="E235:F235" si="92">IF($D235="","",G$211*IF($F200&lt;0,1,0))</f>
        <v>0</v>
      </c>
      <c r="F235" s="868">
        <f t="shared" si="92"/>
        <v>0</v>
      </c>
      <c r="G235" s="868" t="e">
        <f t="shared" si="88"/>
        <v>#DIV/0!</v>
      </c>
      <c r="H235" s="868" t="e">
        <f t="shared" si="88"/>
        <v>#DIV/0!</v>
      </c>
      <c r="I235" s="868" t="e">
        <f t="shared" si="89"/>
        <v>#DIV/0!</v>
      </c>
      <c r="J235" s="921" t="e">
        <f t="shared" si="89"/>
        <v>#DIV/0!</v>
      </c>
      <c r="K235" s="868">
        <f t="shared" ref="K235:L235" si="93">IF($D235="","",G$211*IF($H200&lt;0,1,0))</f>
        <v>0</v>
      </c>
      <c r="L235" s="921">
        <f t="shared" si="93"/>
        <v>0</v>
      </c>
      <c r="N235"/>
      <c r="O235"/>
      <c r="P235"/>
      <c r="Q235"/>
      <c r="R235"/>
      <c r="S235"/>
      <c r="T235"/>
      <c r="U235"/>
      <c r="V235"/>
      <c r="W235"/>
      <c r="X235"/>
      <c r="Y235"/>
      <c r="Z235"/>
      <c r="AA235"/>
      <c r="AB235"/>
      <c r="AC235"/>
      <c r="AD235"/>
      <c r="AE235"/>
      <c r="AF235"/>
      <c r="AG235"/>
      <c r="AH235"/>
      <c r="AI235"/>
      <c r="AJ235"/>
      <c r="AK235"/>
      <c r="AL235"/>
      <c r="AM235"/>
      <c r="AN235"/>
      <c r="AO235"/>
    </row>
    <row r="236" spans="1:41" ht="15" customHeight="1" thickBot="1">
      <c r="A236" t="str">
        <f>IF(D236="","*","")</f>
        <v/>
      </c>
      <c r="B236" s="894">
        <f>B235+1</f>
        <v>4</v>
      </c>
      <c r="C236" s="924"/>
      <c r="D236" s="917" t="str">
        <f>IF(NumLanes&lt;B236,"","Lane "&amp;B236)</f>
        <v>Lane 4</v>
      </c>
      <c r="E236" s="918">
        <f t="shared" ref="E236:F236" si="94">IF($D236="","",G$211*IF($F201&lt;0,1,0))</f>
        <v>0</v>
      </c>
      <c r="F236" s="918">
        <f t="shared" si="94"/>
        <v>0</v>
      </c>
      <c r="G236" s="918" t="e">
        <f t="shared" si="88"/>
        <v>#DIV/0!</v>
      </c>
      <c r="H236" s="918" t="e">
        <f t="shared" si="88"/>
        <v>#DIV/0!</v>
      </c>
      <c r="I236" s="918" t="e">
        <f t="shared" si="89"/>
        <v>#DIV/0!</v>
      </c>
      <c r="J236" s="922" t="e">
        <f t="shared" si="89"/>
        <v>#DIV/0!</v>
      </c>
      <c r="K236" s="918">
        <f t="shared" ref="K236:L236" si="95">IF($D236="","",G$211*IF($H201&lt;0,1,0))</f>
        <v>0</v>
      </c>
      <c r="L236" s="922">
        <f t="shared" si="95"/>
        <v>0</v>
      </c>
      <c r="N236"/>
      <c r="O236"/>
      <c r="P236"/>
      <c r="Q236"/>
      <c r="R236"/>
      <c r="S236"/>
      <c r="T236"/>
      <c r="U236"/>
      <c r="V236"/>
      <c r="W236"/>
      <c r="X236"/>
      <c r="Y236"/>
      <c r="Z236"/>
      <c r="AA236"/>
      <c r="AB236"/>
      <c r="AC236"/>
      <c r="AD236"/>
      <c r="AE236"/>
      <c r="AF236"/>
      <c r="AG236"/>
      <c r="AH236"/>
      <c r="AI236"/>
      <c r="AJ236"/>
      <c r="AK236"/>
      <c r="AL236"/>
      <c r="AM236"/>
      <c r="AN236"/>
      <c r="AO236"/>
    </row>
    <row r="237" spans="1:41" ht="15" customHeight="1" thickTop="1">
      <c r="B237" s="894"/>
      <c r="C237" s="925"/>
      <c r="D237" s="919" t="s">
        <v>1009</v>
      </c>
      <c r="E237" s="945" t="s">
        <v>997</v>
      </c>
      <c r="F237" s="946" t="s">
        <v>1008</v>
      </c>
      <c r="G237" s="945" t="s">
        <v>997</v>
      </c>
      <c r="H237" s="946" t="s">
        <v>1008</v>
      </c>
      <c r="I237" s="945" t="s">
        <v>997</v>
      </c>
      <c r="J237" s="946" t="s">
        <v>1008</v>
      </c>
      <c r="K237" s="945" t="s">
        <v>997</v>
      </c>
      <c r="L237" s="946" t="s">
        <v>1008</v>
      </c>
      <c r="N237"/>
      <c r="O237"/>
      <c r="P237"/>
      <c r="Q237"/>
      <c r="R237"/>
      <c r="S237"/>
      <c r="T237"/>
      <c r="U237"/>
      <c r="V237"/>
      <c r="W237"/>
      <c r="X237"/>
      <c r="Y237"/>
      <c r="Z237"/>
      <c r="AA237"/>
      <c r="AB237"/>
      <c r="AC237"/>
      <c r="AD237"/>
      <c r="AE237"/>
      <c r="AF237"/>
      <c r="AG237"/>
      <c r="AH237"/>
      <c r="AI237"/>
      <c r="AJ237"/>
      <c r="AK237"/>
      <c r="AL237"/>
      <c r="AM237"/>
      <c r="AN237"/>
      <c r="AO237"/>
    </row>
    <row r="238" spans="1:41" ht="15" customHeight="1">
      <c r="A238" t="str">
        <f>IF(D238="","*","")</f>
        <v/>
      </c>
      <c r="B238" s="894">
        <v>1</v>
      </c>
      <c r="C238" s="19"/>
      <c r="D238" s="861" t="str">
        <f>D233</f>
        <v>Lane 1</v>
      </c>
      <c r="E238" s="868">
        <f>IF($D238="","",G$212*IF($F198&lt;0,1,0))</f>
        <v>104.80000000000001</v>
      </c>
      <c r="F238" s="868">
        <f>IF($D238="","",H$212*IF($F198&lt;0,1,0))</f>
        <v>21.912000000000003</v>
      </c>
      <c r="G238" s="868" t="e">
        <f t="shared" ref="G238:H241" si="96">IF($D238="","",IF(E238=0,MAX(G$212*(ColSpa2-$F198)/ColSpa2,0),E238*-$F198/ColSpa2))</f>
        <v>#DIV/0!</v>
      </c>
      <c r="H238" s="868" t="e">
        <f t="shared" si="96"/>
        <v>#DIV/0!</v>
      </c>
      <c r="I238" s="868" t="e">
        <f t="shared" ref="I238:J241" si="97">IF($D238="","",IF(K238=0,MAX(G$212*(ColSpa2-$H198)/ColSpa2,0),K238*-$H198/ColSpa2))</f>
        <v>#DIV/0!</v>
      </c>
      <c r="J238" s="868" t="e">
        <f t="shared" si="97"/>
        <v>#DIV/0!</v>
      </c>
      <c r="K238" s="868">
        <f>IF($D238="","",G$212*IF($H198&lt;0,1,0))</f>
        <v>0</v>
      </c>
      <c r="L238" s="921">
        <f>IF($D238="","",H$212*IF($H198&lt;0,1,0))</f>
        <v>0</v>
      </c>
      <c r="N238"/>
      <c r="O238"/>
      <c r="P238"/>
      <c r="Q238"/>
      <c r="R238"/>
      <c r="S238"/>
      <c r="T238"/>
      <c r="U238"/>
      <c r="V238"/>
      <c r="W238"/>
      <c r="X238"/>
      <c r="Y238"/>
      <c r="Z238"/>
      <c r="AA238"/>
      <c r="AB238"/>
      <c r="AC238"/>
      <c r="AD238"/>
      <c r="AE238"/>
      <c r="AF238"/>
      <c r="AG238"/>
      <c r="AH238"/>
      <c r="AI238"/>
      <c r="AJ238"/>
      <c r="AK238"/>
      <c r="AL238"/>
      <c r="AM238"/>
      <c r="AN238"/>
      <c r="AO238"/>
    </row>
    <row r="239" spans="1:41" ht="15" customHeight="1">
      <c r="A239" t="str">
        <f>IF(D239="","*","")</f>
        <v/>
      </c>
      <c r="B239" s="894">
        <f>B238+1</f>
        <v>2</v>
      </c>
      <c r="C239" s="19"/>
      <c r="D239" s="861" t="str">
        <f>D234</f>
        <v>Lane 2</v>
      </c>
      <c r="E239" s="868">
        <f t="shared" ref="E239:F239" si="98">IF($D239="","",G$212*IF($F199&lt;0,1,0))</f>
        <v>104.80000000000001</v>
      </c>
      <c r="F239" s="868">
        <f t="shared" si="98"/>
        <v>21.912000000000003</v>
      </c>
      <c r="G239" s="868" t="e">
        <f t="shared" si="96"/>
        <v>#DIV/0!</v>
      </c>
      <c r="H239" s="868" t="e">
        <f t="shared" si="96"/>
        <v>#DIV/0!</v>
      </c>
      <c r="I239" s="868" t="e">
        <f t="shared" si="97"/>
        <v>#DIV/0!</v>
      </c>
      <c r="J239" s="921" t="e">
        <f t="shared" si="97"/>
        <v>#DIV/0!</v>
      </c>
      <c r="K239" s="868">
        <f t="shared" ref="K239:L239" si="99">IF($D239="","",G$212*IF($H199&lt;0,1,0))</f>
        <v>0</v>
      </c>
      <c r="L239" s="921">
        <f t="shared" si="99"/>
        <v>0</v>
      </c>
      <c r="N239"/>
      <c r="O239"/>
      <c r="P239"/>
      <c r="Q239"/>
      <c r="R239"/>
      <c r="S239"/>
      <c r="T239"/>
      <c r="U239"/>
      <c r="V239"/>
      <c r="W239"/>
      <c r="X239"/>
      <c r="Y239"/>
      <c r="Z239"/>
      <c r="AA239"/>
      <c r="AB239"/>
      <c r="AC239"/>
      <c r="AD239"/>
      <c r="AE239"/>
      <c r="AF239"/>
      <c r="AG239"/>
      <c r="AH239"/>
      <c r="AI239"/>
      <c r="AJ239"/>
      <c r="AK239"/>
      <c r="AL239"/>
      <c r="AM239"/>
      <c r="AN239"/>
      <c r="AO239"/>
    </row>
    <row r="240" spans="1:41" ht="15" customHeight="1">
      <c r="A240" t="str">
        <f>IF(D240="","*","")</f>
        <v/>
      </c>
      <c r="B240" s="894">
        <f>B239+1</f>
        <v>3</v>
      </c>
      <c r="C240" s="19"/>
      <c r="D240" s="861" t="str">
        <f>D235</f>
        <v>Lane 3</v>
      </c>
      <c r="E240" s="868">
        <f t="shared" ref="E240:F240" si="100">IF($D240="","",G$212*IF($F200&lt;0,1,0))</f>
        <v>0</v>
      </c>
      <c r="F240" s="868">
        <f t="shared" si="100"/>
        <v>0</v>
      </c>
      <c r="G240" s="868" t="e">
        <f t="shared" si="96"/>
        <v>#DIV/0!</v>
      </c>
      <c r="H240" s="868" t="e">
        <f t="shared" si="96"/>
        <v>#DIV/0!</v>
      </c>
      <c r="I240" s="868" t="e">
        <f t="shared" si="97"/>
        <v>#DIV/0!</v>
      </c>
      <c r="J240" s="921" t="e">
        <f t="shared" si="97"/>
        <v>#DIV/0!</v>
      </c>
      <c r="K240" s="868">
        <f t="shared" ref="K240:L240" si="101">IF($D240="","",G$212*IF($H200&lt;0,1,0))</f>
        <v>104.80000000000001</v>
      </c>
      <c r="L240" s="921">
        <f t="shared" si="101"/>
        <v>21.912000000000003</v>
      </c>
      <c r="N240"/>
      <c r="O240"/>
      <c r="P240"/>
      <c r="Q240"/>
      <c r="R240"/>
      <c r="S240"/>
      <c r="T240"/>
      <c r="U240"/>
      <c r="V240"/>
      <c r="W240"/>
      <c r="X240"/>
      <c r="Y240"/>
      <c r="Z240"/>
      <c r="AA240"/>
      <c r="AB240"/>
      <c r="AC240"/>
      <c r="AD240"/>
      <c r="AE240"/>
      <c r="AF240"/>
      <c r="AG240"/>
      <c r="AH240"/>
      <c r="AI240"/>
      <c r="AJ240"/>
      <c r="AK240"/>
      <c r="AL240"/>
      <c r="AM240"/>
      <c r="AN240"/>
      <c r="AO240"/>
    </row>
    <row r="241" spans="1:41" ht="15" customHeight="1">
      <c r="A241" t="str">
        <f>IF(D241="","*","")</f>
        <v/>
      </c>
      <c r="B241" s="894">
        <f>B240+1</f>
        <v>4</v>
      </c>
      <c r="C241" s="926"/>
      <c r="D241" s="927" t="str">
        <f>D236</f>
        <v>Lane 4</v>
      </c>
      <c r="E241" s="868">
        <f t="shared" ref="E241:F241" si="102">IF($D241="","",G$212*IF($F201&lt;0,1,0))</f>
        <v>0</v>
      </c>
      <c r="F241" s="868">
        <f t="shared" si="102"/>
        <v>0</v>
      </c>
      <c r="G241" s="868" t="e">
        <f t="shared" si="96"/>
        <v>#DIV/0!</v>
      </c>
      <c r="H241" s="868" t="e">
        <f t="shared" si="96"/>
        <v>#DIV/0!</v>
      </c>
      <c r="I241" s="868" t="e">
        <f t="shared" si="97"/>
        <v>#DIV/0!</v>
      </c>
      <c r="J241" s="921" t="e">
        <f t="shared" si="97"/>
        <v>#DIV/0!</v>
      </c>
      <c r="K241" s="868">
        <f t="shared" ref="K241:L241" si="103">IF($D241="","",G$212*IF($H201&lt;0,1,0))</f>
        <v>104.80000000000001</v>
      </c>
      <c r="L241" s="1099">
        <f t="shared" si="103"/>
        <v>21.912000000000003</v>
      </c>
      <c r="N241"/>
      <c r="O241"/>
      <c r="P241"/>
      <c r="Q241"/>
      <c r="R241"/>
      <c r="S241"/>
      <c r="T241"/>
      <c r="U241"/>
      <c r="V241"/>
      <c r="W241"/>
      <c r="X241"/>
      <c r="Y241"/>
      <c r="Z241"/>
      <c r="AA241"/>
      <c r="AB241"/>
      <c r="AC241"/>
      <c r="AD241"/>
      <c r="AE241"/>
      <c r="AF241"/>
      <c r="AG241"/>
      <c r="AH241"/>
      <c r="AI241"/>
      <c r="AJ241"/>
      <c r="AK241"/>
      <c r="AL241"/>
      <c r="AM241"/>
      <c r="AN241"/>
      <c r="AO241"/>
    </row>
    <row r="242" spans="1:41" ht="15" customHeight="1">
      <c r="B242" s="16"/>
      <c r="C242" s="931"/>
      <c r="D242" s="1403"/>
      <c r="E242" s="1403">
        <f t="shared" ref="E242:L242" si="104">SUM(E233:E241)</f>
        <v>209.60000000000002</v>
      </c>
      <c r="F242" s="1403">
        <f t="shared" si="104"/>
        <v>43.824000000000005</v>
      </c>
      <c r="G242" s="1403" t="e">
        <f t="shared" si="104"/>
        <v>#DIV/0!</v>
      </c>
      <c r="H242" s="1403" t="e">
        <f t="shared" si="104"/>
        <v>#DIV/0!</v>
      </c>
      <c r="I242" s="1403" t="e">
        <f t="shared" si="104"/>
        <v>#DIV/0!</v>
      </c>
      <c r="J242" s="1403" t="e">
        <f t="shared" si="104"/>
        <v>#DIV/0!</v>
      </c>
      <c r="K242" s="1403">
        <f t="shared" si="104"/>
        <v>209.60000000000002</v>
      </c>
      <c r="L242" s="1403">
        <f t="shared" si="104"/>
        <v>43.824000000000005</v>
      </c>
      <c r="N242"/>
      <c r="O242"/>
      <c r="P242"/>
      <c r="Q242"/>
      <c r="R242"/>
      <c r="S242"/>
      <c r="T242"/>
      <c r="U242"/>
      <c r="V242"/>
      <c r="W242"/>
      <c r="X242"/>
      <c r="Y242"/>
      <c r="Z242"/>
      <c r="AA242"/>
      <c r="AB242"/>
      <c r="AC242"/>
      <c r="AD242"/>
      <c r="AE242"/>
      <c r="AF242"/>
      <c r="AG242"/>
      <c r="AH242"/>
      <c r="AI242"/>
      <c r="AJ242"/>
      <c r="AK242"/>
      <c r="AL242"/>
      <c r="AM242"/>
      <c r="AN242"/>
      <c r="AO242"/>
    </row>
    <row r="243" spans="1:41" s="25" customFormat="1" ht="15" customHeight="1">
      <c r="B243" s="27"/>
      <c r="I243" s="880"/>
      <c r="J243" s="870"/>
      <c r="K243" s="870"/>
    </row>
    <row r="244" spans="1:41" s="25" customFormat="1" ht="15" customHeight="1">
      <c r="B244" s="27"/>
      <c r="C244" s="880" t="s">
        <v>316</v>
      </c>
      <c r="D244" s="870"/>
      <c r="E244" s="870"/>
      <c r="G244" s="860" t="s">
        <v>560</v>
      </c>
      <c r="H244" s="947">
        <v>1.75</v>
      </c>
      <c r="I244" s="880" t="s">
        <v>317</v>
      </c>
      <c r="J244" s="870"/>
      <c r="K244" s="870"/>
    </row>
    <row r="245" spans="1:41" s="25" customFormat="1" ht="15" customHeight="1">
      <c r="B245" s="27"/>
      <c r="C245" s="69" t="s">
        <v>1295</v>
      </c>
      <c r="D245" s="870"/>
      <c r="E245" s="870"/>
      <c r="F245" s="871" t="s">
        <v>1176</v>
      </c>
      <c r="I245" s="69" t="s">
        <v>1295</v>
      </c>
      <c r="J245" s="870"/>
      <c r="K245" s="870"/>
      <c r="L245" s="871" t="s">
        <v>1176</v>
      </c>
    </row>
    <row r="246" spans="1:41" ht="15" customHeight="1">
      <c r="B246" s="16"/>
      <c r="C246" s="69" t="s">
        <v>459</v>
      </c>
      <c r="D246" s="908" t="e">
        <f>$H$244*MAX(E228+F228,G228+H228)</f>
        <v>#DIV/0!</v>
      </c>
      <c r="E246" s="858"/>
      <c r="F246" s="69" t="s">
        <v>459</v>
      </c>
      <c r="G246" s="908" t="e">
        <f>$H$244*MAX(I228+J228,K228+L228)</f>
        <v>#DIV/0!</v>
      </c>
      <c r="I246" s="69" t="s">
        <v>459</v>
      </c>
      <c r="J246" s="908" t="e">
        <f>$H$244*MAX(E242+F242,G242+H242)</f>
        <v>#DIV/0!</v>
      </c>
      <c r="K246" s="858"/>
      <c r="L246" s="69" t="s">
        <v>459</v>
      </c>
      <c r="M246" s="908" t="e">
        <f>$H$244*MAX(I242+J242,K242+L242)</f>
        <v>#DIV/0!</v>
      </c>
      <c r="N246"/>
      <c r="O246"/>
      <c r="P246"/>
      <c r="Q246"/>
      <c r="R246"/>
      <c r="S246"/>
      <c r="T246"/>
      <c r="U246"/>
      <c r="V246"/>
      <c r="W246"/>
      <c r="X246"/>
      <c r="Y246"/>
      <c r="Z246"/>
      <c r="AA246"/>
      <c r="AB246"/>
      <c r="AC246"/>
      <c r="AD246"/>
      <c r="AE246"/>
      <c r="AF246"/>
      <c r="AG246"/>
      <c r="AH246"/>
      <c r="AI246"/>
      <c r="AJ246"/>
      <c r="AK246"/>
      <c r="AL246"/>
      <c r="AM246"/>
      <c r="AN246"/>
      <c r="AO246"/>
    </row>
    <row r="247" spans="1:41" ht="7.5" customHeight="1">
      <c r="B247" s="16"/>
      <c r="C247" s="860"/>
      <c r="D247" s="858"/>
      <c r="E247" s="858"/>
      <c r="I247" s="16"/>
      <c r="J247" s="858"/>
      <c r="K247" s="858"/>
      <c r="N247"/>
      <c r="O247"/>
      <c r="P247"/>
      <c r="Q247"/>
      <c r="R247"/>
      <c r="S247"/>
      <c r="T247"/>
      <c r="U247"/>
      <c r="V247"/>
      <c r="W247"/>
      <c r="X247"/>
      <c r="Y247"/>
      <c r="Z247"/>
      <c r="AA247"/>
      <c r="AB247"/>
      <c r="AC247"/>
      <c r="AD247"/>
      <c r="AE247"/>
      <c r="AF247"/>
      <c r="AG247"/>
      <c r="AH247"/>
      <c r="AI247"/>
      <c r="AJ247"/>
      <c r="AK247"/>
      <c r="AL247"/>
      <c r="AM247"/>
      <c r="AN247"/>
      <c r="AO247"/>
    </row>
    <row r="248" spans="1:41" ht="15" customHeight="1" thickBot="1">
      <c r="B248" s="16"/>
      <c r="C248" s="1644" t="s">
        <v>447</v>
      </c>
      <c r="D248" s="1644"/>
      <c r="E248" s="1644"/>
      <c r="F248" s="1644"/>
      <c r="G248" s="1644"/>
      <c r="H248" s="1644"/>
      <c r="I248" s="1644"/>
      <c r="J248" s="1644"/>
      <c r="K248" s="1644"/>
      <c r="L248" s="1644"/>
      <c r="M248" s="1644"/>
      <c r="N248"/>
      <c r="O248"/>
      <c r="P248"/>
      <c r="Q248"/>
      <c r="R248"/>
      <c r="S248"/>
      <c r="T248"/>
      <c r="U248"/>
      <c r="V248"/>
      <c r="W248"/>
      <c r="X248"/>
      <c r="Y248"/>
      <c r="Z248"/>
      <c r="AA248"/>
      <c r="AB248"/>
      <c r="AC248"/>
      <c r="AD248"/>
      <c r="AE248"/>
      <c r="AF248"/>
      <c r="AG248"/>
      <c r="AH248"/>
      <c r="AI248"/>
      <c r="AJ248"/>
      <c r="AK248"/>
      <c r="AL248"/>
      <c r="AM248"/>
      <c r="AN248"/>
      <c r="AO248"/>
    </row>
    <row r="249" spans="1:41" ht="6" customHeight="1">
      <c r="B249" s="16"/>
      <c r="C249" s="43"/>
      <c r="D249" s="43"/>
      <c r="E249" s="43"/>
      <c r="F249" s="43"/>
      <c r="G249" s="43"/>
      <c r="H249" s="43"/>
      <c r="I249" s="43"/>
      <c r="J249" s="43"/>
      <c r="K249" s="43"/>
      <c r="L249" s="43"/>
      <c r="M249" s="43"/>
      <c r="N249"/>
      <c r="O249"/>
      <c r="P249"/>
      <c r="Q249"/>
      <c r="R249"/>
      <c r="S249"/>
      <c r="T249"/>
      <c r="U249"/>
      <c r="V249"/>
      <c r="W249"/>
      <c r="X249"/>
      <c r="Y249"/>
      <c r="Z249"/>
      <c r="AA249"/>
      <c r="AB249"/>
      <c r="AC249"/>
      <c r="AD249"/>
      <c r="AE249"/>
      <c r="AF249"/>
      <c r="AG249"/>
      <c r="AH249"/>
      <c r="AI249"/>
      <c r="AJ249"/>
      <c r="AK249"/>
      <c r="AL249"/>
      <c r="AM249"/>
      <c r="AN249"/>
      <c r="AO249"/>
    </row>
    <row r="250" spans="1:41" ht="12.75" customHeight="1">
      <c r="B250" s="16"/>
      <c r="C250" s="43"/>
      <c r="D250" s="305" t="s">
        <v>455</v>
      </c>
      <c r="E250" s="39"/>
      <c r="F250" s="25"/>
      <c r="G250" s="39" t="s">
        <v>456</v>
      </c>
      <c r="H250" s="39">
        <f>BearingDist/12</f>
        <v>1</v>
      </c>
      <c r="I250" s="174" t="s">
        <v>156</v>
      </c>
      <c r="J250" s="43"/>
      <c r="K250" s="43"/>
      <c r="L250" s="43"/>
      <c r="M250" s="43"/>
      <c r="N250"/>
      <c r="O250"/>
      <c r="P250"/>
      <c r="Q250"/>
      <c r="R250"/>
      <c r="S250"/>
      <c r="T250"/>
      <c r="U250"/>
      <c r="V250"/>
      <c r="W250"/>
      <c r="X250"/>
      <c r="Y250"/>
      <c r="Z250"/>
      <c r="AA250"/>
      <c r="AB250"/>
      <c r="AC250"/>
      <c r="AD250"/>
      <c r="AE250"/>
      <c r="AF250"/>
      <c r="AG250"/>
      <c r="AH250"/>
      <c r="AI250"/>
      <c r="AJ250"/>
      <c r="AK250"/>
      <c r="AL250"/>
      <c r="AM250"/>
      <c r="AN250"/>
      <c r="AO250"/>
    </row>
    <row r="251" spans="1:41" ht="6" customHeight="1">
      <c r="B251" s="16"/>
      <c r="C251" s="43"/>
      <c r="D251" s="43"/>
      <c r="E251" s="43"/>
      <c r="F251" s="43"/>
      <c r="G251" s="43"/>
      <c r="H251" s="43"/>
      <c r="I251" s="43"/>
      <c r="J251" s="43"/>
      <c r="K251" s="43"/>
      <c r="L251" s="43"/>
      <c r="M251" s="43"/>
      <c r="N251"/>
      <c r="O251"/>
      <c r="P251"/>
      <c r="Q251"/>
      <c r="R251"/>
      <c r="S251"/>
      <c r="T251"/>
      <c r="U251"/>
      <c r="V251"/>
      <c r="W251"/>
      <c r="X251"/>
      <c r="Y251"/>
      <c r="Z251"/>
      <c r="AA251"/>
      <c r="AB251"/>
      <c r="AC251"/>
      <c r="AD251"/>
      <c r="AE251"/>
      <c r="AF251"/>
      <c r="AG251"/>
      <c r="AH251"/>
      <c r="AI251"/>
      <c r="AJ251"/>
      <c r="AK251"/>
      <c r="AL251"/>
      <c r="AM251"/>
      <c r="AN251"/>
      <c r="AO251"/>
    </row>
    <row r="252" spans="1:41" ht="13.5" customHeight="1">
      <c r="B252" s="16"/>
      <c r="C252" s="71"/>
      <c r="E252" s="1664" t="s">
        <v>1642</v>
      </c>
      <c r="F252" s="1665"/>
      <c r="G252" s="1665"/>
      <c r="H252" s="1665"/>
      <c r="I252" s="1665"/>
      <c r="J252" s="1665"/>
      <c r="K252" s="1665"/>
      <c r="L252" s="1665"/>
      <c r="N252"/>
      <c r="O252"/>
      <c r="P252"/>
      <c r="Q252"/>
      <c r="R252"/>
      <c r="S252"/>
      <c r="T252"/>
      <c r="U252"/>
      <c r="V252"/>
      <c r="W252"/>
      <c r="X252"/>
      <c r="Y252"/>
      <c r="Z252"/>
      <c r="AA252"/>
      <c r="AB252"/>
      <c r="AC252"/>
      <c r="AD252"/>
      <c r="AE252"/>
      <c r="AF252"/>
      <c r="AG252"/>
      <c r="AH252"/>
      <c r="AI252"/>
      <c r="AJ252"/>
      <c r="AK252"/>
      <c r="AL252"/>
      <c r="AM252"/>
      <c r="AN252"/>
      <c r="AO252"/>
    </row>
    <row r="253" spans="1:41" ht="13.5" customHeight="1">
      <c r="B253" s="16"/>
      <c r="C253" s="71"/>
      <c r="E253" s="1660" t="s">
        <v>1639</v>
      </c>
      <c r="F253" s="1661"/>
      <c r="G253" s="1660" t="s">
        <v>1640</v>
      </c>
      <c r="H253" s="1661"/>
      <c r="I253" s="1662" t="s">
        <v>1641</v>
      </c>
      <c r="J253" s="1663"/>
      <c r="K253" s="1662" t="s">
        <v>1644</v>
      </c>
      <c r="L253" s="1663"/>
      <c r="N253"/>
      <c r="O253"/>
      <c r="P253"/>
      <c r="Q253"/>
      <c r="R253"/>
      <c r="S253"/>
      <c r="T253"/>
      <c r="U253"/>
      <c r="V253"/>
      <c r="W253"/>
      <c r="X253"/>
      <c r="Y253"/>
      <c r="Z253"/>
      <c r="AA253"/>
      <c r="AB253"/>
      <c r="AC253"/>
      <c r="AD253"/>
      <c r="AE253"/>
      <c r="AF253"/>
      <c r="AG253"/>
      <c r="AH253"/>
      <c r="AI253"/>
      <c r="AJ253"/>
      <c r="AK253"/>
      <c r="AL253"/>
      <c r="AM253"/>
      <c r="AN253"/>
      <c r="AO253"/>
    </row>
    <row r="254" spans="1:41" ht="15" customHeight="1">
      <c r="B254" s="16"/>
      <c r="C254" s="923"/>
      <c r="D254" s="891" t="s">
        <v>1012</v>
      </c>
      <c r="E254" s="869" t="s">
        <v>997</v>
      </c>
      <c r="F254" s="903" t="s">
        <v>1008</v>
      </c>
      <c r="G254" s="869" t="s">
        <v>997</v>
      </c>
      <c r="H254" s="903" t="s">
        <v>1008</v>
      </c>
      <c r="I254" s="869" t="s">
        <v>997</v>
      </c>
      <c r="J254" s="903" t="s">
        <v>1008</v>
      </c>
      <c r="K254" s="869" t="s">
        <v>997</v>
      </c>
      <c r="L254" s="903" t="s">
        <v>1008</v>
      </c>
      <c r="N254"/>
      <c r="O254"/>
      <c r="P254"/>
      <c r="Q254"/>
      <c r="R254"/>
      <c r="S254"/>
      <c r="T254"/>
      <c r="U254"/>
      <c r="V254"/>
      <c r="W254"/>
      <c r="X254"/>
      <c r="Y254"/>
      <c r="Z254"/>
      <c r="AA254"/>
      <c r="AB254"/>
      <c r="AC254"/>
      <c r="AD254"/>
      <c r="AE254"/>
      <c r="AF254"/>
      <c r="AG254"/>
      <c r="AH254"/>
      <c r="AI254"/>
      <c r="AJ254"/>
      <c r="AK254"/>
      <c r="AL254"/>
      <c r="AM254"/>
      <c r="AN254"/>
      <c r="AO254"/>
    </row>
    <row r="255" spans="1:41" ht="15" customHeight="1">
      <c r="A255" t="str">
        <f>IF(D255="","*","")</f>
        <v/>
      </c>
      <c r="B255" s="894">
        <v>1</v>
      </c>
      <c r="C255" s="19"/>
      <c r="D255" s="861" t="s">
        <v>882</v>
      </c>
      <c r="E255" s="873">
        <f t="shared" ref="E255:L258" si="105">IF($D255="","",-E219*$H$250)</f>
        <v>-32</v>
      </c>
      <c r="F255" s="873">
        <f t="shared" si="105"/>
        <v>0</v>
      </c>
      <c r="G255" s="873" t="e">
        <f t="shared" si="105"/>
        <v>#DIV/0!</v>
      </c>
      <c r="H255" s="873" t="e">
        <f t="shared" si="105"/>
        <v>#DIV/0!</v>
      </c>
      <c r="I255" s="873" t="e">
        <f t="shared" si="105"/>
        <v>#DIV/0!</v>
      </c>
      <c r="J255" s="873" t="e">
        <f t="shared" si="105"/>
        <v>#DIV/0!</v>
      </c>
      <c r="K255" s="873">
        <f t="shared" si="105"/>
        <v>0</v>
      </c>
      <c r="L255" s="933">
        <f t="shared" si="105"/>
        <v>0</v>
      </c>
      <c r="N255"/>
      <c r="O255"/>
      <c r="P255"/>
      <c r="Q255"/>
      <c r="R255"/>
      <c r="S255"/>
      <c r="T255"/>
      <c r="U255"/>
      <c r="V255"/>
      <c r="W255"/>
      <c r="X255"/>
      <c r="Y255"/>
      <c r="Z255"/>
      <c r="AA255"/>
      <c r="AB255"/>
      <c r="AC255"/>
      <c r="AD255"/>
      <c r="AE255"/>
      <c r="AF255"/>
      <c r="AG255"/>
      <c r="AH255"/>
      <c r="AI255"/>
      <c r="AJ255"/>
      <c r="AK255"/>
      <c r="AL255"/>
      <c r="AM255"/>
      <c r="AN255"/>
      <c r="AO255"/>
    </row>
    <row r="256" spans="1:41" ht="15" customHeight="1">
      <c r="A256" t="str">
        <f>IF(D256="","*","")</f>
        <v/>
      </c>
      <c r="B256" s="894">
        <f>B255+1</f>
        <v>2</v>
      </c>
      <c r="C256" s="19"/>
      <c r="D256" s="861" t="str">
        <f>IF(NumLanes&lt;B256,"","Lane "&amp;B256)</f>
        <v>Lane 2</v>
      </c>
      <c r="E256" s="873">
        <f t="shared" si="105"/>
        <v>-32</v>
      </c>
      <c r="F256" s="873">
        <f t="shared" si="105"/>
        <v>0</v>
      </c>
      <c r="G256" s="873" t="e">
        <f t="shared" si="105"/>
        <v>#DIV/0!</v>
      </c>
      <c r="H256" s="873" t="e">
        <f t="shared" si="105"/>
        <v>#DIV/0!</v>
      </c>
      <c r="I256" s="873" t="e">
        <f t="shared" si="105"/>
        <v>#DIV/0!</v>
      </c>
      <c r="J256" s="873" t="e">
        <f t="shared" si="105"/>
        <v>#DIV/0!</v>
      </c>
      <c r="K256" s="873">
        <f t="shared" si="105"/>
        <v>0</v>
      </c>
      <c r="L256" s="934">
        <f t="shared" si="105"/>
        <v>0</v>
      </c>
      <c r="N256"/>
      <c r="O256"/>
      <c r="P256"/>
      <c r="Q256"/>
      <c r="R256"/>
      <c r="S256"/>
      <c r="T256"/>
      <c r="U256"/>
      <c r="V256"/>
      <c r="W256"/>
      <c r="X256"/>
      <c r="Y256"/>
      <c r="Z256"/>
      <c r="AA256"/>
      <c r="AB256"/>
      <c r="AC256"/>
      <c r="AD256"/>
      <c r="AE256"/>
      <c r="AF256"/>
      <c r="AG256"/>
      <c r="AH256"/>
      <c r="AI256"/>
      <c r="AJ256"/>
      <c r="AK256"/>
      <c r="AL256"/>
      <c r="AM256"/>
      <c r="AN256"/>
      <c r="AO256"/>
    </row>
    <row r="257" spans="1:41" ht="15" customHeight="1">
      <c r="A257" t="str">
        <f>IF(D257="","*","")</f>
        <v/>
      </c>
      <c r="B257" s="894">
        <f>B256+1</f>
        <v>3</v>
      </c>
      <c r="C257" s="19"/>
      <c r="D257" s="861" t="str">
        <f>IF(NumLanes&lt;B257,"","Lane "&amp;B257)</f>
        <v>Lane 3</v>
      </c>
      <c r="E257" s="873">
        <f t="shared" si="105"/>
        <v>0</v>
      </c>
      <c r="F257" s="873">
        <f t="shared" si="105"/>
        <v>0</v>
      </c>
      <c r="G257" s="873" t="e">
        <f t="shared" si="105"/>
        <v>#DIV/0!</v>
      </c>
      <c r="H257" s="873" t="e">
        <f t="shared" si="105"/>
        <v>#DIV/0!</v>
      </c>
      <c r="I257" s="873" t="e">
        <f t="shared" si="105"/>
        <v>#DIV/0!</v>
      </c>
      <c r="J257" s="873" t="e">
        <f t="shared" si="105"/>
        <v>#DIV/0!</v>
      </c>
      <c r="K257" s="873">
        <f t="shared" si="105"/>
        <v>-32</v>
      </c>
      <c r="L257" s="934">
        <f t="shared" si="105"/>
        <v>0</v>
      </c>
      <c r="N257"/>
      <c r="O257"/>
      <c r="P257"/>
      <c r="Q257"/>
      <c r="R257"/>
      <c r="S257"/>
      <c r="T257"/>
      <c r="U257"/>
      <c r="V257"/>
      <c r="W257"/>
      <c r="X257"/>
      <c r="Y257"/>
      <c r="Z257"/>
      <c r="AA257"/>
      <c r="AB257"/>
      <c r="AC257"/>
      <c r="AD257"/>
      <c r="AE257"/>
      <c r="AF257"/>
      <c r="AG257"/>
      <c r="AH257"/>
      <c r="AI257"/>
      <c r="AJ257"/>
      <c r="AK257"/>
      <c r="AL257"/>
      <c r="AM257"/>
      <c r="AN257"/>
      <c r="AO257"/>
    </row>
    <row r="258" spans="1:41" ht="15" customHeight="1" thickBot="1">
      <c r="A258" t="str">
        <f>IF(D258="","*","")</f>
        <v/>
      </c>
      <c r="B258" s="894">
        <f>B257+1</f>
        <v>4</v>
      </c>
      <c r="C258" s="924"/>
      <c r="D258" s="917" t="str">
        <f>IF(NumLanes&lt;B258,"","Lane "&amp;B258)</f>
        <v>Lane 4</v>
      </c>
      <c r="E258" s="873">
        <f t="shared" si="105"/>
        <v>0</v>
      </c>
      <c r="F258" s="873">
        <f t="shared" si="105"/>
        <v>0</v>
      </c>
      <c r="G258" s="873" t="e">
        <f t="shared" si="105"/>
        <v>#DIV/0!</v>
      </c>
      <c r="H258" s="873" t="e">
        <f t="shared" si="105"/>
        <v>#DIV/0!</v>
      </c>
      <c r="I258" s="873" t="e">
        <f t="shared" si="105"/>
        <v>#DIV/0!</v>
      </c>
      <c r="J258" s="873" t="e">
        <f t="shared" si="105"/>
        <v>#DIV/0!</v>
      </c>
      <c r="K258" s="873">
        <f t="shared" si="105"/>
        <v>-32</v>
      </c>
      <c r="L258" s="934">
        <f t="shared" si="105"/>
        <v>0</v>
      </c>
      <c r="N258"/>
      <c r="O258"/>
      <c r="P258"/>
      <c r="Q258"/>
      <c r="R258"/>
      <c r="S258"/>
      <c r="T258"/>
      <c r="U258"/>
      <c r="V258"/>
      <c r="W258"/>
      <c r="X258"/>
      <c r="Y258"/>
      <c r="Z258"/>
      <c r="AA258"/>
      <c r="AB258"/>
      <c r="AC258"/>
      <c r="AD258"/>
      <c r="AE258"/>
      <c r="AF258"/>
      <c r="AG258"/>
      <c r="AH258"/>
      <c r="AI258"/>
      <c r="AJ258"/>
      <c r="AK258"/>
      <c r="AL258"/>
      <c r="AM258"/>
      <c r="AN258"/>
      <c r="AO258"/>
    </row>
    <row r="259" spans="1:41" ht="15" customHeight="1" thickTop="1">
      <c r="B259" s="894"/>
      <c r="C259" s="925"/>
      <c r="D259" s="919" t="s">
        <v>1009</v>
      </c>
      <c r="E259" s="945" t="s">
        <v>997</v>
      </c>
      <c r="F259" s="946" t="s">
        <v>1008</v>
      </c>
      <c r="G259" s="945" t="s">
        <v>997</v>
      </c>
      <c r="H259" s="946" t="s">
        <v>1008</v>
      </c>
      <c r="I259" s="945" t="s">
        <v>997</v>
      </c>
      <c r="J259" s="946" t="s">
        <v>1008</v>
      </c>
      <c r="K259" s="945" t="s">
        <v>997</v>
      </c>
      <c r="L259" s="946" t="s">
        <v>1008</v>
      </c>
      <c r="N259"/>
      <c r="O259"/>
      <c r="P259"/>
      <c r="Q259"/>
      <c r="R259"/>
      <c r="S259"/>
      <c r="T259"/>
      <c r="U259"/>
      <c r="V259"/>
      <c r="W259"/>
      <c r="X259"/>
      <c r="Y259"/>
      <c r="Z259"/>
      <c r="AA259"/>
      <c r="AB259"/>
      <c r="AC259"/>
      <c r="AD259"/>
      <c r="AE259"/>
      <c r="AF259"/>
      <c r="AG259"/>
      <c r="AH259"/>
      <c r="AI259"/>
      <c r="AJ259"/>
      <c r="AK259"/>
      <c r="AL259"/>
      <c r="AM259"/>
      <c r="AN259"/>
      <c r="AO259"/>
    </row>
    <row r="260" spans="1:41" ht="15" customHeight="1">
      <c r="A260" t="str">
        <f>IF(D260="","*","")</f>
        <v/>
      </c>
      <c r="B260" s="894">
        <v>1</v>
      </c>
      <c r="C260" s="19"/>
      <c r="D260" s="861" t="str">
        <f>D255</f>
        <v>Lane 1</v>
      </c>
      <c r="E260" s="873">
        <f t="shared" ref="E260:L263" si="106">IF($D260="","",E224*$H$250)</f>
        <v>105.54666666666665</v>
      </c>
      <c r="F260" s="873">
        <f t="shared" si="106"/>
        <v>22.158399999999997</v>
      </c>
      <c r="G260" s="873" t="e">
        <f t="shared" si="106"/>
        <v>#DIV/0!</v>
      </c>
      <c r="H260" s="873" t="e">
        <f t="shared" si="106"/>
        <v>#DIV/0!</v>
      </c>
      <c r="I260" s="873" t="e">
        <f t="shared" si="106"/>
        <v>#DIV/0!</v>
      </c>
      <c r="J260" s="873" t="e">
        <f t="shared" si="106"/>
        <v>#DIV/0!</v>
      </c>
      <c r="K260" s="873">
        <f t="shared" si="106"/>
        <v>0</v>
      </c>
      <c r="L260" s="934">
        <f t="shared" si="106"/>
        <v>0</v>
      </c>
      <c r="N260"/>
      <c r="O260"/>
      <c r="P260"/>
      <c r="Q260"/>
      <c r="R260"/>
      <c r="S260"/>
      <c r="T260"/>
      <c r="U260"/>
      <c r="V260"/>
      <c r="W260"/>
      <c r="X260"/>
      <c r="Y260"/>
      <c r="Z260"/>
      <c r="AA260"/>
      <c r="AB260"/>
      <c r="AC260"/>
      <c r="AD260"/>
      <c r="AE260"/>
      <c r="AF260"/>
      <c r="AG260"/>
      <c r="AH260"/>
      <c r="AI260"/>
      <c r="AJ260"/>
      <c r="AK260"/>
      <c r="AL260"/>
      <c r="AM260"/>
      <c r="AN260"/>
      <c r="AO260"/>
    </row>
    <row r="261" spans="1:41" ht="15" customHeight="1">
      <c r="A261" t="str">
        <f>IF(D261="","*","")</f>
        <v/>
      </c>
      <c r="B261" s="894">
        <f>B260+1</f>
        <v>2</v>
      </c>
      <c r="C261" s="19"/>
      <c r="D261" s="861" t="str">
        <f>D256</f>
        <v>Lane 2</v>
      </c>
      <c r="E261" s="873">
        <f t="shared" si="106"/>
        <v>105.54666666666665</v>
      </c>
      <c r="F261" s="873">
        <f t="shared" si="106"/>
        <v>22.158399999999997</v>
      </c>
      <c r="G261" s="873" t="e">
        <f t="shared" si="106"/>
        <v>#DIV/0!</v>
      </c>
      <c r="H261" s="873" t="e">
        <f t="shared" si="106"/>
        <v>#DIV/0!</v>
      </c>
      <c r="I261" s="873" t="e">
        <f t="shared" si="106"/>
        <v>#DIV/0!</v>
      </c>
      <c r="J261" s="873" t="e">
        <f t="shared" si="106"/>
        <v>#DIV/0!</v>
      </c>
      <c r="K261" s="873">
        <f t="shared" si="106"/>
        <v>0</v>
      </c>
      <c r="L261" s="934">
        <f t="shared" si="106"/>
        <v>0</v>
      </c>
      <c r="N261"/>
      <c r="O261"/>
      <c r="P261"/>
      <c r="Q261"/>
      <c r="R261"/>
      <c r="S261"/>
      <c r="T261"/>
      <c r="U261"/>
      <c r="V261"/>
      <c r="W261"/>
      <c r="X261"/>
      <c r="Y261"/>
      <c r="Z261"/>
      <c r="AA261"/>
      <c r="AB261"/>
      <c r="AC261"/>
      <c r="AD261"/>
      <c r="AE261"/>
      <c r="AF261"/>
      <c r="AG261"/>
      <c r="AH261"/>
      <c r="AI261"/>
      <c r="AJ261"/>
      <c r="AK261"/>
      <c r="AL261"/>
      <c r="AM261"/>
      <c r="AN261"/>
      <c r="AO261"/>
    </row>
    <row r="262" spans="1:41" ht="15" customHeight="1">
      <c r="A262" t="str">
        <f>IF(D262="","*","")</f>
        <v/>
      </c>
      <c r="B262" s="894">
        <f>B261+1</f>
        <v>3</v>
      </c>
      <c r="C262" s="19"/>
      <c r="D262" s="861" t="str">
        <f>D257</f>
        <v>Lane 3</v>
      </c>
      <c r="E262" s="873">
        <f t="shared" si="106"/>
        <v>0</v>
      </c>
      <c r="F262" s="873">
        <f t="shared" si="106"/>
        <v>0</v>
      </c>
      <c r="G262" s="873" t="e">
        <f t="shared" si="106"/>
        <v>#DIV/0!</v>
      </c>
      <c r="H262" s="873" t="e">
        <f t="shared" si="106"/>
        <v>#DIV/0!</v>
      </c>
      <c r="I262" s="873" t="e">
        <f t="shared" si="106"/>
        <v>#DIV/0!</v>
      </c>
      <c r="J262" s="873" t="e">
        <f t="shared" si="106"/>
        <v>#DIV/0!</v>
      </c>
      <c r="K262" s="873">
        <f t="shared" si="106"/>
        <v>105.54666666666665</v>
      </c>
      <c r="L262" s="934">
        <f t="shared" si="106"/>
        <v>22.158399999999997</v>
      </c>
      <c r="N262"/>
      <c r="O262"/>
      <c r="P262"/>
      <c r="Q262"/>
      <c r="R262"/>
      <c r="S262"/>
      <c r="T262"/>
      <c r="U262"/>
      <c r="V262"/>
      <c r="W262"/>
      <c r="X262"/>
      <c r="Y262"/>
      <c r="Z262"/>
      <c r="AA262"/>
      <c r="AB262"/>
      <c r="AC262"/>
      <c r="AD262"/>
      <c r="AE262"/>
      <c r="AF262"/>
      <c r="AG262"/>
      <c r="AH262"/>
      <c r="AI262"/>
      <c r="AJ262"/>
      <c r="AK262"/>
      <c r="AL262"/>
      <c r="AM262"/>
      <c r="AN262"/>
      <c r="AO262"/>
    </row>
    <row r="263" spans="1:41" ht="15" customHeight="1">
      <c r="A263" t="str">
        <f>IF(D263="","*","")</f>
        <v/>
      </c>
      <c r="B263" s="894">
        <f>B262+1</f>
        <v>4</v>
      </c>
      <c r="C263" s="926"/>
      <c r="D263" s="927" t="str">
        <f>D258</f>
        <v>Lane 4</v>
      </c>
      <c r="E263" s="874">
        <f t="shared" si="106"/>
        <v>0</v>
      </c>
      <c r="F263" s="874">
        <f t="shared" si="106"/>
        <v>0</v>
      </c>
      <c r="G263" s="874" t="e">
        <f t="shared" si="106"/>
        <v>#DIV/0!</v>
      </c>
      <c r="H263" s="874" t="e">
        <f t="shared" si="106"/>
        <v>#DIV/0!</v>
      </c>
      <c r="I263" s="874" t="e">
        <f t="shared" si="106"/>
        <v>#DIV/0!</v>
      </c>
      <c r="J263" s="874" t="e">
        <f t="shared" si="106"/>
        <v>#DIV/0!</v>
      </c>
      <c r="K263" s="874">
        <f t="shared" si="106"/>
        <v>105.54666666666665</v>
      </c>
      <c r="L263" s="935">
        <f t="shared" si="106"/>
        <v>22.158399999999997</v>
      </c>
      <c r="N263"/>
      <c r="O263"/>
      <c r="P263"/>
      <c r="Q263"/>
      <c r="R263"/>
      <c r="S263"/>
      <c r="T263"/>
      <c r="U263"/>
      <c r="V263"/>
      <c r="W263"/>
      <c r="X263"/>
      <c r="Y263"/>
      <c r="Z263"/>
      <c r="AA263"/>
      <c r="AB263"/>
      <c r="AC263"/>
      <c r="AD263"/>
      <c r="AE263"/>
      <c r="AF263"/>
      <c r="AG263"/>
      <c r="AH263"/>
      <c r="AI263"/>
      <c r="AJ263"/>
      <c r="AK263"/>
      <c r="AL263"/>
      <c r="AM263"/>
      <c r="AN263"/>
      <c r="AO263"/>
    </row>
    <row r="264" spans="1:41" ht="15" customHeight="1">
      <c r="B264" s="16"/>
      <c r="C264" s="854"/>
      <c r="D264" s="859" t="s">
        <v>551</v>
      </c>
      <c r="E264" s="875">
        <f>SUM(E255:E263)</f>
        <v>147.09333333333331</v>
      </c>
      <c r="F264" s="875">
        <f t="shared" ref="F264" si="107">SUM(F255:F263)</f>
        <v>44.316799999999994</v>
      </c>
      <c r="G264" s="875" t="e">
        <f>SUM(G255:G263)</f>
        <v>#DIV/0!</v>
      </c>
      <c r="H264" s="875" t="e">
        <f t="shared" ref="H264" si="108">SUM(H255:H263)</f>
        <v>#DIV/0!</v>
      </c>
      <c r="I264" s="875" t="e">
        <f>SUM(I255:I263)</f>
        <v>#DIV/0!</v>
      </c>
      <c r="J264" s="875" t="e">
        <f>SUM(J255:J263)</f>
        <v>#DIV/0!</v>
      </c>
      <c r="K264" s="875">
        <f>SUM(K255:K263)</f>
        <v>147.09333333333331</v>
      </c>
      <c r="L264" s="875">
        <f t="shared" ref="L264" si="109">SUM(L255:L263)</f>
        <v>44.316799999999994</v>
      </c>
      <c r="N264"/>
      <c r="O264"/>
      <c r="P264"/>
      <c r="Q264"/>
      <c r="R264"/>
      <c r="S264"/>
      <c r="T264"/>
      <c r="U264"/>
      <c r="V264"/>
      <c r="W264"/>
      <c r="X264"/>
      <c r="Y264"/>
      <c r="Z264"/>
      <c r="AA264"/>
      <c r="AB264"/>
      <c r="AC264"/>
      <c r="AD264"/>
      <c r="AE264"/>
      <c r="AF264"/>
      <c r="AG264"/>
      <c r="AH264"/>
      <c r="AI264"/>
      <c r="AJ264"/>
      <c r="AK264"/>
      <c r="AL264"/>
      <c r="AM264"/>
      <c r="AN264"/>
      <c r="AO264"/>
    </row>
    <row r="265" spans="1:41" ht="15" customHeight="1">
      <c r="B265" s="16"/>
      <c r="C265" s="18"/>
      <c r="D265" s="860"/>
      <c r="E265" s="885"/>
      <c r="F265" s="885"/>
      <c r="G265" s="885"/>
      <c r="H265" s="885"/>
      <c r="I265" s="885"/>
      <c r="J265" s="885"/>
      <c r="K265" s="885"/>
      <c r="L265" s="885"/>
      <c r="N265"/>
      <c r="O265"/>
      <c r="P265"/>
      <c r="Q265"/>
      <c r="R265"/>
      <c r="S265"/>
      <c r="T265"/>
      <c r="U265"/>
      <c r="V265"/>
      <c r="W265"/>
      <c r="X265"/>
      <c r="Y265"/>
      <c r="Z265"/>
      <c r="AA265"/>
      <c r="AB265"/>
      <c r="AC265"/>
      <c r="AD265"/>
      <c r="AE265"/>
      <c r="AF265"/>
      <c r="AG265"/>
      <c r="AH265"/>
      <c r="AI265"/>
      <c r="AJ265"/>
      <c r="AK265"/>
      <c r="AL265"/>
      <c r="AM265"/>
      <c r="AN265"/>
      <c r="AO265"/>
    </row>
    <row r="266" spans="1:41" ht="15" customHeight="1">
      <c r="B266" s="16"/>
      <c r="C266" s="18"/>
      <c r="D266" s="860"/>
      <c r="E266" s="1656" t="s">
        <v>1643</v>
      </c>
      <c r="F266" s="1656"/>
      <c r="G266" s="1656"/>
      <c r="H266" s="1656"/>
      <c r="I266" s="1656"/>
      <c r="J266" s="1656"/>
      <c r="K266" s="1656"/>
      <c r="L266" s="1656"/>
      <c r="N266"/>
      <c r="O266"/>
      <c r="P266"/>
      <c r="Q266"/>
      <c r="R266"/>
      <c r="S266"/>
      <c r="T266"/>
      <c r="U266"/>
      <c r="V266"/>
      <c r="W266"/>
      <c r="X266"/>
      <c r="Y266"/>
      <c r="Z266"/>
      <c r="AA266"/>
      <c r="AB266"/>
      <c r="AC266"/>
      <c r="AD266"/>
      <c r="AE266"/>
      <c r="AF266"/>
      <c r="AG266"/>
      <c r="AH266"/>
      <c r="AI266"/>
      <c r="AJ266"/>
      <c r="AK266"/>
      <c r="AL266"/>
      <c r="AM266"/>
      <c r="AN266"/>
      <c r="AO266"/>
    </row>
    <row r="267" spans="1:41" ht="15" customHeight="1">
      <c r="B267" s="16"/>
      <c r="C267" s="18"/>
      <c r="D267" s="860"/>
      <c r="E267" s="1660" t="s">
        <v>1639</v>
      </c>
      <c r="F267" s="1661"/>
      <c r="G267" s="1660" t="s">
        <v>1640</v>
      </c>
      <c r="H267" s="1661"/>
      <c r="I267" s="1662" t="s">
        <v>1641</v>
      </c>
      <c r="J267" s="1663"/>
      <c r="K267" s="1662" t="s">
        <v>1644</v>
      </c>
      <c r="L267" s="1663"/>
      <c r="N267"/>
      <c r="O267"/>
      <c r="P267"/>
      <c r="Q267"/>
      <c r="R267"/>
      <c r="S267"/>
      <c r="T267"/>
      <c r="U267"/>
      <c r="V267"/>
      <c r="W267"/>
      <c r="X267"/>
      <c r="Y267"/>
      <c r="Z267"/>
      <c r="AA267"/>
      <c r="AB267"/>
      <c r="AC267"/>
      <c r="AD267"/>
      <c r="AE267"/>
      <c r="AF267"/>
      <c r="AG267"/>
      <c r="AH267"/>
      <c r="AI267"/>
      <c r="AJ267"/>
      <c r="AK267"/>
      <c r="AL267"/>
      <c r="AM267"/>
      <c r="AN267"/>
      <c r="AO267"/>
    </row>
    <row r="268" spans="1:41" ht="15" customHeight="1">
      <c r="B268" s="16"/>
      <c r="C268" s="923"/>
      <c r="D268" s="891" t="s">
        <v>1012</v>
      </c>
      <c r="E268" s="869" t="s">
        <v>997</v>
      </c>
      <c r="F268" s="903" t="s">
        <v>1008</v>
      </c>
      <c r="G268" s="869" t="s">
        <v>997</v>
      </c>
      <c r="H268" s="903" t="s">
        <v>1008</v>
      </c>
      <c r="I268" s="869" t="s">
        <v>997</v>
      </c>
      <c r="J268" s="903" t="s">
        <v>1008</v>
      </c>
      <c r="K268" s="869" t="s">
        <v>997</v>
      </c>
      <c r="L268" s="903" t="s">
        <v>1008</v>
      </c>
      <c r="N268"/>
      <c r="O268"/>
      <c r="P268"/>
      <c r="Q268"/>
      <c r="R268"/>
      <c r="S268"/>
      <c r="T268"/>
      <c r="U268"/>
      <c r="V268"/>
      <c r="W268"/>
      <c r="X268"/>
      <c r="Y268"/>
      <c r="Z268"/>
      <c r="AA268"/>
      <c r="AB268"/>
      <c r="AC268"/>
      <c r="AD268"/>
      <c r="AE268"/>
      <c r="AF268"/>
      <c r="AG268"/>
      <c r="AH268"/>
      <c r="AI268"/>
      <c r="AJ268"/>
      <c r="AK268"/>
      <c r="AL268"/>
      <c r="AM268"/>
      <c r="AN268"/>
      <c r="AO268"/>
    </row>
    <row r="269" spans="1:41" ht="15" customHeight="1">
      <c r="A269" t="str">
        <f>IF(D269="","*","")</f>
        <v/>
      </c>
      <c r="B269" s="894">
        <v>1</v>
      </c>
      <c r="C269" s="19"/>
      <c r="D269" s="861" t="s">
        <v>882</v>
      </c>
      <c r="E269" s="873">
        <f t="shared" ref="E269:L272" si="110">IF($D269="","",-E233*$H$250)</f>
        <v>0</v>
      </c>
      <c r="F269" s="873">
        <f t="shared" si="110"/>
        <v>0</v>
      </c>
      <c r="G269" s="873" t="e">
        <f t="shared" si="110"/>
        <v>#DIV/0!</v>
      </c>
      <c r="H269" s="873" t="e">
        <f t="shared" si="110"/>
        <v>#DIV/0!</v>
      </c>
      <c r="I269" s="873" t="e">
        <f t="shared" si="110"/>
        <v>#DIV/0!</v>
      </c>
      <c r="J269" s="873" t="e">
        <f t="shared" si="110"/>
        <v>#DIV/0!</v>
      </c>
      <c r="K269" s="873">
        <f t="shared" si="110"/>
        <v>0</v>
      </c>
      <c r="L269" s="933">
        <f t="shared" si="110"/>
        <v>0</v>
      </c>
      <c r="N269"/>
      <c r="O269"/>
      <c r="P269"/>
      <c r="Q269"/>
      <c r="R269"/>
      <c r="S269"/>
      <c r="T269"/>
      <c r="U269"/>
      <c r="V269"/>
      <c r="W269"/>
      <c r="X269"/>
      <c r="Y269"/>
      <c r="Z269"/>
      <c r="AA269"/>
      <c r="AB269"/>
      <c r="AC269"/>
      <c r="AD269"/>
      <c r="AE269"/>
      <c r="AF269"/>
      <c r="AG269"/>
      <c r="AH269"/>
      <c r="AI269"/>
      <c r="AJ269"/>
      <c r="AK269"/>
      <c r="AL269"/>
      <c r="AM269"/>
      <c r="AN269"/>
      <c r="AO269"/>
    </row>
    <row r="270" spans="1:41" ht="15" customHeight="1">
      <c r="A270" t="str">
        <f>IF(D270="","*","")</f>
        <v/>
      </c>
      <c r="B270" s="894">
        <f>B269+1</f>
        <v>2</v>
      </c>
      <c r="C270" s="19"/>
      <c r="D270" s="861" t="str">
        <f>IF(NumLanes&lt;B270,"","Lane "&amp;B270)</f>
        <v>Lane 2</v>
      </c>
      <c r="E270" s="873">
        <f t="shared" si="110"/>
        <v>0</v>
      </c>
      <c r="F270" s="873">
        <f t="shared" si="110"/>
        <v>0</v>
      </c>
      <c r="G270" s="873" t="e">
        <f t="shared" si="110"/>
        <v>#DIV/0!</v>
      </c>
      <c r="H270" s="873" t="e">
        <f t="shared" si="110"/>
        <v>#DIV/0!</v>
      </c>
      <c r="I270" s="873" t="e">
        <f t="shared" si="110"/>
        <v>#DIV/0!</v>
      </c>
      <c r="J270" s="873" t="e">
        <f t="shared" si="110"/>
        <v>#DIV/0!</v>
      </c>
      <c r="K270" s="873">
        <f t="shared" si="110"/>
        <v>0</v>
      </c>
      <c r="L270" s="934">
        <f t="shared" si="110"/>
        <v>0</v>
      </c>
      <c r="N270"/>
      <c r="O270"/>
      <c r="P270"/>
      <c r="Q270"/>
      <c r="R270"/>
      <c r="S270"/>
      <c r="T270"/>
      <c r="U270"/>
      <c r="V270"/>
      <c r="W270"/>
      <c r="X270"/>
      <c r="Y270"/>
      <c r="Z270"/>
      <c r="AA270"/>
      <c r="AB270"/>
      <c r="AC270"/>
      <c r="AD270"/>
      <c r="AE270"/>
      <c r="AF270"/>
      <c r="AG270"/>
      <c r="AH270"/>
      <c r="AI270"/>
      <c r="AJ270"/>
      <c r="AK270"/>
      <c r="AL270"/>
      <c r="AM270"/>
      <c r="AN270"/>
      <c r="AO270"/>
    </row>
    <row r="271" spans="1:41" ht="15" customHeight="1">
      <c r="A271" t="str">
        <f>IF(D271="","*","")</f>
        <v/>
      </c>
      <c r="B271" s="894">
        <f>B270+1</f>
        <v>3</v>
      </c>
      <c r="C271" s="19"/>
      <c r="D271" s="861" t="str">
        <f>IF(NumLanes&lt;B271,"","Lane "&amp;B271)</f>
        <v>Lane 3</v>
      </c>
      <c r="E271" s="873">
        <f t="shared" si="110"/>
        <v>0</v>
      </c>
      <c r="F271" s="873">
        <f t="shared" si="110"/>
        <v>0</v>
      </c>
      <c r="G271" s="873" t="e">
        <f t="shared" si="110"/>
        <v>#DIV/0!</v>
      </c>
      <c r="H271" s="873" t="e">
        <f t="shared" si="110"/>
        <v>#DIV/0!</v>
      </c>
      <c r="I271" s="873" t="e">
        <f t="shared" si="110"/>
        <v>#DIV/0!</v>
      </c>
      <c r="J271" s="873" t="e">
        <f t="shared" si="110"/>
        <v>#DIV/0!</v>
      </c>
      <c r="K271" s="873">
        <f t="shared" si="110"/>
        <v>0</v>
      </c>
      <c r="L271" s="934">
        <f t="shared" si="110"/>
        <v>0</v>
      </c>
      <c r="N271"/>
      <c r="O271"/>
      <c r="P271"/>
      <c r="Q271"/>
      <c r="R271"/>
      <c r="S271"/>
      <c r="T271"/>
      <c r="U271"/>
      <c r="V271"/>
      <c r="W271"/>
      <c r="X271"/>
      <c r="Y271"/>
      <c r="Z271"/>
      <c r="AA271"/>
      <c r="AB271"/>
      <c r="AC271"/>
      <c r="AD271"/>
      <c r="AE271"/>
      <c r="AF271"/>
      <c r="AG271"/>
      <c r="AH271"/>
      <c r="AI271"/>
      <c r="AJ271"/>
      <c r="AK271"/>
      <c r="AL271"/>
      <c r="AM271"/>
      <c r="AN271"/>
      <c r="AO271"/>
    </row>
    <row r="272" spans="1:41" ht="15" customHeight="1" thickBot="1">
      <c r="A272" t="str">
        <f>IF(D272="","*","")</f>
        <v/>
      </c>
      <c r="B272" s="894">
        <f>B271+1</f>
        <v>4</v>
      </c>
      <c r="C272" s="924"/>
      <c r="D272" s="917" t="str">
        <f>IF(NumLanes&lt;B272,"","Lane "&amp;B272)</f>
        <v>Lane 4</v>
      </c>
      <c r="E272" s="873">
        <f t="shared" si="110"/>
        <v>0</v>
      </c>
      <c r="F272" s="873">
        <f t="shared" si="110"/>
        <v>0</v>
      </c>
      <c r="G272" s="873" t="e">
        <f t="shared" si="110"/>
        <v>#DIV/0!</v>
      </c>
      <c r="H272" s="873" t="e">
        <f t="shared" si="110"/>
        <v>#DIV/0!</v>
      </c>
      <c r="I272" s="873" t="e">
        <f t="shared" si="110"/>
        <v>#DIV/0!</v>
      </c>
      <c r="J272" s="873" t="e">
        <f t="shared" si="110"/>
        <v>#DIV/0!</v>
      </c>
      <c r="K272" s="873">
        <f t="shared" si="110"/>
        <v>0</v>
      </c>
      <c r="L272" s="934">
        <f t="shared" si="110"/>
        <v>0</v>
      </c>
      <c r="N272"/>
      <c r="O272"/>
      <c r="P272"/>
      <c r="Q272"/>
      <c r="R272"/>
      <c r="S272"/>
      <c r="T272"/>
      <c r="U272"/>
      <c r="V272"/>
      <c r="W272"/>
      <c r="X272"/>
      <c r="Y272"/>
      <c r="Z272"/>
      <c r="AA272"/>
      <c r="AB272"/>
      <c r="AC272"/>
      <c r="AD272"/>
      <c r="AE272"/>
      <c r="AF272"/>
      <c r="AG272"/>
      <c r="AH272"/>
      <c r="AI272"/>
      <c r="AJ272"/>
      <c r="AK272"/>
      <c r="AL272"/>
      <c r="AM272"/>
      <c r="AN272"/>
      <c r="AO272"/>
    </row>
    <row r="273" spans="1:41" ht="15" customHeight="1" thickTop="1">
      <c r="B273" s="894"/>
      <c r="C273" s="925"/>
      <c r="D273" s="919" t="s">
        <v>1009</v>
      </c>
      <c r="E273" s="945" t="s">
        <v>997</v>
      </c>
      <c r="F273" s="946" t="s">
        <v>1008</v>
      </c>
      <c r="G273" s="945" t="s">
        <v>997</v>
      </c>
      <c r="H273" s="946" t="s">
        <v>1008</v>
      </c>
      <c r="I273" s="945" t="s">
        <v>997</v>
      </c>
      <c r="J273" s="946" t="s">
        <v>1008</v>
      </c>
      <c r="K273" s="945" t="s">
        <v>997</v>
      </c>
      <c r="L273" s="946" t="s">
        <v>1008</v>
      </c>
      <c r="N273"/>
      <c r="O273"/>
      <c r="P273"/>
      <c r="Q273"/>
      <c r="R273"/>
      <c r="S273"/>
      <c r="T273"/>
      <c r="U273"/>
      <c r="V273"/>
      <c r="W273"/>
      <c r="X273"/>
      <c r="Y273"/>
      <c r="Z273"/>
      <c r="AA273"/>
      <c r="AB273"/>
      <c r="AC273"/>
      <c r="AD273"/>
      <c r="AE273"/>
      <c r="AF273"/>
      <c r="AG273"/>
      <c r="AH273"/>
      <c r="AI273"/>
      <c r="AJ273"/>
      <c r="AK273"/>
      <c r="AL273"/>
      <c r="AM273"/>
      <c r="AN273"/>
      <c r="AO273"/>
    </row>
    <row r="274" spans="1:41" ht="15" customHeight="1">
      <c r="A274" t="str">
        <f>IF(D274="","*","")</f>
        <v/>
      </c>
      <c r="B274" s="894">
        <v>1</v>
      </c>
      <c r="C274" s="19"/>
      <c r="D274" s="861" t="str">
        <f>D269</f>
        <v>Lane 1</v>
      </c>
      <c r="E274" s="873">
        <f t="shared" ref="E274:L277" si="111">IF($D274="","",E238*$H$250)</f>
        <v>104.80000000000001</v>
      </c>
      <c r="F274" s="873">
        <f t="shared" si="111"/>
        <v>21.912000000000003</v>
      </c>
      <c r="G274" s="873" t="e">
        <f t="shared" si="111"/>
        <v>#DIV/0!</v>
      </c>
      <c r="H274" s="873" t="e">
        <f t="shared" si="111"/>
        <v>#DIV/0!</v>
      </c>
      <c r="I274" s="873" t="e">
        <f t="shared" si="111"/>
        <v>#DIV/0!</v>
      </c>
      <c r="J274" s="873" t="e">
        <f t="shared" si="111"/>
        <v>#DIV/0!</v>
      </c>
      <c r="K274" s="873">
        <f t="shared" si="111"/>
        <v>0</v>
      </c>
      <c r="L274" s="934">
        <f t="shared" si="111"/>
        <v>0</v>
      </c>
      <c r="N274"/>
      <c r="O274"/>
      <c r="P274"/>
      <c r="Q274"/>
      <c r="R274"/>
      <c r="S274"/>
      <c r="T274"/>
      <c r="U274"/>
      <c r="V274"/>
      <c r="W274"/>
      <c r="X274"/>
      <c r="Y274"/>
      <c r="Z274"/>
      <c r="AA274"/>
      <c r="AB274"/>
      <c r="AC274"/>
      <c r="AD274"/>
      <c r="AE274"/>
      <c r="AF274"/>
      <c r="AG274"/>
      <c r="AH274"/>
      <c r="AI274"/>
      <c r="AJ274"/>
      <c r="AK274"/>
      <c r="AL274"/>
      <c r="AM274"/>
      <c r="AN274"/>
      <c r="AO274"/>
    </row>
    <row r="275" spans="1:41" ht="15" customHeight="1">
      <c r="A275" t="str">
        <f>IF(D275="","*","")</f>
        <v/>
      </c>
      <c r="B275" s="894">
        <f>B274+1</f>
        <v>2</v>
      </c>
      <c r="C275" s="19"/>
      <c r="D275" s="861" t="str">
        <f>D270</f>
        <v>Lane 2</v>
      </c>
      <c r="E275" s="873">
        <f t="shared" si="111"/>
        <v>104.80000000000001</v>
      </c>
      <c r="F275" s="873">
        <f t="shared" si="111"/>
        <v>21.912000000000003</v>
      </c>
      <c r="G275" s="873" t="e">
        <f t="shared" si="111"/>
        <v>#DIV/0!</v>
      </c>
      <c r="H275" s="873" t="e">
        <f t="shared" si="111"/>
        <v>#DIV/0!</v>
      </c>
      <c r="I275" s="873" t="e">
        <f t="shared" si="111"/>
        <v>#DIV/0!</v>
      </c>
      <c r="J275" s="873" t="e">
        <f t="shared" si="111"/>
        <v>#DIV/0!</v>
      </c>
      <c r="K275" s="873">
        <f t="shared" si="111"/>
        <v>0</v>
      </c>
      <c r="L275" s="934">
        <f t="shared" si="111"/>
        <v>0</v>
      </c>
      <c r="N275"/>
      <c r="O275"/>
      <c r="P275"/>
      <c r="Q275"/>
      <c r="R275"/>
      <c r="S275"/>
      <c r="T275"/>
      <c r="U275"/>
      <c r="V275"/>
      <c r="W275"/>
      <c r="X275"/>
      <c r="Y275"/>
      <c r="Z275"/>
      <c r="AA275"/>
      <c r="AB275"/>
      <c r="AC275"/>
      <c r="AD275"/>
      <c r="AE275"/>
      <c r="AF275"/>
      <c r="AG275"/>
      <c r="AH275"/>
      <c r="AI275"/>
      <c r="AJ275"/>
      <c r="AK275"/>
      <c r="AL275"/>
      <c r="AM275"/>
      <c r="AN275"/>
      <c r="AO275"/>
    </row>
    <row r="276" spans="1:41" ht="15" customHeight="1">
      <c r="A276" t="str">
        <f>IF(D276="","*","")</f>
        <v/>
      </c>
      <c r="B276" s="894">
        <f>B275+1</f>
        <v>3</v>
      </c>
      <c r="C276" s="19"/>
      <c r="D276" s="861" t="str">
        <f>D271</f>
        <v>Lane 3</v>
      </c>
      <c r="E276" s="873">
        <f t="shared" si="111"/>
        <v>0</v>
      </c>
      <c r="F276" s="873">
        <f t="shared" si="111"/>
        <v>0</v>
      </c>
      <c r="G276" s="873" t="e">
        <f t="shared" si="111"/>
        <v>#DIV/0!</v>
      </c>
      <c r="H276" s="873" t="e">
        <f t="shared" si="111"/>
        <v>#DIV/0!</v>
      </c>
      <c r="I276" s="873" t="e">
        <f t="shared" si="111"/>
        <v>#DIV/0!</v>
      </c>
      <c r="J276" s="873" t="e">
        <f t="shared" si="111"/>
        <v>#DIV/0!</v>
      </c>
      <c r="K276" s="873">
        <f t="shared" si="111"/>
        <v>104.80000000000001</v>
      </c>
      <c r="L276" s="934">
        <f t="shared" si="111"/>
        <v>21.912000000000003</v>
      </c>
      <c r="N276"/>
      <c r="O276"/>
      <c r="P276"/>
      <c r="Q276"/>
      <c r="R276"/>
      <c r="S276"/>
      <c r="T276"/>
      <c r="U276"/>
      <c r="V276"/>
      <c r="W276"/>
      <c r="X276"/>
      <c r="Y276"/>
      <c r="Z276"/>
      <c r="AA276"/>
      <c r="AB276"/>
      <c r="AC276"/>
      <c r="AD276"/>
      <c r="AE276"/>
      <c r="AF276"/>
      <c r="AG276"/>
      <c r="AH276"/>
      <c r="AI276"/>
      <c r="AJ276"/>
      <c r="AK276"/>
      <c r="AL276"/>
      <c r="AM276"/>
      <c r="AN276"/>
      <c r="AO276"/>
    </row>
    <row r="277" spans="1:41" ht="15" customHeight="1">
      <c r="A277" t="str">
        <f>IF(D277="","*","")</f>
        <v/>
      </c>
      <c r="B277" s="894">
        <f>B276+1</f>
        <v>4</v>
      </c>
      <c r="C277" s="926"/>
      <c r="D277" s="927" t="str">
        <f>D272</f>
        <v>Lane 4</v>
      </c>
      <c r="E277" s="874">
        <f t="shared" si="111"/>
        <v>0</v>
      </c>
      <c r="F277" s="874">
        <f t="shared" si="111"/>
        <v>0</v>
      </c>
      <c r="G277" s="874" t="e">
        <f t="shared" si="111"/>
        <v>#DIV/0!</v>
      </c>
      <c r="H277" s="874" t="e">
        <f t="shared" si="111"/>
        <v>#DIV/0!</v>
      </c>
      <c r="I277" s="874" t="e">
        <f t="shared" si="111"/>
        <v>#DIV/0!</v>
      </c>
      <c r="J277" s="874" t="e">
        <f t="shared" si="111"/>
        <v>#DIV/0!</v>
      </c>
      <c r="K277" s="874">
        <f t="shared" si="111"/>
        <v>104.80000000000001</v>
      </c>
      <c r="L277" s="935">
        <f t="shared" si="111"/>
        <v>21.912000000000003</v>
      </c>
      <c r="N277"/>
      <c r="O277"/>
      <c r="P277"/>
      <c r="Q277"/>
      <c r="R277"/>
      <c r="S277"/>
      <c r="T277"/>
      <c r="U277"/>
      <c r="V277"/>
      <c r="W277"/>
      <c r="X277"/>
      <c r="Y277"/>
      <c r="Z277"/>
      <c r="AA277"/>
      <c r="AB277"/>
      <c r="AC277"/>
      <c r="AD277"/>
      <c r="AE277"/>
      <c r="AF277"/>
      <c r="AG277"/>
      <c r="AH277"/>
      <c r="AI277"/>
      <c r="AJ277"/>
      <c r="AK277"/>
      <c r="AL277"/>
      <c r="AM277"/>
      <c r="AN277"/>
      <c r="AO277"/>
    </row>
    <row r="278" spans="1:41" ht="15" customHeight="1">
      <c r="A278" t="s">
        <v>670</v>
      </c>
      <c r="B278" s="16"/>
      <c r="C278" s="854"/>
      <c r="D278" s="859"/>
      <c r="E278" s="875">
        <f>SUM(E269:E277)</f>
        <v>209.60000000000002</v>
      </c>
      <c r="F278" s="875">
        <f t="shared" ref="F278" si="112">SUM(F269:F277)</f>
        <v>43.824000000000005</v>
      </c>
      <c r="G278" s="875" t="e">
        <f>SUM(G269:G277)</f>
        <v>#DIV/0!</v>
      </c>
      <c r="H278" s="875" t="e">
        <f t="shared" ref="H278" si="113">SUM(H269:H277)</f>
        <v>#DIV/0!</v>
      </c>
      <c r="I278" s="875" t="e">
        <f>SUM(I269:I277)</f>
        <v>#DIV/0!</v>
      </c>
      <c r="J278" s="875" t="e">
        <f>SUM(J269:J277)</f>
        <v>#DIV/0!</v>
      </c>
      <c r="K278" s="875">
        <f>SUM(K269:K277)</f>
        <v>209.60000000000002</v>
      </c>
      <c r="L278" s="875">
        <f t="shared" ref="L278" si="114">SUM(L269:L277)</f>
        <v>43.824000000000005</v>
      </c>
      <c r="N278"/>
      <c r="O278"/>
      <c r="P278"/>
      <c r="Q278"/>
      <c r="R278"/>
      <c r="S278"/>
      <c r="T278"/>
      <c r="U278"/>
      <c r="V278"/>
      <c r="W278"/>
      <c r="X278"/>
      <c r="Y278"/>
      <c r="Z278"/>
      <c r="AA278"/>
      <c r="AB278"/>
      <c r="AC278"/>
      <c r="AD278"/>
      <c r="AE278"/>
      <c r="AF278"/>
      <c r="AG278"/>
      <c r="AH278"/>
      <c r="AI278"/>
      <c r="AJ278"/>
      <c r="AK278"/>
      <c r="AL278"/>
      <c r="AM278"/>
      <c r="AN278"/>
      <c r="AO278"/>
    </row>
    <row r="279" spans="1:41" ht="14.25" customHeight="1">
      <c r="B279" s="16"/>
      <c r="D279" s="860"/>
      <c r="E279" s="858"/>
      <c r="F279" s="858"/>
      <c r="G279" s="858"/>
      <c r="H279" s="858"/>
      <c r="N279"/>
      <c r="O279"/>
      <c r="P279"/>
      <c r="Q279"/>
      <c r="R279"/>
      <c r="S279"/>
      <c r="T279"/>
      <c r="U279"/>
      <c r="V279"/>
      <c r="W279"/>
      <c r="X279"/>
      <c r="Y279"/>
      <c r="Z279"/>
      <c r="AA279"/>
      <c r="AB279"/>
      <c r="AC279"/>
      <c r="AD279"/>
      <c r="AE279"/>
      <c r="AF279"/>
      <c r="AG279"/>
      <c r="AH279"/>
      <c r="AI279"/>
      <c r="AJ279"/>
      <c r="AK279"/>
      <c r="AL279"/>
      <c r="AM279"/>
      <c r="AN279"/>
      <c r="AO279"/>
    </row>
    <row r="280" spans="1:41" ht="15" customHeight="1">
      <c r="B280" s="16"/>
      <c r="C280" s="880" t="s">
        <v>318</v>
      </c>
      <c r="D280" s="870"/>
      <c r="E280" s="870"/>
      <c r="F280" s="25"/>
      <c r="G280" s="860" t="s">
        <v>560</v>
      </c>
      <c r="H280" s="947">
        <v>1.75</v>
      </c>
      <c r="I280" s="880" t="s">
        <v>319</v>
      </c>
      <c r="J280" s="870"/>
      <c r="K280" s="870"/>
      <c r="L280" s="25"/>
      <c r="M280" s="25"/>
      <c r="N280"/>
      <c r="O280"/>
      <c r="P280"/>
      <c r="Q280"/>
      <c r="R280"/>
      <c r="S280"/>
      <c r="T280"/>
      <c r="U280"/>
      <c r="V280"/>
      <c r="W280"/>
      <c r="X280"/>
      <c r="Y280"/>
      <c r="Z280"/>
      <c r="AA280"/>
      <c r="AB280"/>
      <c r="AC280"/>
      <c r="AD280"/>
      <c r="AE280"/>
      <c r="AF280"/>
      <c r="AG280"/>
      <c r="AH280"/>
      <c r="AI280"/>
      <c r="AJ280"/>
      <c r="AK280"/>
      <c r="AL280"/>
      <c r="AM280"/>
      <c r="AN280"/>
      <c r="AO280"/>
    </row>
    <row r="281" spans="1:41" ht="15" customHeight="1">
      <c r="B281" s="16"/>
      <c r="C281" s="69" t="s">
        <v>1295</v>
      </c>
      <c r="D281" s="870"/>
      <c r="E281" s="870"/>
      <c r="F281" s="871" t="s">
        <v>1176</v>
      </c>
      <c r="G281" s="25"/>
      <c r="H281" s="25"/>
      <c r="I281" s="69" t="s">
        <v>1295</v>
      </c>
      <c r="J281" s="870"/>
      <c r="K281" s="870"/>
      <c r="L281" s="871" t="s">
        <v>1176</v>
      </c>
      <c r="M281" s="25"/>
      <c r="N281"/>
      <c r="O281"/>
      <c r="P281"/>
      <c r="Q281"/>
      <c r="R281"/>
      <c r="S281"/>
      <c r="T281"/>
      <c r="U281"/>
      <c r="V281"/>
      <c r="W281"/>
      <c r="X281"/>
      <c r="Y281"/>
      <c r="Z281"/>
      <c r="AA281"/>
      <c r="AB281"/>
      <c r="AC281"/>
      <c r="AD281"/>
      <c r="AE281"/>
      <c r="AF281"/>
      <c r="AG281"/>
      <c r="AH281"/>
      <c r="AI281"/>
      <c r="AJ281"/>
      <c r="AK281"/>
      <c r="AL281"/>
      <c r="AM281"/>
      <c r="AN281"/>
      <c r="AO281"/>
    </row>
    <row r="282" spans="1:41" ht="15" customHeight="1">
      <c r="B282" s="16"/>
      <c r="C282" s="69" t="s">
        <v>460</v>
      </c>
      <c r="D282" s="988" t="e">
        <f>$H$280*MAX(E264+F264,G264+H264)</f>
        <v>#DIV/0!</v>
      </c>
      <c r="E282" s="858"/>
      <c r="F282" s="69" t="s">
        <v>460</v>
      </c>
      <c r="G282" s="988" t="e">
        <f>$H$280*MAX(I264+J264,K264+L264)</f>
        <v>#DIV/0!</v>
      </c>
      <c r="I282" s="69" t="s">
        <v>460</v>
      </c>
      <c r="J282" s="988" t="e">
        <f>$H$280*MAX(E278+F278,G278+H278)</f>
        <v>#DIV/0!</v>
      </c>
      <c r="K282" s="858"/>
      <c r="L282" s="69" t="s">
        <v>460</v>
      </c>
      <c r="M282" s="988" t="e">
        <f>$H$280*MAX(I278+J278,K278+L278)</f>
        <v>#DIV/0!</v>
      </c>
      <c r="N282"/>
      <c r="O282"/>
      <c r="P282"/>
      <c r="Q282"/>
      <c r="R282"/>
      <c r="S282"/>
      <c r="T282"/>
      <c r="U282"/>
      <c r="V282"/>
      <c r="W282"/>
      <c r="X282"/>
      <c r="Y282"/>
      <c r="Z282"/>
      <c r="AA282"/>
      <c r="AB282"/>
      <c r="AC282"/>
      <c r="AD282"/>
      <c r="AE282"/>
      <c r="AF282"/>
      <c r="AG282"/>
      <c r="AH282"/>
      <c r="AI282"/>
      <c r="AJ282"/>
      <c r="AK282"/>
      <c r="AL282"/>
      <c r="AM282"/>
      <c r="AN282"/>
      <c r="AO282"/>
    </row>
    <row r="283" spans="1:41" ht="14.25" customHeight="1">
      <c r="B283" s="16"/>
      <c r="C283" s="69"/>
      <c r="D283" s="870"/>
      <c r="E283" s="870"/>
      <c r="F283" s="871"/>
      <c r="G283" s="25"/>
      <c r="H283" s="25"/>
      <c r="I283" s="69"/>
      <c r="J283" s="883"/>
      <c r="K283" s="870"/>
      <c r="L283" s="871"/>
      <c r="M283" s="885"/>
      <c r="N283"/>
      <c r="O283"/>
      <c r="P283"/>
      <c r="Q283"/>
      <c r="R283"/>
      <c r="S283"/>
      <c r="T283"/>
      <c r="U283"/>
      <c r="V283"/>
      <c r="W283"/>
      <c r="X283"/>
      <c r="Y283"/>
      <c r="Z283"/>
      <c r="AA283"/>
      <c r="AB283"/>
      <c r="AC283"/>
      <c r="AD283"/>
      <c r="AE283"/>
      <c r="AF283"/>
      <c r="AG283"/>
      <c r="AH283"/>
      <c r="AI283"/>
      <c r="AJ283"/>
      <c r="AK283"/>
      <c r="AL283"/>
      <c r="AM283"/>
      <c r="AN283"/>
      <c r="AO283"/>
    </row>
    <row r="284" spans="1:41" ht="13.5" thickBot="1">
      <c r="B284" s="16"/>
      <c r="C284" s="1644" t="s">
        <v>427</v>
      </c>
      <c r="D284" s="1644"/>
      <c r="E284" s="1644"/>
      <c r="F284" s="1644"/>
      <c r="G284" s="1644"/>
      <c r="H284" s="1644"/>
      <c r="I284" s="1644"/>
      <c r="J284" s="1644"/>
      <c r="K284" s="1644"/>
      <c r="L284" s="1644"/>
      <c r="M284" s="1644"/>
      <c r="N284"/>
      <c r="O284"/>
      <c r="P284"/>
      <c r="Q284"/>
      <c r="R284"/>
      <c r="S284"/>
      <c r="T284"/>
      <c r="U284"/>
      <c r="V284"/>
      <c r="W284"/>
      <c r="X284"/>
      <c r="Y284"/>
      <c r="Z284"/>
      <c r="AA284"/>
      <c r="AB284"/>
      <c r="AC284"/>
      <c r="AD284"/>
      <c r="AE284"/>
      <c r="AF284"/>
      <c r="AG284"/>
      <c r="AH284"/>
      <c r="AI284"/>
      <c r="AJ284"/>
      <c r="AK284"/>
      <c r="AL284"/>
      <c r="AM284"/>
      <c r="AN284"/>
      <c r="AO284"/>
    </row>
    <row r="285" spans="1:41" ht="3.75" customHeight="1">
      <c r="B285" s="16"/>
      <c r="C285" s="43"/>
      <c r="D285" s="43"/>
      <c r="E285" s="43"/>
      <c r="F285" s="43"/>
      <c r="G285" s="43"/>
      <c r="H285" s="43"/>
      <c r="I285" s="43"/>
      <c r="J285" s="43"/>
      <c r="K285" s="43"/>
      <c r="L285" s="43"/>
      <c r="M285" s="43"/>
      <c r="N285"/>
      <c r="O285"/>
      <c r="P285"/>
      <c r="Q285"/>
      <c r="R285"/>
      <c r="S285"/>
      <c r="T285"/>
      <c r="U285"/>
      <c r="V285"/>
      <c r="W285"/>
      <c r="X285"/>
      <c r="Y285"/>
      <c r="Z285"/>
      <c r="AA285"/>
      <c r="AB285"/>
      <c r="AC285"/>
      <c r="AD285"/>
      <c r="AE285"/>
      <c r="AF285"/>
      <c r="AG285"/>
      <c r="AH285"/>
      <c r="AI285"/>
      <c r="AJ285"/>
      <c r="AK285"/>
      <c r="AL285"/>
      <c r="AM285"/>
      <c r="AN285"/>
      <c r="AO285"/>
    </row>
    <row r="286" spans="1:41" ht="15.75">
      <c r="B286" s="16"/>
      <c r="C286" s="174" t="s">
        <v>424</v>
      </c>
      <c r="D286" s="43"/>
      <c r="E286" s="43"/>
      <c r="F286" s="43"/>
      <c r="G286" s="43"/>
      <c r="H286" s="43"/>
      <c r="I286" s="43"/>
      <c r="J286" s="43"/>
      <c r="K286" s="43"/>
      <c r="L286" s="43"/>
      <c r="M286" s="43"/>
      <c r="N286"/>
      <c r="O286"/>
      <c r="P286"/>
      <c r="Q286"/>
      <c r="R286"/>
      <c r="S286"/>
      <c r="T286"/>
      <c r="U286"/>
      <c r="V286"/>
      <c r="W286"/>
      <c r="X286"/>
      <c r="Y286"/>
      <c r="Z286"/>
      <c r="AA286"/>
      <c r="AB286"/>
      <c r="AC286"/>
      <c r="AD286"/>
      <c r="AE286"/>
      <c r="AF286"/>
      <c r="AG286"/>
      <c r="AH286"/>
      <c r="AI286"/>
      <c r="AJ286"/>
      <c r="AK286"/>
      <c r="AL286"/>
      <c r="AM286"/>
      <c r="AN286"/>
      <c r="AO286"/>
    </row>
    <row r="287" spans="1:41" ht="15" customHeight="1">
      <c r="B287" s="16"/>
      <c r="C287" s="174" t="s">
        <v>1177</v>
      </c>
      <c r="D287" s="43"/>
      <c r="E287" s="43"/>
      <c r="G287" s="1224" t="s">
        <v>1609</v>
      </c>
      <c r="H287" s="43"/>
      <c r="I287" s="43"/>
      <c r="J287" s="43"/>
      <c r="K287" s="43"/>
      <c r="L287" s="43"/>
      <c r="M287" s="43"/>
      <c r="N287"/>
      <c r="O287"/>
      <c r="P287"/>
      <c r="Q287"/>
      <c r="R287"/>
      <c r="S287"/>
      <c r="T287"/>
      <c r="U287"/>
      <c r="V287"/>
      <c r="W287"/>
      <c r="X287"/>
      <c r="Y287"/>
      <c r="Z287"/>
      <c r="AA287"/>
      <c r="AB287"/>
      <c r="AC287"/>
      <c r="AD287"/>
      <c r="AE287"/>
      <c r="AF287"/>
      <c r="AG287"/>
      <c r="AH287"/>
      <c r="AI287"/>
      <c r="AJ287"/>
      <c r="AK287"/>
      <c r="AL287"/>
      <c r="AM287"/>
      <c r="AN287"/>
      <c r="AO287"/>
    </row>
    <row r="288" spans="1:41" ht="15" customHeight="1">
      <c r="B288" s="16"/>
      <c r="C288" s="174"/>
      <c r="D288" s="1225" t="s">
        <v>1610</v>
      </c>
      <c r="E288" s="29">
        <f>ROUND(capheight*capstemWidth/(2*capheight+2*capstemWidth),2)</f>
        <v>14.21</v>
      </c>
      <c r="F288" s="1179" t="s">
        <v>155</v>
      </c>
      <c r="G288" s="34" t="str">
        <f>"{" &amp; capheight &amp; " in x " &amp; capstemWidth &amp; " in / (2 x (" &amp; capheight &amp; " in + " &amp; capstemWidth &amp; " in}"</f>
        <v>{60 in x 54 in / (2 x (60 in + 54 in}</v>
      </c>
      <c r="H288" s="43"/>
      <c r="I288" s="43"/>
      <c r="J288" s="43"/>
      <c r="K288" s="43"/>
      <c r="L288" s="43"/>
      <c r="M288" s="1227" t="s">
        <v>1611</v>
      </c>
      <c r="N288"/>
      <c r="O288"/>
      <c r="P288"/>
      <c r="Q288"/>
      <c r="R288"/>
      <c r="S288"/>
      <c r="T288"/>
      <c r="U288"/>
      <c r="V288"/>
      <c r="W288"/>
      <c r="X288"/>
      <c r="Y288"/>
      <c r="Z288"/>
      <c r="AA288"/>
      <c r="AB288"/>
      <c r="AC288"/>
      <c r="AD288"/>
      <c r="AE288"/>
      <c r="AF288"/>
      <c r="AG288"/>
      <c r="AH288"/>
      <c r="AI288"/>
      <c r="AJ288"/>
      <c r="AK288"/>
      <c r="AL288"/>
      <c r="AM288"/>
      <c r="AN288"/>
      <c r="AO288"/>
    </row>
    <row r="289" spans="2:41" ht="15" customHeight="1">
      <c r="B289" s="16"/>
      <c r="D289" s="21" t="s">
        <v>425</v>
      </c>
      <c r="E289" s="29">
        <f>2*(capstemWidth-2*cover)+2*(capheight-2*cover)</f>
        <v>209.5</v>
      </c>
      <c r="F289" t="s">
        <v>155</v>
      </c>
      <c r="G289" s="34" t="str">
        <f>"{2 x ("&amp;FIXED(capstemWidth,0)&amp;" in - 2 x "&amp;cover&amp;" in) + 2 x ("&amp;capheight&amp;" in - 2 x "&amp;cover&amp;" in)}"</f>
        <v>{2 x (54 in - 2 x 2.3125 in) + 2 x (60 in - 2 x 2.3125 in)}</v>
      </c>
      <c r="N289" s="1179"/>
      <c r="O289"/>
      <c r="P289"/>
      <c r="Q289"/>
      <c r="R289"/>
      <c r="S289"/>
      <c r="T289"/>
      <c r="U289"/>
      <c r="V289"/>
      <c r="W289"/>
      <c r="X289"/>
      <c r="Y289"/>
      <c r="Z289"/>
      <c r="AA289"/>
      <c r="AB289"/>
      <c r="AC289"/>
      <c r="AD289"/>
      <c r="AE289"/>
      <c r="AF289"/>
      <c r="AG289"/>
      <c r="AH289"/>
      <c r="AI289"/>
      <c r="AJ289"/>
      <c r="AK289"/>
      <c r="AL289"/>
      <c r="AM289"/>
      <c r="AN289"/>
      <c r="AO289"/>
    </row>
    <row r="290" spans="2:41" ht="16.5" customHeight="1">
      <c r="B290" s="16"/>
      <c r="D290" s="1225" t="s">
        <v>1612</v>
      </c>
      <c r="E290">
        <f>(capstemWidth-be)*(capheight-be)</f>
        <v>1821.9840999999999</v>
      </c>
      <c r="F290" t="s">
        <v>594</v>
      </c>
      <c r="G290" s="34" t="str">
        <f>"{("&amp;capstemWidth&amp;" in - "&amp;be&amp;" in) x ("&amp;capheight&amp;" in - "&amp;be&amp;" in)}"</f>
        <v>{(54 in - 14.21 in) x (60 in - 14.21 in)}</v>
      </c>
      <c r="M290" s="1227" t="s">
        <v>1614</v>
      </c>
      <c r="N290"/>
      <c r="O290"/>
      <c r="P290"/>
      <c r="Q290"/>
      <c r="R290"/>
      <c r="S290"/>
      <c r="T290"/>
      <c r="U290"/>
      <c r="V290"/>
      <c r="W290"/>
      <c r="X290"/>
      <c r="Y290"/>
      <c r="Z290"/>
      <c r="AA290"/>
      <c r="AB290"/>
      <c r="AC290"/>
      <c r="AD290"/>
      <c r="AE290"/>
      <c r="AF290"/>
      <c r="AG290"/>
      <c r="AH290"/>
      <c r="AI290"/>
      <c r="AJ290"/>
      <c r="AK290"/>
      <c r="AL290"/>
      <c r="AM290"/>
      <c r="AN290"/>
      <c r="AO290"/>
    </row>
    <row r="291" spans="2:41" ht="6" customHeight="1">
      <c r="B291" s="16"/>
      <c r="C291" s="43"/>
      <c r="D291" s="43"/>
      <c r="E291" s="43"/>
      <c r="F291" s="43"/>
      <c r="G291" s="43"/>
      <c r="H291" s="43"/>
      <c r="I291" s="43"/>
      <c r="J291" s="43"/>
      <c r="K291" s="43"/>
      <c r="L291" s="43"/>
      <c r="M291" s="43"/>
      <c r="N291"/>
      <c r="O291"/>
      <c r="P291"/>
      <c r="Q291"/>
      <c r="R291"/>
      <c r="S291"/>
      <c r="T291"/>
      <c r="U291"/>
      <c r="V291"/>
      <c r="W291"/>
      <c r="X291"/>
      <c r="Y291"/>
      <c r="Z291"/>
      <c r="AA291"/>
      <c r="AB291"/>
      <c r="AC291"/>
      <c r="AD291"/>
      <c r="AE291"/>
      <c r="AF291"/>
      <c r="AG291"/>
      <c r="AH291"/>
      <c r="AI291"/>
      <c r="AJ291"/>
      <c r="AK291"/>
      <c r="AL291"/>
      <c r="AM291"/>
      <c r="AN291"/>
      <c r="AO291"/>
    </row>
    <row r="292" spans="2:41" ht="15" customHeight="1">
      <c r="B292" s="16"/>
      <c r="D292" s="870"/>
      <c r="E292" s="870"/>
      <c r="F292" s="882"/>
      <c r="G292" s="1648" t="s">
        <v>1295</v>
      </c>
      <c r="H292" s="1648"/>
      <c r="I292" s="1648"/>
      <c r="J292" s="1648" t="s">
        <v>1176</v>
      </c>
      <c r="K292" s="1648"/>
      <c r="L292" s="1648"/>
      <c r="M292" s="25"/>
      <c r="N292"/>
      <c r="O292"/>
      <c r="P292"/>
      <c r="Q292"/>
      <c r="R292"/>
      <c r="S292"/>
      <c r="T292"/>
      <c r="U292"/>
      <c r="V292"/>
      <c r="W292"/>
      <c r="X292"/>
      <c r="Y292"/>
      <c r="Z292"/>
      <c r="AA292"/>
      <c r="AB292"/>
      <c r="AC292"/>
      <c r="AD292"/>
      <c r="AE292"/>
      <c r="AF292"/>
      <c r="AG292"/>
      <c r="AH292"/>
      <c r="AI292"/>
      <c r="AJ292"/>
      <c r="AK292"/>
      <c r="AL292"/>
      <c r="AM292"/>
      <c r="AN292"/>
      <c r="AO292"/>
    </row>
    <row r="293" spans="2:41" ht="15" customHeight="1">
      <c r="B293" s="16"/>
      <c r="C293" s="940"/>
      <c r="D293" s="956"/>
      <c r="E293" s="956"/>
      <c r="F293" s="957" t="s">
        <v>311</v>
      </c>
      <c r="G293" s="948" t="s">
        <v>312</v>
      </c>
      <c r="H293" s="948" t="s">
        <v>313</v>
      </c>
      <c r="I293" s="948" t="s">
        <v>314</v>
      </c>
      <c r="J293" s="949" t="s">
        <v>312</v>
      </c>
      <c r="K293" s="948" t="s">
        <v>313</v>
      </c>
      <c r="L293" s="948" t="s">
        <v>314</v>
      </c>
      <c r="M293" s="25"/>
      <c r="N293"/>
      <c r="O293"/>
      <c r="P293"/>
      <c r="Q293"/>
      <c r="R293"/>
      <c r="S293"/>
      <c r="T293"/>
      <c r="U293"/>
      <c r="V293"/>
      <c r="W293"/>
      <c r="X293"/>
      <c r="Y293"/>
      <c r="Z293"/>
      <c r="AA293"/>
      <c r="AB293"/>
      <c r="AC293"/>
      <c r="AD293"/>
      <c r="AE293"/>
      <c r="AF293"/>
      <c r="AG293"/>
      <c r="AH293"/>
      <c r="AI293"/>
      <c r="AJ293"/>
      <c r="AK293"/>
      <c r="AL293"/>
      <c r="AM293"/>
      <c r="AN293"/>
      <c r="AO293"/>
    </row>
    <row r="294" spans="2:41" ht="15" customHeight="1">
      <c r="B294" s="16"/>
      <c r="C294" s="19"/>
      <c r="D294" s="870"/>
      <c r="E294" s="870"/>
      <c r="F294" s="958" t="s">
        <v>448</v>
      </c>
      <c r="G294" s="950" t="e">
        <f>D129+D246</f>
        <v>#DIV/0!</v>
      </c>
      <c r="H294" s="1087" t="e">
        <f>D192+D282</f>
        <v>#DIV/0!</v>
      </c>
      <c r="I294" s="950" t="e">
        <f>SQRT(G294^2+(0.9*$E$289*H294*12/(2*$E$290))^2)</f>
        <v>#DIV/0!</v>
      </c>
      <c r="J294" s="950" t="e">
        <f>G129+G246</f>
        <v>#DIV/0!</v>
      </c>
      <c r="K294" s="951" t="e">
        <f>G192+G282</f>
        <v>#DIV/0!</v>
      </c>
      <c r="L294" s="950" t="e">
        <f>SQRT(J294^2+(0.9*$E$289*K294*12/(2*$E$290))^2)</f>
        <v>#DIV/0!</v>
      </c>
      <c r="M294" s="25"/>
      <c r="N294"/>
      <c r="O294"/>
      <c r="P294"/>
      <c r="Q294"/>
      <c r="R294"/>
      <c r="S294"/>
      <c r="T294"/>
      <c r="U294"/>
      <c r="V294"/>
      <c r="W294"/>
      <c r="X294"/>
      <c r="Y294"/>
      <c r="Z294"/>
      <c r="AA294"/>
      <c r="AB294"/>
      <c r="AC294"/>
      <c r="AD294"/>
      <c r="AE294"/>
      <c r="AF294"/>
      <c r="AG294"/>
      <c r="AH294"/>
      <c r="AI294"/>
      <c r="AJ294"/>
      <c r="AK294"/>
      <c r="AL294"/>
      <c r="AM294"/>
      <c r="AN294"/>
      <c r="AO294"/>
    </row>
    <row r="295" spans="2:41" ht="15" customHeight="1">
      <c r="B295" s="16"/>
      <c r="C295" s="19"/>
      <c r="D295" s="870"/>
      <c r="E295" s="870"/>
      <c r="F295" s="958" t="s">
        <v>449</v>
      </c>
      <c r="G295" s="952" t="e">
        <f>D129+J246</f>
        <v>#DIV/0!</v>
      </c>
      <c r="H295" s="1088" t="e">
        <f>D192+J282</f>
        <v>#DIV/0!</v>
      </c>
      <c r="I295" s="952" t="e">
        <f>SQRT(G295^2+(0.9*$E$289*H295*12/(2*$E$290))^2)</f>
        <v>#DIV/0!</v>
      </c>
      <c r="J295" s="952" t="e">
        <f>G129+M246</f>
        <v>#DIV/0!</v>
      </c>
      <c r="K295" s="953" t="e">
        <f>G192+M282</f>
        <v>#DIV/0!</v>
      </c>
      <c r="L295" s="952" t="e">
        <f>SQRT(J295^2+(0.9*$E$289*K295*12/(2*$E$290))^2)</f>
        <v>#DIV/0!</v>
      </c>
      <c r="M295" s="25"/>
      <c r="N295"/>
      <c r="O295"/>
      <c r="P295"/>
      <c r="Q295"/>
      <c r="R295"/>
      <c r="S295"/>
      <c r="T295"/>
      <c r="U295"/>
      <c r="V295"/>
      <c r="W295"/>
      <c r="X295"/>
      <c r="Y295"/>
      <c r="Z295"/>
      <c r="AA295"/>
      <c r="AB295"/>
      <c r="AC295"/>
      <c r="AD295"/>
      <c r="AE295"/>
      <c r="AF295"/>
      <c r="AG295"/>
      <c r="AH295"/>
      <c r="AI295"/>
      <c r="AJ295"/>
      <c r="AK295"/>
      <c r="AL295"/>
      <c r="AM295"/>
      <c r="AN295"/>
      <c r="AO295"/>
    </row>
    <row r="296" spans="2:41" ht="15" customHeight="1">
      <c r="B296" s="16"/>
      <c r="C296" s="959"/>
      <c r="D296" s="887"/>
      <c r="E296" s="887"/>
      <c r="F296" s="960" t="s">
        <v>450</v>
      </c>
      <c r="G296" s="954" t="e">
        <f>J127</f>
        <v>#DIV/0!</v>
      </c>
      <c r="H296" s="1089" t="e">
        <f>J190</f>
        <v>#DIV/0!</v>
      </c>
      <c r="I296" s="954" t="e">
        <f>SQRT(G296^2+(0.9*$E$289*H296*12/(2*$E$290))^2)</f>
        <v>#DIV/0!</v>
      </c>
      <c r="J296" s="954" t="e">
        <f>M127</f>
        <v>#DIV/0!</v>
      </c>
      <c r="K296" s="955" t="e">
        <f>M190</f>
        <v>#DIV/0!</v>
      </c>
      <c r="L296" s="954" t="e">
        <f>SQRT(J296^2+(0.9*$E$289*K296*12/(2*$E$290))^2)</f>
        <v>#DIV/0!</v>
      </c>
      <c r="M296" s="25"/>
      <c r="N296"/>
      <c r="O296"/>
      <c r="P296"/>
      <c r="Q296"/>
      <c r="R296"/>
      <c r="S296"/>
      <c r="T296"/>
      <c r="U296"/>
      <c r="V296"/>
      <c r="W296"/>
      <c r="X296"/>
      <c r="Y296"/>
      <c r="Z296"/>
      <c r="AA296"/>
      <c r="AB296"/>
      <c r="AC296"/>
      <c r="AD296"/>
      <c r="AE296"/>
      <c r="AF296"/>
      <c r="AG296"/>
      <c r="AH296"/>
      <c r="AI296"/>
      <c r="AJ296"/>
      <c r="AK296"/>
      <c r="AL296"/>
      <c r="AM296"/>
      <c r="AN296"/>
      <c r="AO296"/>
    </row>
    <row r="297" spans="2:41" ht="6.75" customHeight="1">
      <c r="B297" s="16"/>
      <c r="C297" s="69"/>
      <c r="D297" s="870"/>
      <c r="E297" s="870"/>
      <c r="F297" s="27"/>
      <c r="G297" s="909"/>
      <c r="H297" s="910"/>
      <c r="I297" s="909"/>
      <c r="J297" s="909"/>
      <c r="K297" s="910"/>
      <c r="L297" s="909"/>
      <c r="M297" s="25"/>
      <c r="N297"/>
      <c r="O297"/>
      <c r="P297"/>
      <c r="Q297"/>
      <c r="R297"/>
      <c r="S297"/>
      <c r="T297"/>
      <c r="U297"/>
      <c r="V297"/>
      <c r="W297"/>
      <c r="X297"/>
      <c r="Y297"/>
      <c r="Z297"/>
      <c r="AA297"/>
      <c r="AB297"/>
      <c r="AC297"/>
      <c r="AD297"/>
      <c r="AE297"/>
      <c r="AF297"/>
      <c r="AG297"/>
      <c r="AH297"/>
      <c r="AI297"/>
      <c r="AJ297"/>
      <c r="AK297"/>
      <c r="AL297"/>
      <c r="AM297"/>
      <c r="AN297"/>
      <c r="AO297"/>
    </row>
    <row r="298" spans="2:41" ht="15" customHeight="1" thickBot="1">
      <c r="B298" s="16"/>
      <c r="C298" s="1644" t="s">
        <v>428</v>
      </c>
      <c r="D298" s="1644"/>
      <c r="E298" s="1644"/>
      <c r="F298" s="1644"/>
      <c r="G298" s="1644"/>
      <c r="H298" s="1644"/>
      <c r="I298" s="1644"/>
      <c r="J298" s="1644"/>
      <c r="K298" s="1644"/>
      <c r="L298" s="1644"/>
      <c r="M298" s="1644"/>
      <c r="N298"/>
      <c r="O298"/>
      <c r="P298"/>
      <c r="Q298"/>
      <c r="R298"/>
      <c r="S298"/>
      <c r="T298"/>
      <c r="U298"/>
      <c r="V298"/>
      <c r="W298"/>
      <c r="X298"/>
      <c r="Y298"/>
      <c r="Z298"/>
      <c r="AA298"/>
      <c r="AB298"/>
      <c r="AC298"/>
      <c r="AD298"/>
      <c r="AE298"/>
      <c r="AF298"/>
      <c r="AG298"/>
      <c r="AH298"/>
      <c r="AI298"/>
      <c r="AJ298"/>
      <c r="AK298"/>
      <c r="AL298"/>
      <c r="AM298"/>
      <c r="AN298"/>
      <c r="AO298"/>
    </row>
    <row r="299" spans="2:41" ht="15" customHeight="1">
      <c r="B299" s="16"/>
      <c r="C299" s="1649" t="s">
        <v>1384</v>
      </c>
      <c r="D299" s="1650"/>
      <c r="E299" s="1650"/>
      <c r="F299" s="1650"/>
      <c r="G299" s="1650"/>
      <c r="H299" s="1650"/>
      <c r="I299" s="1650"/>
      <c r="J299" s="1650"/>
      <c r="K299" s="1650"/>
      <c r="L299" s="1650"/>
      <c r="M299" s="1650"/>
      <c r="N299" s="1193" t="s">
        <v>1383</v>
      </c>
      <c r="O299"/>
      <c r="P299"/>
      <c r="Q299"/>
      <c r="R299"/>
      <c r="S299"/>
      <c r="T299"/>
      <c r="U299"/>
      <c r="V299"/>
      <c r="W299"/>
      <c r="X299"/>
      <c r="Y299"/>
      <c r="Z299"/>
      <c r="AA299"/>
      <c r="AB299"/>
      <c r="AC299"/>
      <c r="AD299"/>
      <c r="AE299"/>
      <c r="AF299"/>
      <c r="AG299"/>
      <c r="AH299"/>
      <c r="AI299"/>
      <c r="AJ299"/>
      <c r="AK299"/>
      <c r="AL299"/>
      <c r="AM299"/>
      <c r="AN299"/>
      <c r="AO299"/>
    </row>
    <row r="300" spans="2:41" ht="14.25" customHeight="1">
      <c r="B300" s="16"/>
      <c r="C300" s="1651"/>
      <c r="D300" s="1651"/>
      <c r="E300" s="1651"/>
      <c r="F300" s="1651"/>
      <c r="G300" s="1651"/>
      <c r="H300" s="1651"/>
      <c r="I300" s="1651"/>
      <c r="J300" s="1651"/>
      <c r="K300" s="1651"/>
      <c r="L300" s="1651"/>
      <c r="M300" s="1651"/>
      <c r="N300"/>
      <c r="O300"/>
      <c r="P300"/>
      <c r="Q300"/>
      <c r="R300"/>
      <c r="S300"/>
      <c r="T300"/>
      <c r="U300"/>
      <c r="V300"/>
      <c r="W300"/>
      <c r="X300"/>
      <c r="Y300"/>
      <c r="Z300"/>
      <c r="AA300"/>
      <c r="AB300"/>
      <c r="AC300"/>
      <c r="AD300"/>
      <c r="AE300"/>
      <c r="AF300"/>
      <c r="AG300"/>
      <c r="AH300"/>
      <c r="AI300"/>
      <c r="AJ300"/>
      <c r="AK300"/>
      <c r="AL300"/>
      <c r="AM300"/>
      <c r="AN300"/>
      <c r="AO300"/>
    </row>
    <row r="301" spans="2:41" ht="15" customHeight="1">
      <c r="B301" s="16"/>
      <c r="C301" s="140"/>
      <c r="D301" s="140"/>
      <c r="E301" s="1263" t="s">
        <v>1613</v>
      </c>
      <c r="F301" s="665" t="s">
        <v>1035</v>
      </c>
      <c r="G301" s="140"/>
      <c r="H301" s="1196" t="s">
        <v>1387</v>
      </c>
      <c r="I301" s="1006"/>
      <c r="J301" s="1006"/>
      <c r="K301" s="140"/>
      <c r="L301" s="140"/>
      <c r="M301" s="140"/>
      <c r="N301"/>
      <c r="O301"/>
      <c r="P301"/>
      <c r="Q301"/>
      <c r="R301"/>
      <c r="S301"/>
      <c r="T301"/>
      <c r="U301"/>
      <c r="V301"/>
      <c r="W301"/>
      <c r="X301"/>
      <c r="Y301"/>
      <c r="Z301"/>
      <c r="AA301"/>
      <c r="AB301"/>
      <c r="AC301"/>
      <c r="AD301"/>
      <c r="AE301"/>
      <c r="AF301"/>
      <c r="AG301"/>
      <c r="AH301"/>
      <c r="AI301"/>
      <c r="AJ301"/>
      <c r="AK301"/>
      <c r="AL301"/>
      <c r="AM301"/>
      <c r="AN301"/>
      <c r="AO301"/>
    </row>
    <row r="302" spans="2:41" ht="15" customHeight="1">
      <c r="B302" s="16"/>
      <c r="C302" s="140"/>
      <c r="D302" s="140"/>
      <c r="E302" s="16" t="s">
        <v>90</v>
      </c>
      <c r="F302">
        <f>ROUND(IF(F301="Left",MAX(OSOHBack,OSOH,Geometry!G38,Geometry!G39),MAX(OSOHBackRT,OSOHRT,Geometry!G41,Geometry!G42)),2)</f>
        <v>3</v>
      </c>
      <c r="G302" t="s">
        <v>156</v>
      </c>
      <c r="H302" s="100" t="s">
        <v>452</v>
      </c>
      <c r="I302" s="105">
        <f>IF(8+F303&lt;F305+F302,1.2*(F302+F305-F303-F304/2)/F305,1.2*0.5*(F302+F305-F303-2)/F305)</f>
        <v>0.95454545454545436</v>
      </c>
      <c r="J302" s="118" t="str">
        <f>"     "&amp;IF(8+F303&lt;F305+F302,"{1.2 x ("&amp;F302&amp;"ft + "&amp;FIXED(F305,3)&amp; "ft - "&amp;F303&amp;"ft - "&amp;F304&amp;"ft / 2) / "&amp;FIXED(F305,3)&amp;"ft}","{1.2 x 0.5 x ("&amp;F302&amp;"ft + "&amp;FIXED(F305,3)&amp;"ft - "&amp;F303&amp;"ft - 2) / "&amp;FIXED(F305,3)&amp;"ft}")</f>
        <v xml:space="preserve">     {1.2 x (3ft + 14.667ft - 1ft - 10ft / 2) / 14.667ft}</v>
      </c>
      <c r="K302" s="1006"/>
      <c r="L302" s="1006"/>
      <c r="M302" s="1006"/>
      <c r="N302"/>
      <c r="O302"/>
      <c r="P302"/>
      <c r="Q302"/>
      <c r="R302"/>
      <c r="S302"/>
      <c r="T302"/>
      <c r="U302"/>
      <c r="V302"/>
      <c r="W302"/>
      <c r="X302"/>
      <c r="Y302"/>
      <c r="Z302"/>
      <c r="AA302"/>
      <c r="AB302"/>
      <c r="AC302"/>
      <c r="AD302"/>
      <c r="AE302"/>
      <c r="AF302"/>
      <c r="AG302"/>
      <c r="AH302"/>
      <c r="AI302"/>
      <c r="AJ302"/>
      <c r="AK302"/>
      <c r="AL302"/>
      <c r="AM302"/>
      <c r="AN302"/>
      <c r="AO302"/>
    </row>
    <row r="303" spans="2:41" ht="15" customHeight="1">
      <c r="B303" s="16"/>
      <c r="C303" s="140"/>
      <c r="D303" s="140"/>
      <c r="E303" s="16" t="s">
        <v>1002</v>
      </c>
      <c r="F303">
        <f>ROUND(IF(F301="Left",RailWidth,RailWidthRt),2)</f>
        <v>1</v>
      </c>
      <c r="G303" t="s">
        <v>156</v>
      </c>
      <c r="H303" s="1196" t="s">
        <v>1390</v>
      </c>
      <c r="I303" s="290"/>
      <c r="J303" s="290"/>
      <c r="K303" s="290"/>
      <c r="L303" s="1006"/>
      <c r="M303" s="1006"/>
      <c r="N303" s="1193" t="s">
        <v>1383</v>
      </c>
      <c r="O303"/>
      <c r="P303"/>
      <c r="Q303"/>
      <c r="R303"/>
      <c r="S303"/>
      <c r="T303"/>
      <c r="U303"/>
      <c r="V303"/>
      <c r="W303"/>
      <c r="X303"/>
      <c r="Y303"/>
      <c r="Z303"/>
      <c r="AA303"/>
      <c r="AB303"/>
      <c r="AC303"/>
      <c r="AD303"/>
      <c r="AE303"/>
      <c r="AF303"/>
      <c r="AG303"/>
      <c r="AH303"/>
      <c r="AI303"/>
      <c r="AJ303"/>
      <c r="AK303"/>
      <c r="AL303"/>
      <c r="AM303"/>
      <c r="AN303"/>
      <c r="AO303"/>
    </row>
    <row r="304" spans="2:41" ht="15" customHeight="1">
      <c r="B304" s="16"/>
      <c r="E304" s="265" t="s">
        <v>1003</v>
      </c>
      <c r="F304">
        <v>10</v>
      </c>
      <c r="G304" t="s">
        <v>156</v>
      </c>
      <c r="H304" s="1195" t="s">
        <v>1385</v>
      </c>
      <c r="I304" s="105">
        <f>(0.36+F305/25)</f>
        <v>0.94666666666666666</v>
      </c>
      <c r="J304" s="679" t="str">
        <f>"      {(0.36 + "&amp;FIXED(F305,3)&amp;" ft / 25)} (Includes 1.2 factor)"</f>
        <v xml:space="preserve">      {(0.36 + 14.667 ft / 25)} (Includes 1.2 factor)</v>
      </c>
      <c r="K304" s="290"/>
      <c r="L304" s="290"/>
      <c r="M304" s="290"/>
      <c r="N304"/>
      <c r="O304"/>
      <c r="P304"/>
      <c r="Q304"/>
      <c r="R304"/>
      <c r="S304"/>
      <c r="T304"/>
      <c r="U304"/>
      <c r="V304"/>
      <c r="W304"/>
      <c r="X304"/>
      <c r="Y304"/>
      <c r="Z304"/>
      <c r="AA304"/>
      <c r="AB304"/>
      <c r="AC304"/>
      <c r="AD304"/>
      <c r="AE304"/>
      <c r="AF304"/>
      <c r="AG304"/>
      <c r="AH304"/>
      <c r="AI304"/>
      <c r="AJ304"/>
      <c r="AK304"/>
      <c r="AL304"/>
      <c r="AM304"/>
      <c r="AN304"/>
      <c r="AO304"/>
    </row>
    <row r="305" spans="2:41" ht="15" customHeight="1">
      <c r="B305" s="16"/>
      <c r="E305" s="16" t="s">
        <v>451</v>
      </c>
      <c r="F305" s="15">
        <f>MAX(BkSpa,FdSpa)</f>
        <v>14.666666666666666</v>
      </c>
      <c r="G305" t="s">
        <v>156</v>
      </c>
      <c r="H305" s="1195" t="s">
        <v>1386</v>
      </c>
      <c r="I305" s="105">
        <f>0.2+F305/12-(F305/35)^2</f>
        <v>1.2466213151927437</v>
      </c>
      <c r="J305" s="679" t="str">
        <f>"      {(0.2 + "&amp;FIXED(F305,3)&amp;" ft / 12 + ("&amp;FIXED(F305,3)&amp;" ft / 35)^2)}"</f>
        <v xml:space="preserve">      {(0.2 + 14.667 ft / 12 + (14.667 ft / 35)^2)}</v>
      </c>
      <c r="K305" s="290"/>
      <c r="L305" s="290"/>
      <c r="M305" s="290"/>
      <c r="N305" s="1193" t="s">
        <v>1383</v>
      </c>
      <c r="O305"/>
      <c r="P305"/>
      <c r="Q305"/>
      <c r="R305"/>
      <c r="S305"/>
      <c r="T305"/>
      <c r="U305"/>
      <c r="V305"/>
      <c r="W305"/>
      <c r="X305"/>
      <c r="Y305"/>
      <c r="Z305"/>
      <c r="AA305"/>
      <c r="AB305"/>
      <c r="AC305"/>
      <c r="AD305"/>
      <c r="AE305"/>
      <c r="AF305"/>
      <c r="AG305"/>
      <c r="AH305"/>
      <c r="AI305"/>
      <c r="AJ305"/>
      <c r="AK305"/>
      <c r="AL305"/>
      <c r="AM305"/>
      <c r="AN305"/>
      <c r="AO305"/>
    </row>
    <row r="306" spans="2:41" ht="15" customHeight="1">
      <c r="B306" s="16"/>
      <c r="C306" s="69"/>
      <c r="D306" s="870"/>
      <c r="E306" s="870"/>
      <c r="F306" s="871"/>
      <c r="G306" s="25"/>
      <c r="H306" s="1194" t="s">
        <v>452</v>
      </c>
      <c r="I306" s="105">
        <f>MAX(I304,I305)</f>
        <v>1.2466213151927437</v>
      </c>
      <c r="J306" s="679" t="str">
        <f>"      {maximum of one and two or more lanes}"</f>
        <v xml:space="preserve">      {maximum of one and two or more lanes}</v>
      </c>
      <c r="K306" s="1007"/>
      <c r="L306" s="680"/>
      <c r="M306" s="211"/>
      <c r="N306" s="1193" t="s">
        <v>1383</v>
      </c>
      <c r="O306"/>
      <c r="P306"/>
      <c r="Q306"/>
      <c r="R306"/>
      <c r="S306"/>
      <c r="T306"/>
      <c r="U306"/>
      <c r="V306"/>
      <c r="W306"/>
      <c r="X306"/>
      <c r="Y306"/>
      <c r="Z306"/>
      <c r="AA306"/>
      <c r="AB306"/>
      <c r="AC306"/>
      <c r="AD306"/>
      <c r="AE306"/>
      <c r="AF306"/>
      <c r="AG306"/>
      <c r="AH306"/>
      <c r="AI306"/>
      <c r="AJ306"/>
      <c r="AK306"/>
      <c r="AL306"/>
      <c r="AM306"/>
      <c r="AN306"/>
      <c r="AO306"/>
    </row>
    <row r="307" spans="2:41" ht="15" customHeight="1">
      <c r="B307" s="1657"/>
      <c r="F307" s="16" t="s">
        <v>461</v>
      </c>
      <c r="G307" s="912">
        <f>MAX(E211:E212)</f>
        <v>105.54666666666665</v>
      </c>
      <c r="H307" s="211"/>
      <c r="I307" s="973"/>
      <c r="J307" s="1007"/>
      <c r="K307" s="1007"/>
      <c r="L307" s="680"/>
      <c r="M307" s="709"/>
      <c r="N307" s="1200" t="b">
        <v>1</v>
      </c>
      <c r="O307" s="1193" t="s">
        <v>1383</v>
      </c>
      <c r="P307" s="290"/>
      <c r="Q307" s="290"/>
      <c r="R307"/>
      <c r="S307"/>
      <c r="T307"/>
      <c r="U307"/>
      <c r="V307"/>
      <c r="W307"/>
      <c r="X307"/>
      <c r="Y307"/>
      <c r="Z307"/>
      <c r="AA307"/>
      <c r="AB307"/>
      <c r="AC307"/>
      <c r="AD307"/>
      <c r="AE307"/>
      <c r="AF307"/>
      <c r="AG307"/>
      <c r="AH307"/>
      <c r="AI307"/>
      <c r="AJ307"/>
      <c r="AK307"/>
      <c r="AL307"/>
      <c r="AM307"/>
      <c r="AN307"/>
      <c r="AO307"/>
    </row>
    <row r="308" spans="2:41" ht="15" customHeight="1">
      <c r="B308" s="1658"/>
      <c r="F308" s="16" t="s">
        <v>462</v>
      </c>
      <c r="G308" s="912">
        <f>MAX(F211:F212)</f>
        <v>22.158399999999997</v>
      </c>
      <c r="H308" s="25"/>
      <c r="I308" s="69"/>
      <c r="J308" s="870"/>
      <c r="K308" s="870"/>
      <c r="L308" s="871"/>
      <c r="M308" s="25"/>
      <c r="N308"/>
      <c r="O308"/>
      <c r="P308"/>
      <c r="Q308"/>
      <c r="R308"/>
      <c r="S308"/>
      <c r="T308"/>
      <c r="U308"/>
      <c r="V308"/>
      <c r="W308"/>
      <c r="X308"/>
      <c r="Y308"/>
      <c r="Z308"/>
      <c r="AA308"/>
      <c r="AB308"/>
      <c r="AC308"/>
      <c r="AD308"/>
      <c r="AE308"/>
      <c r="AF308"/>
      <c r="AG308"/>
      <c r="AH308"/>
      <c r="AI308"/>
      <c r="AJ308"/>
      <c r="AK308"/>
      <c r="AL308"/>
      <c r="AM308"/>
      <c r="AN308"/>
      <c r="AO308"/>
    </row>
    <row r="309" spans="2:41" ht="15" customHeight="1">
      <c r="B309" s="1658"/>
      <c r="F309" s="16" t="s">
        <v>463</v>
      </c>
      <c r="G309" s="912">
        <f>IF(INTBMLLDFMC=TRUE,MAX(I302,I306),I302)*(G307+G308)</f>
        <v>159.199858164777</v>
      </c>
      <c r="I309" s="34" t="str">
        <f>"{"&amp;FIXED(IF(INTBMLLDFMC,MAX(I306,I302),I302),3)&amp;" x ("&amp;FIXED(G307,1)&amp;" k + "&amp;FIXED(G308,1)&amp;" k)}"</f>
        <v>{1.247 x (105.5 k + 22.2 k)}</v>
      </c>
      <c r="J309" s="870"/>
      <c r="K309" s="870"/>
      <c r="L309" s="871"/>
      <c r="M309" s="912"/>
      <c r="N309"/>
      <c r="O309"/>
      <c r="P309"/>
      <c r="Q309"/>
      <c r="R309"/>
      <c r="S309"/>
      <c r="T309"/>
      <c r="U309"/>
      <c r="V309"/>
      <c r="W309"/>
      <c r="X309"/>
      <c r="Y309"/>
      <c r="Z309"/>
      <c r="AA309"/>
      <c r="AB309"/>
      <c r="AC309"/>
      <c r="AD309"/>
      <c r="AE309"/>
      <c r="AF309"/>
      <c r="AG309"/>
      <c r="AH309"/>
      <c r="AI309"/>
      <c r="AJ309"/>
      <c r="AK309"/>
      <c r="AL309"/>
      <c r="AM309"/>
      <c r="AN309"/>
      <c r="AO309"/>
    </row>
    <row r="310" spans="2:41" ht="15" customHeight="1">
      <c r="B310" s="1658"/>
      <c r="F310" s="16" t="s">
        <v>464</v>
      </c>
      <c r="G310" s="912">
        <f>I306*(G307+G308)</f>
        <v>159.199858164777</v>
      </c>
      <c r="H310" s="25"/>
      <c r="I310" s="34" t="str">
        <f>"{"&amp;FIXED(I306,3)&amp;" x ("&amp;FIXED(G307,1)&amp;" k + "&amp;FIXED(G308,1)&amp;" k)}"</f>
        <v>{1.247 x (105.5 k + 22.2 k)}</v>
      </c>
      <c r="J310" s="870"/>
      <c r="K310" s="870"/>
      <c r="L310" s="871"/>
      <c r="M310" s="25"/>
      <c r="N310" s="1193" t="s">
        <v>1383</v>
      </c>
      <c r="O310"/>
      <c r="P310"/>
      <c r="Q310"/>
      <c r="R310"/>
      <c r="S310"/>
      <c r="T310"/>
      <c r="U310"/>
      <c r="V310"/>
      <c r="W310"/>
      <c r="X310"/>
      <c r="Y310"/>
      <c r="Z310"/>
      <c r="AA310"/>
      <c r="AB310"/>
      <c r="AC310"/>
      <c r="AD310"/>
      <c r="AE310"/>
      <c r="AF310"/>
      <c r="AG310"/>
      <c r="AH310"/>
      <c r="AI310"/>
      <c r="AJ310"/>
      <c r="AK310"/>
      <c r="AL310"/>
      <c r="AM310"/>
      <c r="AN310"/>
      <c r="AO310"/>
    </row>
    <row r="311" spans="2:41" ht="7.5" customHeight="1">
      <c r="B311" s="1658"/>
      <c r="F311" s="16"/>
      <c r="G311" s="912"/>
      <c r="H311" s="25"/>
      <c r="I311" s="69"/>
      <c r="J311" s="870"/>
      <c r="K311" s="870"/>
      <c r="L311" s="871"/>
      <c r="M311" s="25"/>
      <c r="N311"/>
      <c r="O311"/>
      <c r="P311"/>
      <c r="Q311"/>
      <c r="R311"/>
      <c r="S311"/>
      <c r="T311"/>
      <c r="U311"/>
      <c r="V311"/>
      <c r="W311"/>
      <c r="X311"/>
      <c r="Y311"/>
      <c r="Z311"/>
      <c r="AA311"/>
      <c r="AB311"/>
      <c r="AC311"/>
      <c r="AD311"/>
      <c r="AE311"/>
      <c r="AF311"/>
      <c r="AG311"/>
      <c r="AH311"/>
      <c r="AI311"/>
      <c r="AJ311"/>
      <c r="AK311"/>
      <c r="AL311"/>
      <c r="AM311"/>
      <c r="AN311"/>
      <c r="AO311"/>
    </row>
    <row r="312" spans="2:41" ht="15" customHeight="1">
      <c r="B312" s="1658"/>
      <c r="F312" s="16" t="s">
        <v>465</v>
      </c>
      <c r="G312" s="912">
        <f>MAX(U42,W42)</f>
        <v>143.78375</v>
      </c>
      <c r="I312" s="69"/>
      <c r="K312" s="16" t="s">
        <v>467</v>
      </c>
      <c r="L312" s="912">
        <f>MAX(V42,X42)</f>
        <v>2.25</v>
      </c>
      <c r="M312" s="25"/>
      <c r="N312"/>
      <c r="O312"/>
      <c r="P312"/>
      <c r="Q312"/>
      <c r="R312"/>
      <c r="S312"/>
      <c r="T312"/>
      <c r="U312"/>
      <c r="V312"/>
      <c r="W312"/>
      <c r="X312"/>
      <c r="Y312"/>
      <c r="Z312"/>
      <c r="AA312"/>
      <c r="AB312"/>
      <c r="AC312"/>
      <c r="AD312"/>
      <c r="AE312"/>
      <c r="AF312"/>
      <c r="AG312"/>
      <c r="AH312"/>
      <c r="AI312"/>
      <c r="AJ312"/>
      <c r="AK312"/>
      <c r="AL312"/>
      <c r="AM312"/>
      <c r="AN312"/>
      <c r="AO312"/>
    </row>
    <row r="313" spans="2:41" ht="15" customHeight="1">
      <c r="B313" s="1658"/>
      <c r="F313" s="16" t="s">
        <v>466</v>
      </c>
      <c r="G313" s="912">
        <f>MAX(U43,W43)</f>
        <v>172.79</v>
      </c>
      <c r="I313" s="69"/>
      <c r="K313" s="16" t="s">
        <v>468</v>
      </c>
      <c r="L313" s="912">
        <f>MAX(V43,X43)</f>
        <v>2.25</v>
      </c>
      <c r="M313" s="25"/>
      <c r="N313"/>
      <c r="O313"/>
      <c r="P313"/>
      <c r="Q313"/>
      <c r="R313"/>
      <c r="S313"/>
      <c r="T313"/>
      <c r="U313"/>
      <c r="V313"/>
      <c r="W313"/>
      <c r="X313"/>
      <c r="Y313"/>
      <c r="Z313"/>
      <c r="AA313"/>
      <c r="AB313"/>
      <c r="AC313"/>
      <c r="AD313"/>
      <c r="AE313"/>
      <c r="AF313"/>
      <c r="AG313"/>
      <c r="AH313"/>
      <c r="AI313"/>
      <c r="AJ313"/>
      <c r="AK313"/>
      <c r="AL313"/>
      <c r="AM313"/>
      <c r="AN313"/>
      <c r="AO313"/>
    </row>
    <row r="314" spans="2:41" ht="12.75" customHeight="1">
      <c r="B314" s="1658"/>
      <c r="N314"/>
      <c r="O314"/>
      <c r="P314"/>
      <c r="Q314"/>
      <c r="R314"/>
      <c r="S314"/>
      <c r="T314"/>
      <c r="U314"/>
      <c r="V314"/>
      <c r="W314"/>
      <c r="X314"/>
      <c r="Y314"/>
      <c r="Z314"/>
      <c r="AA314"/>
      <c r="AB314"/>
      <c r="AC314"/>
      <c r="AD314"/>
      <c r="AE314"/>
      <c r="AF314"/>
      <c r="AG314"/>
      <c r="AH314"/>
      <c r="AI314"/>
      <c r="AJ314"/>
      <c r="AK314"/>
      <c r="AL314"/>
      <c r="AM314"/>
      <c r="AN314"/>
      <c r="AO314"/>
    </row>
    <row r="315" spans="2:41" ht="12.75" customHeight="1">
      <c r="B315" s="1658"/>
      <c r="F315" s="16" t="s">
        <v>472</v>
      </c>
      <c r="G315" s="912">
        <f>1.25*G312+1.5*L312+1.75*G309</f>
        <v>461.70443928835977</v>
      </c>
      <c r="I315" s="34" t="str">
        <f>"{1.25 x "&amp;FIXED(G312,1)&amp;" k + 1.5 x "&amp;FIXED(L312,1)&amp;" k + 1.75 x "&amp;FIXED(G309,1)&amp;" k}"</f>
        <v>{1.25 x 143.8 k + 1.5 x 2.3 k + 1.75 x 159.2 k}</v>
      </c>
      <c r="N315"/>
      <c r="O315"/>
      <c r="P315"/>
      <c r="Q315"/>
      <c r="R315"/>
      <c r="S315"/>
      <c r="T315"/>
      <c r="U315"/>
      <c r="V315"/>
      <c r="W315"/>
      <c r="X315"/>
      <c r="Y315"/>
      <c r="Z315"/>
      <c r="AA315"/>
      <c r="AB315"/>
      <c r="AC315"/>
      <c r="AD315"/>
      <c r="AE315"/>
      <c r="AF315"/>
      <c r="AG315"/>
      <c r="AH315"/>
      <c r="AI315"/>
      <c r="AJ315"/>
      <c r="AK315"/>
      <c r="AL315"/>
      <c r="AM315"/>
      <c r="AN315"/>
      <c r="AO315"/>
    </row>
    <row r="316" spans="2:41" ht="12.75" customHeight="1">
      <c r="B316" s="1658"/>
      <c r="F316" s="1225" t="s">
        <v>473</v>
      </c>
      <c r="G316" s="912">
        <f>1.25*G313+1.5*L313+1.75*G310</f>
        <v>497.96225178835971</v>
      </c>
      <c r="I316" s="34" t="str">
        <f>"{1.25 x "&amp;FIXED(G313,1)&amp;" k + 1.5 x "&amp;FIXED(L313,1)&amp;" k + 1.75 x "&amp;FIXED(G310,1)&amp;" k}"</f>
        <v>{1.25 x 172.8 k + 1.5 x 2.3 k + 1.75 x 159.2 k}</v>
      </c>
      <c r="N316"/>
      <c r="O316"/>
      <c r="P316"/>
      <c r="Q316"/>
      <c r="R316"/>
      <c r="S316"/>
      <c r="T316"/>
      <c r="U316"/>
      <c r="V316"/>
      <c r="W316"/>
      <c r="X316"/>
      <c r="Y316"/>
      <c r="Z316"/>
      <c r="AA316"/>
      <c r="AB316"/>
      <c r="AC316"/>
      <c r="AD316"/>
      <c r="AE316"/>
      <c r="AF316"/>
      <c r="AG316"/>
      <c r="AH316"/>
      <c r="AI316"/>
      <c r="AJ316"/>
      <c r="AK316"/>
      <c r="AL316"/>
      <c r="AM316"/>
      <c r="AN316"/>
      <c r="AO316"/>
    </row>
    <row r="317" spans="2:41" ht="12.75" customHeight="1">
      <c r="B317" s="1658"/>
      <c r="F317" s="16"/>
      <c r="G317" s="912"/>
      <c r="I317" s="34"/>
      <c r="N317"/>
      <c r="O317"/>
      <c r="P317"/>
      <c r="Q317"/>
      <c r="R317"/>
      <c r="S317"/>
      <c r="T317"/>
      <c r="U317"/>
      <c r="V317"/>
      <c r="W317"/>
      <c r="X317"/>
      <c r="Y317"/>
      <c r="Z317"/>
      <c r="AA317"/>
      <c r="AB317"/>
      <c r="AC317"/>
      <c r="AD317"/>
      <c r="AE317"/>
      <c r="AF317"/>
      <c r="AG317"/>
      <c r="AH317"/>
      <c r="AI317"/>
      <c r="AJ317"/>
      <c r="AK317"/>
      <c r="AL317"/>
      <c r="AM317"/>
      <c r="AN317"/>
      <c r="AO317"/>
    </row>
    <row r="318" spans="2:41" ht="12.75" customHeight="1" thickBot="1">
      <c r="B318" s="1658"/>
      <c r="C318" s="1644" t="s">
        <v>474</v>
      </c>
      <c r="D318" s="1644"/>
      <c r="E318" s="1644"/>
      <c r="F318" s="1644"/>
      <c r="G318" s="1644"/>
      <c r="H318" s="1644"/>
      <c r="I318" s="1644"/>
      <c r="J318" s="1644"/>
      <c r="K318" s="1644"/>
      <c r="L318" s="1644"/>
      <c r="M318" s="1644"/>
      <c r="N318"/>
      <c r="O318"/>
      <c r="P318"/>
      <c r="Q318"/>
      <c r="R318"/>
      <c r="S318"/>
      <c r="T318"/>
      <c r="U318"/>
      <c r="V318"/>
      <c r="W318"/>
      <c r="X318"/>
      <c r="Y318"/>
      <c r="Z318"/>
      <c r="AA318"/>
      <c r="AB318"/>
      <c r="AC318"/>
      <c r="AD318"/>
      <c r="AE318"/>
      <c r="AF318"/>
      <c r="AG318"/>
      <c r="AH318"/>
      <c r="AI318"/>
      <c r="AJ318"/>
      <c r="AK318"/>
      <c r="AL318"/>
      <c r="AM318"/>
      <c r="AN318"/>
      <c r="AO318"/>
    </row>
    <row r="319" spans="2:41" ht="3.75" customHeight="1">
      <c r="B319" s="1658"/>
      <c r="N319"/>
      <c r="O319"/>
      <c r="P319"/>
      <c r="Q319"/>
      <c r="R319"/>
      <c r="S319"/>
      <c r="T319"/>
      <c r="U319"/>
      <c r="V319"/>
      <c r="W319"/>
      <c r="X319"/>
      <c r="Y319"/>
      <c r="Z319"/>
      <c r="AA319"/>
      <c r="AB319"/>
      <c r="AC319"/>
      <c r="AD319"/>
      <c r="AE319"/>
      <c r="AF319"/>
      <c r="AG319"/>
      <c r="AH319"/>
      <c r="AI319"/>
      <c r="AJ319"/>
      <c r="AK319"/>
      <c r="AL319"/>
      <c r="AM319"/>
      <c r="AN319"/>
      <c r="AO319"/>
    </row>
    <row r="320" spans="2:41" ht="15" customHeight="1">
      <c r="B320" s="1658"/>
      <c r="D320" s="44" t="s">
        <v>801</v>
      </c>
      <c r="N320"/>
      <c r="O320"/>
      <c r="P320"/>
      <c r="Q320"/>
      <c r="R320"/>
      <c r="S320"/>
      <c r="T320"/>
      <c r="U320"/>
      <c r="V320"/>
      <c r="W320"/>
      <c r="X320"/>
      <c r="Y320"/>
      <c r="Z320"/>
      <c r="AA320"/>
      <c r="AB320"/>
      <c r="AC320"/>
      <c r="AD320"/>
      <c r="AE320"/>
      <c r="AF320"/>
      <c r="AG320"/>
      <c r="AH320"/>
      <c r="AI320"/>
      <c r="AJ320"/>
      <c r="AK320"/>
      <c r="AL320"/>
      <c r="AM320"/>
      <c r="AN320"/>
      <c r="AO320"/>
    </row>
    <row r="321" spans="2:41" ht="15" customHeight="1">
      <c r="B321" s="1659"/>
      <c r="G321" s="1125" t="s">
        <v>430</v>
      </c>
      <c r="H321" s="1125"/>
      <c r="I321" s="1125" t="s">
        <v>431</v>
      </c>
      <c r="N321"/>
      <c r="O321"/>
      <c r="P321"/>
      <c r="Q321"/>
      <c r="R321"/>
      <c r="S321"/>
      <c r="T321"/>
      <c r="U321"/>
      <c r="V321"/>
      <c r="W321"/>
      <c r="X321"/>
      <c r="Y321"/>
      <c r="Z321"/>
      <c r="AA321"/>
      <c r="AB321"/>
      <c r="AC321"/>
      <c r="AD321"/>
      <c r="AE321"/>
      <c r="AF321"/>
      <c r="AG321"/>
      <c r="AH321"/>
      <c r="AI321"/>
      <c r="AJ321"/>
      <c r="AK321"/>
      <c r="AL321"/>
      <c r="AM321"/>
      <c r="AN321"/>
      <c r="AO321"/>
    </row>
    <row r="322" spans="2:41" ht="15" customHeight="1">
      <c r="B322" s="899"/>
      <c r="D322" t="s">
        <v>804</v>
      </c>
      <c r="F322" s="174" t="s">
        <v>321</v>
      </c>
      <c r="G322" s="1005">
        <f>G312+L312+G309</f>
        <v>305.23360816477702</v>
      </c>
      <c r="H322" s="26"/>
      <c r="I322" s="1005">
        <f>G315</f>
        <v>461.70443928835977</v>
      </c>
      <c r="N322"/>
      <c r="O322"/>
      <c r="P322"/>
      <c r="Q322"/>
      <c r="R322"/>
      <c r="S322"/>
      <c r="T322"/>
      <c r="U322"/>
      <c r="V322"/>
      <c r="W322"/>
      <c r="X322"/>
      <c r="Y322"/>
      <c r="Z322"/>
      <c r="AA322"/>
      <c r="AB322"/>
      <c r="AC322"/>
      <c r="AD322"/>
      <c r="AE322"/>
      <c r="AF322"/>
      <c r="AG322"/>
      <c r="AH322"/>
      <c r="AI322"/>
      <c r="AJ322"/>
      <c r="AK322"/>
      <c r="AL322"/>
      <c r="AM322"/>
      <c r="AN322"/>
      <c r="AO322"/>
    </row>
    <row r="323" spans="2:41" ht="15" customHeight="1">
      <c r="B323" s="16"/>
      <c r="D323" t="s">
        <v>805</v>
      </c>
      <c r="F323" s="174" t="s">
        <v>322</v>
      </c>
      <c r="G323" s="1005">
        <f>G313+L313+G310</f>
        <v>334.23985816477699</v>
      </c>
      <c r="H323" s="26"/>
      <c r="I323" s="1005">
        <f>G316</f>
        <v>497.96225178835971</v>
      </c>
      <c r="N323"/>
      <c r="O323"/>
      <c r="P323"/>
      <c r="Q323"/>
      <c r="R323"/>
      <c r="S323"/>
      <c r="T323"/>
      <c r="U323"/>
      <c r="V323"/>
      <c r="W323"/>
      <c r="X323"/>
      <c r="Y323"/>
      <c r="Z323"/>
      <c r="AA323"/>
      <c r="AB323"/>
      <c r="AC323"/>
      <c r="AD323"/>
      <c r="AE323"/>
      <c r="AF323"/>
      <c r="AG323"/>
      <c r="AH323"/>
      <c r="AI323"/>
      <c r="AJ323"/>
      <c r="AK323"/>
      <c r="AL323"/>
      <c r="AM323"/>
      <c r="AN323"/>
      <c r="AO323"/>
    </row>
    <row r="324" spans="2:41" ht="15" customHeight="1">
      <c r="B324" s="16"/>
      <c r="D324" s="290"/>
      <c r="E324" s="116"/>
      <c r="F324" s="1127"/>
      <c r="G324" s="1128"/>
      <c r="H324" s="1127"/>
      <c r="I324" s="290"/>
      <c r="R324"/>
      <c r="S324"/>
      <c r="T324"/>
      <c r="U324"/>
      <c r="V324"/>
      <c r="W324"/>
      <c r="X324"/>
      <c r="Y324"/>
      <c r="Z324"/>
      <c r="AA324"/>
      <c r="AB324"/>
      <c r="AC324"/>
      <c r="AD324"/>
      <c r="AE324"/>
      <c r="AF324"/>
      <c r="AG324"/>
      <c r="AH324"/>
      <c r="AI324"/>
      <c r="AJ324"/>
      <c r="AK324"/>
      <c r="AL324"/>
      <c r="AM324"/>
      <c r="AN324"/>
      <c r="AO324"/>
    </row>
    <row r="325" spans="2:41" ht="15" customHeight="1">
      <c r="B325" s="16"/>
      <c r="D325" s="973" t="s">
        <v>320</v>
      </c>
      <c r="E325" s="116"/>
      <c r="F325" s="1127"/>
      <c r="G325" s="1128"/>
      <c r="H325" s="1127"/>
      <c r="I325" s="290"/>
      <c r="R325"/>
      <c r="S325"/>
      <c r="T325"/>
      <c r="U325"/>
      <c r="V325"/>
      <c r="W325"/>
      <c r="X325"/>
      <c r="Y325"/>
      <c r="Z325"/>
      <c r="AA325"/>
      <c r="AB325"/>
      <c r="AC325"/>
      <c r="AD325"/>
      <c r="AE325"/>
      <c r="AF325"/>
      <c r="AG325"/>
      <c r="AH325"/>
      <c r="AI325"/>
      <c r="AJ325"/>
      <c r="AK325"/>
      <c r="AL325"/>
      <c r="AM325"/>
      <c r="AN325"/>
      <c r="AO325"/>
    </row>
    <row r="326" spans="2:41" ht="15" customHeight="1">
      <c r="B326" s="16"/>
      <c r="F326" s="1186" t="s">
        <v>1379</v>
      </c>
      <c r="G326" s="1187" t="e">
        <f>MAX(I294:I296,L294:L296)</f>
        <v>#DIV/0!</v>
      </c>
      <c r="R326"/>
      <c r="S326"/>
      <c r="T326"/>
      <c r="U326"/>
      <c r="V326"/>
      <c r="W326"/>
      <c r="X326"/>
      <c r="Y326"/>
      <c r="Z326"/>
      <c r="AA326"/>
      <c r="AB326"/>
      <c r="AC326"/>
      <c r="AD326"/>
      <c r="AE326"/>
      <c r="AF326"/>
      <c r="AG326"/>
      <c r="AH326"/>
      <c r="AI326"/>
      <c r="AJ326"/>
      <c r="AK326"/>
      <c r="AL326"/>
      <c r="AM326"/>
      <c r="AN326"/>
      <c r="AO326"/>
    </row>
    <row r="327" spans="2:41" ht="15" customHeight="1">
      <c r="B327" s="16"/>
      <c r="D327" s="174"/>
      <c r="F327" s="26"/>
      <c r="R327"/>
      <c r="S327"/>
      <c r="T327"/>
      <c r="U327"/>
      <c r="V327"/>
      <c r="W327"/>
      <c r="X327"/>
      <c r="Y327"/>
      <c r="Z327"/>
      <c r="AA327"/>
      <c r="AB327"/>
      <c r="AC327"/>
      <c r="AD327"/>
      <c r="AE327"/>
      <c r="AF327"/>
      <c r="AG327"/>
      <c r="AH327"/>
      <c r="AI327"/>
      <c r="AJ327"/>
      <c r="AK327"/>
      <c r="AL327"/>
      <c r="AM327"/>
      <c r="AN327"/>
      <c r="AO327"/>
    </row>
    <row r="328" spans="2:41" ht="15" customHeight="1">
      <c r="B328" s="16"/>
      <c r="D328" s="973" t="s">
        <v>1375</v>
      </c>
      <c r="E328" s="116"/>
      <c r="F328" s="1127"/>
      <c r="G328" s="1128"/>
      <c r="R328"/>
      <c r="S328"/>
      <c r="T328"/>
      <c r="U328"/>
      <c r="V328"/>
      <c r="W328"/>
      <c r="X328"/>
      <c r="Y328"/>
      <c r="Z328"/>
      <c r="AA328"/>
      <c r="AB328"/>
      <c r="AC328"/>
      <c r="AD328"/>
      <c r="AE328"/>
      <c r="AF328"/>
      <c r="AG328"/>
      <c r="AH328"/>
      <c r="AI328"/>
      <c r="AJ328"/>
      <c r="AK328"/>
      <c r="AL328"/>
      <c r="AM328"/>
      <c r="AN328"/>
      <c r="AO328"/>
    </row>
    <row r="329" spans="2:41" ht="15" customHeight="1">
      <c r="B329" s="16"/>
      <c r="F329" s="174" t="s">
        <v>323</v>
      </c>
      <c r="G329" s="1187" t="e">
        <f>MAX(G294,J294)</f>
        <v>#DIV/0!</v>
      </c>
      <c r="I329" s="1186" t="s">
        <v>1376</v>
      </c>
      <c r="J329" s="1190" t="e">
        <f>IF(G329=G294,H294,K294)</f>
        <v>#DIV/0!</v>
      </c>
      <c r="R329"/>
      <c r="S329"/>
      <c r="T329"/>
      <c r="U329"/>
      <c r="V329"/>
      <c r="W329"/>
      <c r="X329"/>
      <c r="Y329"/>
      <c r="Z329"/>
      <c r="AA329"/>
      <c r="AB329"/>
      <c r="AC329"/>
      <c r="AD329"/>
      <c r="AE329"/>
      <c r="AF329"/>
      <c r="AG329"/>
      <c r="AH329"/>
      <c r="AI329"/>
      <c r="AJ329"/>
      <c r="AK329"/>
      <c r="AL329"/>
      <c r="AM329"/>
      <c r="AN329"/>
      <c r="AO329"/>
    </row>
    <row r="330" spans="2:41" ht="15" customHeight="1">
      <c r="B330" s="16"/>
      <c r="F330" s="1186" t="s">
        <v>1380</v>
      </c>
      <c r="G330" s="1187" t="e">
        <f>IF(J330=H295,G295,J295)</f>
        <v>#DIV/0!</v>
      </c>
      <c r="I330" s="1186" t="s">
        <v>1377</v>
      </c>
      <c r="J330" s="1190" t="e">
        <f>IF(ABS(H295)&gt;ABS(K295),H295,K295)</f>
        <v>#DIV/0!</v>
      </c>
      <c r="R330"/>
      <c r="S330"/>
      <c r="T330"/>
      <c r="U330"/>
      <c r="V330"/>
      <c r="W330"/>
      <c r="X330"/>
      <c r="Y330"/>
      <c r="Z330"/>
      <c r="AA330"/>
      <c r="AB330"/>
      <c r="AC330"/>
      <c r="AD330"/>
      <c r="AE330"/>
      <c r="AF330"/>
      <c r="AG330"/>
      <c r="AH330"/>
      <c r="AI330"/>
      <c r="AJ330"/>
      <c r="AK330"/>
      <c r="AL330"/>
      <c r="AM330"/>
      <c r="AN330"/>
      <c r="AO330"/>
    </row>
    <row r="337" spans="2:2" s="337" customFormat="1">
      <c r="B337" s="347"/>
    </row>
    <row r="338" spans="2:2" s="337" customFormat="1">
      <c r="B338" s="347"/>
    </row>
    <row r="339" spans="2:2" s="337" customFormat="1">
      <c r="B339" s="347"/>
    </row>
    <row r="340" spans="2:2" s="337" customFormat="1">
      <c r="B340" s="347"/>
    </row>
    <row r="341" spans="2:2" s="337" customFormat="1">
      <c r="B341" s="347"/>
    </row>
    <row r="342" spans="2:2" s="337" customFormat="1">
      <c r="B342" s="347"/>
    </row>
    <row r="343" spans="2:2" s="337" customFormat="1">
      <c r="B343" s="347"/>
    </row>
    <row r="344" spans="2:2" s="337" customFormat="1">
      <c r="B344" s="347"/>
    </row>
    <row r="345" spans="2:2" s="337" customFormat="1">
      <c r="B345" s="347"/>
    </row>
    <row r="346" spans="2:2" s="337" customFormat="1">
      <c r="B346" s="347"/>
    </row>
    <row r="347" spans="2:2" s="337" customFormat="1">
      <c r="B347" s="347"/>
    </row>
    <row r="348" spans="2:2" s="337" customFormat="1">
      <c r="B348" s="347"/>
    </row>
    <row r="349" spans="2:2" s="337" customFormat="1">
      <c r="B349" s="347"/>
    </row>
    <row r="350" spans="2:2" s="337" customFormat="1">
      <c r="B350" s="347"/>
    </row>
    <row r="351" spans="2:2" s="337" customFormat="1">
      <c r="B351" s="347"/>
    </row>
    <row r="352" spans="2:2" s="337" customFormat="1">
      <c r="B352" s="347"/>
    </row>
    <row r="353" spans="2:15" s="337" customFormat="1">
      <c r="B353" s="347"/>
    </row>
    <row r="354" spans="2:15" s="337" customFormat="1">
      <c r="B354" s="347"/>
    </row>
    <row r="355" spans="2:15" s="337" customFormat="1">
      <c r="B355" s="347"/>
    </row>
    <row r="356" spans="2:15" s="337" customFormat="1">
      <c r="B356" s="347"/>
    </row>
    <row r="357" spans="2:15" s="337" customFormat="1">
      <c r="B357" s="347"/>
    </row>
    <row r="358" spans="2:15" s="337" customFormat="1">
      <c r="B358" s="347"/>
    </row>
    <row r="359" spans="2:15" s="337" customFormat="1">
      <c r="B359" s="347"/>
    </row>
    <row r="360" spans="2:15" s="337" customFormat="1">
      <c r="B360" s="347"/>
    </row>
    <row r="361" spans="2:15" s="337" customFormat="1">
      <c r="B361" s="347"/>
    </row>
    <row r="362" spans="2:15" s="337" customFormat="1">
      <c r="B362" s="347"/>
    </row>
    <row r="363" spans="2:15" s="337" customFormat="1">
      <c r="B363" s="347"/>
    </row>
    <row r="364" spans="2:15" s="337" customFormat="1">
      <c r="B364" s="347"/>
      <c r="O364" s="337" t="b">
        <v>0</v>
      </c>
    </row>
    <row r="365" spans="2:15" s="337" customFormat="1">
      <c r="B365" s="347"/>
    </row>
    <row r="366" spans="2:15" s="337" customFormat="1">
      <c r="B366" s="347"/>
    </row>
    <row r="367" spans="2:15" s="337" customFormat="1">
      <c r="B367" s="347"/>
    </row>
    <row r="368" spans="2:15" s="337" customFormat="1">
      <c r="B368" s="347"/>
    </row>
    <row r="369" spans="2:2" s="337" customFormat="1">
      <c r="B369" s="347"/>
    </row>
    <row r="370" spans="2:2" s="337" customFormat="1">
      <c r="B370" s="347"/>
    </row>
    <row r="371" spans="2:2" s="337" customFormat="1">
      <c r="B371" s="347"/>
    </row>
    <row r="372" spans="2:2" s="337" customFormat="1">
      <c r="B372" s="347"/>
    </row>
    <row r="373" spans="2:2" s="337" customFormat="1">
      <c r="B373" s="347"/>
    </row>
    <row r="374" spans="2:2" s="337" customFormat="1">
      <c r="B374" s="347"/>
    </row>
    <row r="375" spans="2:2" s="337" customFormat="1">
      <c r="B375" s="347"/>
    </row>
    <row r="376" spans="2:2" s="337" customFormat="1">
      <c r="B376" s="347"/>
    </row>
    <row r="377" spans="2:2" s="337" customFormat="1">
      <c r="B377" s="347"/>
    </row>
    <row r="378" spans="2:2" s="337" customFormat="1">
      <c r="B378" s="347"/>
    </row>
    <row r="379" spans="2:2" s="337" customFormat="1">
      <c r="B379" s="347"/>
    </row>
    <row r="380" spans="2:2" s="337" customFormat="1">
      <c r="B380" s="347"/>
    </row>
    <row r="381" spans="2:2" s="337" customFormat="1">
      <c r="B381" s="347"/>
    </row>
    <row r="382" spans="2:2" s="337" customFormat="1">
      <c r="B382" s="347"/>
    </row>
    <row r="383" spans="2:2" s="337" customFormat="1">
      <c r="B383" s="347"/>
    </row>
    <row r="384" spans="2:2" s="337" customFormat="1">
      <c r="B384" s="347"/>
    </row>
    <row r="385" spans="2:2" s="337" customFormat="1">
      <c r="B385" s="347"/>
    </row>
    <row r="386" spans="2:2" s="337" customFormat="1">
      <c r="B386" s="347"/>
    </row>
    <row r="387" spans="2:2" s="337" customFormat="1">
      <c r="B387" s="347"/>
    </row>
    <row r="388" spans="2:2" s="337" customFormat="1">
      <c r="B388" s="347"/>
    </row>
    <row r="389" spans="2:2" s="337" customFormat="1">
      <c r="B389" s="347"/>
    </row>
    <row r="390" spans="2:2" s="337" customFormat="1">
      <c r="B390" s="347"/>
    </row>
    <row r="391" spans="2:2" s="337" customFormat="1">
      <c r="B391" s="347"/>
    </row>
    <row r="392" spans="2:2" s="337" customFormat="1">
      <c r="B392" s="347"/>
    </row>
    <row r="393" spans="2:2" s="337" customFormat="1">
      <c r="B393" s="347"/>
    </row>
    <row r="394" spans="2:2" s="337" customFormat="1">
      <c r="B394" s="347"/>
    </row>
    <row r="395" spans="2:2" s="337" customFormat="1">
      <c r="B395" s="347"/>
    </row>
    <row r="396" spans="2:2" s="337" customFormat="1">
      <c r="B396" s="347"/>
    </row>
    <row r="397" spans="2:2" s="337" customFormat="1">
      <c r="B397" s="347"/>
    </row>
    <row r="398" spans="2:2" s="337" customFormat="1">
      <c r="B398" s="347"/>
    </row>
    <row r="399" spans="2:2" s="337" customFormat="1">
      <c r="B399" s="347"/>
    </row>
    <row r="400" spans="2:2" s="337" customFormat="1">
      <c r="B400" s="347"/>
    </row>
    <row r="401" spans="2:2" s="337" customFormat="1">
      <c r="B401" s="347"/>
    </row>
    <row r="402" spans="2:2" s="337" customFormat="1">
      <c r="B402" s="347"/>
    </row>
    <row r="403" spans="2:2" s="337" customFormat="1">
      <c r="B403" s="347"/>
    </row>
    <row r="404" spans="2:2" s="337" customFormat="1">
      <c r="B404" s="347"/>
    </row>
    <row r="405" spans="2:2" s="337" customFormat="1">
      <c r="B405" s="347"/>
    </row>
    <row r="406" spans="2:2" s="337" customFormat="1">
      <c r="B406" s="347"/>
    </row>
    <row r="407" spans="2:2" s="337" customFormat="1">
      <c r="B407" s="347"/>
    </row>
    <row r="408" spans="2:2" s="337" customFormat="1">
      <c r="B408" s="347"/>
    </row>
    <row r="409" spans="2:2" s="337" customFormat="1">
      <c r="B409" s="347"/>
    </row>
    <row r="410" spans="2:2" s="337" customFormat="1">
      <c r="B410" s="347"/>
    </row>
    <row r="411" spans="2:2" s="337" customFormat="1">
      <c r="B411" s="347"/>
    </row>
    <row r="412" spans="2:2" s="337" customFormat="1">
      <c r="B412" s="347"/>
    </row>
    <row r="413" spans="2:2" s="337" customFormat="1">
      <c r="B413" s="347"/>
    </row>
    <row r="414" spans="2:2" s="337" customFormat="1">
      <c r="B414" s="347"/>
    </row>
    <row r="415" spans="2:2" s="337" customFormat="1">
      <c r="B415" s="347"/>
    </row>
    <row r="416" spans="2:2" s="337" customFormat="1">
      <c r="B416" s="347"/>
    </row>
    <row r="417" spans="2:2" s="337" customFormat="1">
      <c r="B417" s="347"/>
    </row>
    <row r="418" spans="2:2" s="337" customFormat="1">
      <c r="B418" s="347"/>
    </row>
    <row r="419" spans="2:2" s="337" customFormat="1">
      <c r="B419" s="347"/>
    </row>
    <row r="420" spans="2:2" s="337" customFormat="1">
      <c r="B420" s="347"/>
    </row>
    <row r="421" spans="2:2" s="337" customFormat="1">
      <c r="B421" s="347"/>
    </row>
    <row r="422" spans="2:2" s="337" customFormat="1">
      <c r="B422" s="347"/>
    </row>
    <row r="423" spans="2:2" s="337" customFormat="1">
      <c r="B423" s="347"/>
    </row>
    <row r="424" spans="2:2" s="337" customFormat="1">
      <c r="B424" s="347"/>
    </row>
    <row r="425" spans="2:2" s="337" customFormat="1">
      <c r="B425" s="347"/>
    </row>
    <row r="426" spans="2:2" s="337" customFormat="1">
      <c r="B426" s="347"/>
    </row>
    <row r="427" spans="2:2" s="337" customFormat="1">
      <c r="B427" s="347"/>
    </row>
    <row r="428" spans="2:2" s="337" customFormat="1">
      <c r="B428" s="347"/>
    </row>
    <row r="429" spans="2:2" s="337" customFormat="1">
      <c r="B429" s="347"/>
    </row>
    <row r="430" spans="2:2" s="337" customFormat="1">
      <c r="B430" s="347"/>
    </row>
    <row r="431" spans="2:2" s="337" customFormat="1">
      <c r="B431" s="347"/>
    </row>
    <row r="432" spans="2:2" s="337" customFormat="1">
      <c r="B432" s="347"/>
    </row>
    <row r="433" spans="2:2" s="337" customFormat="1">
      <c r="B433" s="347"/>
    </row>
    <row r="434" spans="2:2" s="337" customFormat="1">
      <c r="B434" s="347"/>
    </row>
    <row r="435" spans="2:2" s="337" customFormat="1">
      <c r="B435" s="347"/>
    </row>
    <row r="436" spans="2:2" s="337" customFormat="1">
      <c r="B436" s="347"/>
    </row>
    <row r="437" spans="2:2" s="337" customFormat="1">
      <c r="B437" s="347"/>
    </row>
    <row r="438" spans="2:2" s="337" customFormat="1">
      <c r="B438" s="347"/>
    </row>
    <row r="439" spans="2:2" s="337" customFormat="1">
      <c r="B439" s="347"/>
    </row>
    <row r="440" spans="2:2" s="337" customFormat="1">
      <c r="B440" s="347"/>
    </row>
    <row r="441" spans="2:2" s="337" customFormat="1">
      <c r="B441" s="347"/>
    </row>
    <row r="442" spans="2:2" s="337" customFormat="1">
      <c r="B442" s="347"/>
    </row>
    <row r="443" spans="2:2" s="337" customFormat="1">
      <c r="B443" s="347"/>
    </row>
    <row r="444" spans="2:2" s="337" customFormat="1">
      <c r="B444" s="347"/>
    </row>
    <row r="445" spans="2:2" s="337" customFormat="1">
      <c r="B445" s="347"/>
    </row>
    <row r="446" spans="2:2" s="337" customFormat="1">
      <c r="B446" s="347"/>
    </row>
    <row r="447" spans="2:2" s="337" customFormat="1">
      <c r="B447" s="347"/>
    </row>
    <row r="448" spans="2:2" s="337" customFormat="1">
      <c r="B448" s="347"/>
    </row>
    <row r="449" spans="2:2" s="337" customFormat="1">
      <c r="B449" s="347"/>
    </row>
    <row r="450" spans="2:2" s="337" customFormat="1">
      <c r="B450" s="347"/>
    </row>
    <row r="451" spans="2:2" s="337" customFormat="1">
      <c r="B451" s="347"/>
    </row>
    <row r="452" spans="2:2" s="337" customFormat="1">
      <c r="B452" s="347"/>
    </row>
    <row r="453" spans="2:2" s="337" customFormat="1">
      <c r="B453" s="347"/>
    </row>
    <row r="454" spans="2:2" s="337" customFormat="1">
      <c r="B454" s="347"/>
    </row>
    <row r="455" spans="2:2" s="337" customFormat="1">
      <c r="B455" s="347"/>
    </row>
    <row r="456" spans="2:2" s="337" customFormat="1">
      <c r="B456" s="347"/>
    </row>
    <row r="457" spans="2:2" s="337" customFormat="1">
      <c r="B457" s="347"/>
    </row>
    <row r="458" spans="2:2" s="337" customFormat="1">
      <c r="B458" s="347"/>
    </row>
    <row r="459" spans="2:2" s="337" customFormat="1">
      <c r="B459" s="347"/>
    </row>
    <row r="460" spans="2:2" s="337" customFormat="1">
      <c r="B460" s="347"/>
    </row>
    <row r="461" spans="2:2" s="337" customFormat="1">
      <c r="B461" s="347"/>
    </row>
    <row r="462" spans="2:2" s="337" customFormat="1">
      <c r="B462" s="347"/>
    </row>
    <row r="463" spans="2:2" s="337" customFormat="1">
      <c r="B463" s="347"/>
    </row>
    <row r="464" spans="2:2" s="337" customFormat="1">
      <c r="B464" s="347"/>
    </row>
    <row r="465" spans="2:2" s="337" customFormat="1">
      <c r="B465" s="347"/>
    </row>
    <row r="466" spans="2:2" s="337" customFormat="1">
      <c r="B466" s="347"/>
    </row>
    <row r="467" spans="2:2" s="337" customFormat="1">
      <c r="B467" s="347"/>
    </row>
    <row r="468" spans="2:2" s="337" customFormat="1">
      <c r="B468" s="347"/>
    </row>
    <row r="469" spans="2:2" s="337" customFormat="1">
      <c r="B469" s="347"/>
    </row>
    <row r="470" spans="2:2" s="337" customFormat="1">
      <c r="B470" s="347"/>
    </row>
    <row r="471" spans="2:2" s="337" customFormat="1">
      <c r="B471" s="347"/>
    </row>
    <row r="472" spans="2:2" s="337" customFormat="1">
      <c r="B472" s="347"/>
    </row>
    <row r="473" spans="2:2" s="337" customFormat="1">
      <c r="B473" s="347"/>
    </row>
    <row r="474" spans="2:2" s="337" customFormat="1">
      <c r="B474" s="347"/>
    </row>
    <row r="475" spans="2:2" s="337" customFormat="1">
      <c r="B475" s="347"/>
    </row>
    <row r="476" spans="2:2" s="337" customFormat="1">
      <c r="B476" s="347"/>
    </row>
    <row r="477" spans="2:2" s="337" customFormat="1">
      <c r="B477" s="347"/>
    </row>
    <row r="478" spans="2:2" s="337" customFormat="1">
      <c r="B478" s="347"/>
    </row>
    <row r="479" spans="2:2" s="337" customFormat="1">
      <c r="B479" s="347"/>
    </row>
    <row r="480" spans="2:2" s="337" customFormat="1">
      <c r="B480" s="347"/>
    </row>
    <row r="481" spans="2:2" s="337" customFormat="1">
      <c r="B481" s="347"/>
    </row>
    <row r="482" spans="2:2" s="337" customFormat="1">
      <c r="B482" s="347"/>
    </row>
    <row r="483" spans="2:2" s="337" customFormat="1">
      <c r="B483" s="347"/>
    </row>
    <row r="484" spans="2:2" s="337" customFormat="1">
      <c r="B484" s="347"/>
    </row>
    <row r="485" spans="2:2" s="337" customFormat="1">
      <c r="B485" s="347"/>
    </row>
    <row r="486" spans="2:2" s="337" customFormat="1">
      <c r="B486" s="347"/>
    </row>
    <row r="487" spans="2:2" s="337" customFormat="1">
      <c r="B487" s="347"/>
    </row>
    <row r="488" spans="2:2" s="337" customFormat="1">
      <c r="B488" s="347"/>
    </row>
    <row r="489" spans="2:2" s="337" customFormat="1">
      <c r="B489" s="347"/>
    </row>
    <row r="490" spans="2:2" s="337" customFormat="1">
      <c r="B490" s="347"/>
    </row>
    <row r="491" spans="2:2" s="337" customFormat="1">
      <c r="B491" s="347"/>
    </row>
    <row r="492" spans="2:2" s="337" customFormat="1">
      <c r="B492" s="347"/>
    </row>
    <row r="493" spans="2:2" s="337" customFormat="1">
      <c r="B493" s="347"/>
    </row>
    <row r="494" spans="2:2" s="337" customFormat="1">
      <c r="B494" s="347"/>
    </row>
    <row r="495" spans="2:2" s="337" customFormat="1">
      <c r="B495" s="347"/>
    </row>
    <row r="496" spans="2:2" s="337" customFormat="1">
      <c r="B496" s="347"/>
    </row>
    <row r="497" spans="2:2" s="337" customFormat="1">
      <c r="B497" s="347"/>
    </row>
    <row r="498" spans="2:2" s="337" customFormat="1">
      <c r="B498" s="347"/>
    </row>
    <row r="499" spans="2:2" s="337" customFormat="1">
      <c r="B499" s="347"/>
    </row>
    <row r="500" spans="2:2" s="337" customFormat="1">
      <c r="B500" s="347"/>
    </row>
    <row r="501" spans="2:2" s="337" customFormat="1">
      <c r="B501" s="347"/>
    </row>
    <row r="502" spans="2:2" s="337" customFormat="1">
      <c r="B502" s="347"/>
    </row>
    <row r="503" spans="2:2" s="337" customFormat="1">
      <c r="B503" s="347"/>
    </row>
    <row r="504" spans="2:2" s="337" customFormat="1">
      <c r="B504" s="347"/>
    </row>
    <row r="505" spans="2:2" s="337" customFormat="1">
      <c r="B505" s="347"/>
    </row>
    <row r="506" spans="2:2" s="337" customFormat="1">
      <c r="B506" s="347"/>
    </row>
    <row r="507" spans="2:2" s="337" customFormat="1">
      <c r="B507" s="347"/>
    </row>
    <row r="508" spans="2:2" s="337" customFormat="1">
      <c r="B508" s="347"/>
    </row>
    <row r="509" spans="2:2" s="337" customFormat="1">
      <c r="B509" s="347"/>
    </row>
    <row r="510" spans="2:2" s="337" customFormat="1">
      <c r="B510" s="347"/>
    </row>
    <row r="511" spans="2:2" s="337" customFormat="1">
      <c r="B511" s="347"/>
    </row>
    <row r="512" spans="2:2" s="337" customFormat="1">
      <c r="B512" s="347"/>
    </row>
    <row r="513" spans="2:2" s="337" customFormat="1">
      <c r="B513" s="347"/>
    </row>
    <row r="514" spans="2:2" s="337" customFormat="1">
      <c r="B514" s="347"/>
    </row>
    <row r="515" spans="2:2" s="337" customFormat="1">
      <c r="B515" s="347"/>
    </row>
    <row r="516" spans="2:2" s="337" customFormat="1">
      <c r="B516" s="347"/>
    </row>
    <row r="517" spans="2:2" s="337" customFormat="1">
      <c r="B517" s="347"/>
    </row>
    <row r="518" spans="2:2" s="337" customFormat="1">
      <c r="B518" s="347"/>
    </row>
    <row r="519" spans="2:2" s="337" customFormat="1">
      <c r="B519" s="347"/>
    </row>
    <row r="520" spans="2:2" s="337" customFormat="1">
      <c r="B520" s="347"/>
    </row>
    <row r="521" spans="2:2" s="337" customFormat="1">
      <c r="B521" s="347"/>
    </row>
    <row r="522" spans="2:2" s="337" customFormat="1">
      <c r="B522" s="347"/>
    </row>
    <row r="523" spans="2:2" s="337" customFormat="1">
      <c r="B523" s="347"/>
    </row>
    <row r="524" spans="2:2" s="337" customFormat="1">
      <c r="B524" s="347"/>
    </row>
    <row r="525" spans="2:2" s="337" customFormat="1">
      <c r="B525" s="347"/>
    </row>
    <row r="526" spans="2:2" s="337" customFormat="1">
      <c r="B526" s="347"/>
    </row>
    <row r="527" spans="2:2" s="337" customFormat="1">
      <c r="B527" s="347"/>
    </row>
    <row r="528" spans="2:2" s="337" customFormat="1">
      <c r="B528" s="347"/>
    </row>
    <row r="529" spans="2:2" s="337" customFormat="1">
      <c r="B529" s="347"/>
    </row>
    <row r="530" spans="2:2" s="337" customFormat="1">
      <c r="B530" s="347"/>
    </row>
    <row r="531" spans="2:2" s="337" customFormat="1">
      <c r="B531" s="347"/>
    </row>
    <row r="532" spans="2:2" s="337" customFormat="1">
      <c r="B532" s="347"/>
    </row>
    <row r="533" spans="2:2" s="337" customFormat="1">
      <c r="B533" s="347"/>
    </row>
    <row r="534" spans="2:2" s="337" customFormat="1">
      <c r="B534" s="347"/>
    </row>
    <row r="535" spans="2:2" s="337" customFormat="1">
      <c r="B535" s="347"/>
    </row>
    <row r="536" spans="2:2" s="337" customFormat="1">
      <c r="B536" s="347"/>
    </row>
    <row r="537" spans="2:2" s="337" customFormat="1">
      <c r="B537" s="347"/>
    </row>
    <row r="538" spans="2:2" s="337" customFormat="1">
      <c r="B538" s="347"/>
    </row>
    <row r="539" spans="2:2" s="337" customFormat="1">
      <c r="B539" s="347"/>
    </row>
    <row r="540" spans="2:2" s="337" customFormat="1">
      <c r="B540" s="347"/>
    </row>
    <row r="541" spans="2:2" s="337" customFormat="1">
      <c r="B541" s="347"/>
    </row>
    <row r="542" spans="2:2" s="337" customFormat="1">
      <c r="B542" s="347"/>
    </row>
    <row r="543" spans="2:2" s="337" customFormat="1">
      <c r="B543" s="347"/>
    </row>
    <row r="544" spans="2:2" s="337" customFormat="1">
      <c r="B544" s="347"/>
    </row>
    <row r="545" spans="2:2" s="337" customFormat="1">
      <c r="B545" s="347"/>
    </row>
    <row r="546" spans="2:2" s="337" customFormat="1">
      <c r="B546" s="347"/>
    </row>
    <row r="547" spans="2:2" s="337" customFormat="1">
      <c r="B547" s="347"/>
    </row>
    <row r="548" spans="2:2" s="337" customFormat="1">
      <c r="B548" s="347"/>
    </row>
    <row r="549" spans="2:2" s="337" customFormat="1">
      <c r="B549" s="347"/>
    </row>
    <row r="550" spans="2:2" s="337" customFormat="1">
      <c r="B550" s="347"/>
    </row>
    <row r="551" spans="2:2" s="337" customFormat="1">
      <c r="B551" s="347"/>
    </row>
    <row r="552" spans="2:2" s="337" customFormat="1">
      <c r="B552" s="347"/>
    </row>
    <row r="553" spans="2:2" s="337" customFormat="1">
      <c r="B553" s="347"/>
    </row>
    <row r="554" spans="2:2" s="337" customFormat="1">
      <c r="B554" s="347"/>
    </row>
    <row r="555" spans="2:2" s="337" customFormat="1">
      <c r="B555" s="347"/>
    </row>
    <row r="556" spans="2:2" s="337" customFormat="1">
      <c r="B556" s="347"/>
    </row>
    <row r="557" spans="2:2" s="337" customFormat="1">
      <c r="B557" s="347"/>
    </row>
    <row r="558" spans="2:2" s="337" customFormat="1">
      <c r="B558" s="347"/>
    </row>
    <row r="559" spans="2:2" s="337" customFormat="1">
      <c r="B559" s="347"/>
    </row>
    <row r="560" spans="2:2" s="337" customFormat="1">
      <c r="B560" s="347"/>
    </row>
    <row r="561" spans="2:2" s="337" customFormat="1">
      <c r="B561" s="347"/>
    </row>
    <row r="562" spans="2:2" s="337" customFormat="1">
      <c r="B562" s="347"/>
    </row>
    <row r="563" spans="2:2" s="337" customFormat="1">
      <c r="B563" s="347"/>
    </row>
    <row r="564" spans="2:2" s="337" customFormat="1">
      <c r="B564" s="347"/>
    </row>
    <row r="565" spans="2:2" s="337" customFormat="1">
      <c r="B565" s="347"/>
    </row>
    <row r="566" spans="2:2" s="337" customFormat="1">
      <c r="B566" s="347"/>
    </row>
    <row r="567" spans="2:2" s="337" customFormat="1">
      <c r="B567" s="347"/>
    </row>
    <row r="568" spans="2:2" s="337" customFormat="1">
      <c r="B568" s="347"/>
    </row>
    <row r="569" spans="2:2" s="337" customFormat="1">
      <c r="B569" s="347"/>
    </row>
    <row r="570" spans="2:2" s="337" customFormat="1">
      <c r="B570" s="347"/>
    </row>
    <row r="571" spans="2:2" s="337" customFormat="1">
      <c r="B571" s="347"/>
    </row>
    <row r="572" spans="2:2" s="337" customFormat="1">
      <c r="B572" s="347"/>
    </row>
    <row r="573" spans="2:2" s="337" customFormat="1">
      <c r="B573" s="347"/>
    </row>
    <row r="574" spans="2:2" s="337" customFormat="1">
      <c r="B574" s="347"/>
    </row>
    <row r="575" spans="2:2" s="337" customFormat="1">
      <c r="B575" s="347"/>
    </row>
    <row r="576" spans="2:2" s="337" customFormat="1">
      <c r="B576" s="347"/>
    </row>
    <row r="577" spans="2:2" s="337" customFormat="1">
      <c r="B577" s="347"/>
    </row>
    <row r="578" spans="2:2" s="337" customFormat="1">
      <c r="B578" s="347"/>
    </row>
    <row r="579" spans="2:2" s="337" customFormat="1">
      <c r="B579" s="347"/>
    </row>
    <row r="580" spans="2:2" s="337" customFormat="1">
      <c r="B580" s="347"/>
    </row>
    <row r="581" spans="2:2" s="337" customFormat="1">
      <c r="B581" s="347"/>
    </row>
    <row r="582" spans="2:2" s="337" customFormat="1">
      <c r="B582" s="347"/>
    </row>
    <row r="583" spans="2:2" s="337" customFormat="1">
      <c r="B583" s="347"/>
    </row>
    <row r="584" spans="2:2" s="337" customFormat="1">
      <c r="B584" s="347"/>
    </row>
    <row r="585" spans="2:2" s="337" customFormat="1">
      <c r="B585" s="347"/>
    </row>
    <row r="586" spans="2:2" s="337" customFormat="1">
      <c r="B586" s="347"/>
    </row>
    <row r="587" spans="2:2" s="337" customFormat="1">
      <c r="B587" s="347"/>
    </row>
    <row r="588" spans="2:2" s="337" customFormat="1">
      <c r="B588" s="347"/>
    </row>
    <row r="589" spans="2:2" s="337" customFormat="1">
      <c r="B589" s="347"/>
    </row>
    <row r="590" spans="2:2" s="337" customFormat="1">
      <c r="B590" s="347"/>
    </row>
    <row r="591" spans="2:2" s="337" customFormat="1">
      <c r="B591" s="347"/>
    </row>
    <row r="592" spans="2:2" s="337" customFormat="1">
      <c r="B592" s="347"/>
    </row>
    <row r="593" spans="2:2" s="337" customFormat="1">
      <c r="B593" s="347"/>
    </row>
    <row r="594" spans="2:2" s="337" customFormat="1">
      <c r="B594" s="347"/>
    </row>
    <row r="595" spans="2:2" s="337" customFormat="1">
      <c r="B595" s="347"/>
    </row>
    <row r="596" spans="2:2" s="337" customFormat="1">
      <c r="B596" s="347"/>
    </row>
    <row r="597" spans="2:2" s="337" customFormat="1">
      <c r="B597" s="347"/>
    </row>
    <row r="598" spans="2:2" s="337" customFormat="1">
      <c r="B598" s="347"/>
    </row>
    <row r="599" spans="2:2" s="337" customFormat="1">
      <c r="B599" s="347"/>
    </row>
    <row r="600" spans="2:2" s="337" customFormat="1">
      <c r="B600" s="347"/>
    </row>
    <row r="601" spans="2:2" s="337" customFormat="1">
      <c r="B601" s="347"/>
    </row>
    <row r="602" spans="2:2" s="337" customFormat="1">
      <c r="B602" s="347"/>
    </row>
    <row r="603" spans="2:2" s="337" customFormat="1">
      <c r="B603" s="347"/>
    </row>
    <row r="604" spans="2:2" s="337" customFormat="1">
      <c r="B604" s="347"/>
    </row>
    <row r="605" spans="2:2" s="337" customFormat="1">
      <c r="B605" s="347"/>
    </row>
    <row r="606" spans="2:2" s="337" customFormat="1">
      <c r="B606" s="347"/>
    </row>
    <row r="607" spans="2:2" s="337" customFormat="1">
      <c r="B607" s="347"/>
    </row>
    <row r="608" spans="2:2" s="337" customFormat="1">
      <c r="B608" s="347"/>
    </row>
    <row r="609" spans="2:2" s="337" customFormat="1">
      <c r="B609" s="347"/>
    </row>
    <row r="610" spans="2:2" s="337" customFormat="1">
      <c r="B610" s="347"/>
    </row>
    <row r="611" spans="2:2" s="337" customFormat="1">
      <c r="B611" s="347"/>
    </row>
    <row r="612" spans="2:2" s="337" customFormat="1">
      <c r="B612" s="347"/>
    </row>
    <row r="613" spans="2:2" s="337" customFormat="1">
      <c r="B613" s="347"/>
    </row>
    <row r="614" spans="2:2" s="337" customFormat="1">
      <c r="B614" s="347"/>
    </row>
    <row r="615" spans="2:2" s="337" customFormat="1">
      <c r="B615" s="347"/>
    </row>
    <row r="616" spans="2:2" s="337" customFormat="1">
      <c r="B616" s="347"/>
    </row>
    <row r="617" spans="2:2" s="337" customFormat="1">
      <c r="B617" s="347"/>
    </row>
    <row r="618" spans="2:2" s="337" customFormat="1">
      <c r="B618" s="347"/>
    </row>
    <row r="619" spans="2:2" s="337" customFormat="1">
      <c r="B619" s="347"/>
    </row>
    <row r="620" spans="2:2" s="337" customFormat="1">
      <c r="B620" s="347"/>
    </row>
    <row r="621" spans="2:2" s="337" customFormat="1">
      <c r="B621" s="347"/>
    </row>
    <row r="622" spans="2:2" s="337" customFormat="1">
      <c r="B622" s="347"/>
    </row>
    <row r="623" spans="2:2" s="337" customFormat="1">
      <c r="B623" s="347"/>
    </row>
    <row r="624" spans="2:2" s="337" customFormat="1">
      <c r="B624" s="347"/>
    </row>
    <row r="625" spans="2:2" s="337" customFormat="1">
      <c r="B625" s="347"/>
    </row>
    <row r="626" spans="2:2" s="337" customFormat="1">
      <c r="B626" s="347"/>
    </row>
    <row r="627" spans="2:2" s="337" customFormat="1">
      <c r="B627" s="347"/>
    </row>
    <row r="628" spans="2:2" s="337" customFormat="1">
      <c r="B628" s="347"/>
    </row>
    <row r="629" spans="2:2" s="337" customFormat="1">
      <c r="B629" s="347"/>
    </row>
    <row r="630" spans="2:2" s="337" customFormat="1">
      <c r="B630" s="347"/>
    </row>
    <row r="631" spans="2:2" s="337" customFormat="1">
      <c r="B631" s="347"/>
    </row>
    <row r="632" spans="2:2" s="337" customFormat="1">
      <c r="B632" s="347"/>
    </row>
    <row r="633" spans="2:2" s="337" customFormat="1">
      <c r="B633" s="347"/>
    </row>
    <row r="634" spans="2:2" s="337" customFormat="1">
      <c r="B634" s="347"/>
    </row>
    <row r="635" spans="2:2" s="337" customFormat="1">
      <c r="B635" s="347"/>
    </row>
    <row r="636" spans="2:2" s="337" customFormat="1">
      <c r="B636" s="347"/>
    </row>
    <row r="637" spans="2:2" s="337" customFormat="1">
      <c r="B637" s="347"/>
    </row>
    <row r="638" spans="2:2" s="337" customFormat="1">
      <c r="B638" s="347"/>
    </row>
    <row r="639" spans="2:2" s="337" customFormat="1">
      <c r="B639" s="347"/>
    </row>
    <row r="640" spans="2:2" s="337" customFormat="1">
      <c r="B640" s="347"/>
    </row>
    <row r="641" spans="2:2" s="337" customFormat="1">
      <c r="B641" s="347"/>
    </row>
    <row r="642" spans="2:2" s="337" customFormat="1">
      <c r="B642" s="347"/>
    </row>
    <row r="643" spans="2:2" s="337" customFormat="1">
      <c r="B643" s="347"/>
    </row>
    <row r="644" spans="2:2" s="337" customFormat="1">
      <c r="B644" s="347"/>
    </row>
    <row r="645" spans="2:2" s="337" customFormat="1">
      <c r="B645" s="347"/>
    </row>
    <row r="646" spans="2:2" s="337" customFormat="1">
      <c r="B646" s="347"/>
    </row>
    <row r="647" spans="2:2" s="337" customFormat="1">
      <c r="B647" s="347"/>
    </row>
    <row r="648" spans="2:2" s="337" customFormat="1">
      <c r="B648" s="347"/>
    </row>
    <row r="649" spans="2:2" s="337" customFormat="1">
      <c r="B649" s="347"/>
    </row>
    <row r="650" spans="2:2" s="337" customFormat="1">
      <c r="B650" s="347"/>
    </row>
    <row r="651" spans="2:2" s="337" customFormat="1">
      <c r="B651" s="347"/>
    </row>
    <row r="652" spans="2:2" s="337" customFormat="1">
      <c r="B652" s="347"/>
    </row>
    <row r="653" spans="2:2" s="337" customFormat="1">
      <c r="B653" s="347"/>
    </row>
    <row r="654" spans="2:2" s="337" customFormat="1">
      <c r="B654" s="347"/>
    </row>
    <row r="655" spans="2:2" s="337" customFormat="1">
      <c r="B655" s="347"/>
    </row>
    <row r="656" spans="2:2" s="337" customFormat="1">
      <c r="B656" s="347"/>
    </row>
    <row r="657" spans="2:2" s="337" customFormat="1">
      <c r="B657" s="347"/>
    </row>
    <row r="658" spans="2:2" s="337" customFormat="1">
      <c r="B658" s="347"/>
    </row>
    <row r="659" spans="2:2" s="337" customFormat="1">
      <c r="B659" s="347"/>
    </row>
    <row r="660" spans="2:2" s="337" customFormat="1">
      <c r="B660" s="347"/>
    </row>
    <row r="661" spans="2:2" s="337" customFormat="1">
      <c r="B661" s="347"/>
    </row>
    <row r="662" spans="2:2" s="337" customFormat="1">
      <c r="B662" s="347"/>
    </row>
    <row r="663" spans="2:2" s="337" customFormat="1">
      <c r="B663" s="347"/>
    </row>
    <row r="664" spans="2:2" s="337" customFormat="1">
      <c r="B664" s="347"/>
    </row>
    <row r="665" spans="2:2" s="337" customFormat="1">
      <c r="B665" s="347"/>
    </row>
    <row r="666" spans="2:2" s="337" customFormat="1">
      <c r="B666" s="347"/>
    </row>
    <row r="667" spans="2:2" s="337" customFormat="1">
      <c r="B667" s="347"/>
    </row>
    <row r="668" spans="2:2" s="337" customFormat="1">
      <c r="B668" s="347"/>
    </row>
    <row r="669" spans="2:2" s="337" customFormat="1">
      <c r="B669" s="347"/>
    </row>
    <row r="670" spans="2:2" s="337" customFormat="1">
      <c r="B670" s="347"/>
    </row>
    <row r="671" spans="2:2" s="337" customFormat="1">
      <c r="B671" s="347"/>
    </row>
    <row r="672" spans="2:2" s="337" customFormat="1">
      <c r="B672" s="347"/>
    </row>
    <row r="673" spans="2:2" s="337" customFormat="1">
      <c r="B673" s="347"/>
    </row>
    <row r="674" spans="2:2" s="337" customFormat="1">
      <c r="B674" s="347"/>
    </row>
    <row r="675" spans="2:2" s="337" customFormat="1">
      <c r="B675" s="347"/>
    </row>
    <row r="676" spans="2:2" s="337" customFormat="1">
      <c r="B676" s="347"/>
    </row>
    <row r="677" spans="2:2" s="337" customFormat="1">
      <c r="B677" s="347"/>
    </row>
    <row r="678" spans="2:2" s="337" customFormat="1">
      <c r="B678" s="347"/>
    </row>
    <row r="679" spans="2:2" s="337" customFormat="1">
      <c r="B679" s="347"/>
    </row>
    <row r="680" spans="2:2" s="337" customFormat="1">
      <c r="B680" s="347"/>
    </row>
    <row r="681" spans="2:2" s="337" customFormat="1">
      <c r="B681" s="347"/>
    </row>
    <row r="682" spans="2:2" s="337" customFormat="1">
      <c r="B682" s="347"/>
    </row>
    <row r="683" spans="2:2" s="337" customFormat="1">
      <c r="B683" s="347"/>
    </row>
    <row r="684" spans="2:2" s="337" customFormat="1">
      <c r="B684" s="347"/>
    </row>
    <row r="685" spans="2:2" s="337" customFormat="1">
      <c r="B685" s="347"/>
    </row>
    <row r="686" spans="2:2" s="337" customFormat="1">
      <c r="B686" s="347"/>
    </row>
    <row r="687" spans="2:2" s="337" customFormat="1">
      <c r="B687" s="347"/>
    </row>
  </sheetData>
  <sheetProtection algorithmName="SHA-512" hashValue="FlMxpGw8OkHtp4oYHtA+TrCKHFD/euH25L0lHDHuyRJCLI8Z7eG1JfG3LoWUrze0IXDQAnY6pzFnX4HGWddOOQ==" saltValue="3HB+dZzvW0/9jX1k20sITg==" spinCount="100000" sheet="1" objects="1" scenarios="1"/>
  <mergeCells count="113">
    <mergeCell ref="G267:H267"/>
    <mergeCell ref="K267:L267"/>
    <mergeCell ref="Y66:AF66"/>
    <mergeCell ref="Y92:AF92"/>
    <mergeCell ref="H200:I200"/>
    <mergeCell ref="H201:I201"/>
    <mergeCell ref="F200:G200"/>
    <mergeCell ref="F201:G201"/>
    <mergeCell ref="L56:M56"/>
    <mergeCell ref="L57:M57"/>
    <mergeCell ref="L58:M58"/>
    <mergeCell ref="L59:M59"/>
    <mergeCell ref="O66:V66"/>
    <mergeCell ref="O92:V92"/>
    <mergeCell ref="D136:F136"/>
    <mergeCell ref="G136:I136"/>
    <mergeCell ref="C64:M64"/>
    <mergeCell ref="C195:M195"/>
    <mergeCell ref="D163:F163"/>
    <mergeCell ref="G163:I163"/>
    <mergeCell ref="C131:M131"/>
    <mergeCell ref="C203:M203"/>
    <mergeCell ref="F197:G197"/>
    <mergeCell ref="F198:G198"/>
    <mergeCell ref="L50:M50"/>
    <mergeCell ref="L51:M51"/>
    <mergeCell ref="L41:M41"/>
    <mergeCell ref="F41:G41"/>
    <mergeCell ref="L44:M44"/>
    <mergeCell ref="L45:M45"/>
    <mergeCell ref="F42:G42"/>
    <mergeCell ref="F43:G43"/>
    <mergeCell ref="F44:G44"/>
    <mergeCell ref="F45:G45"/>
    <mergeCell ref="L42:M42"/>
    <mergeCell ref="L43:M43"/>
    <mergeCell ref="L46:M46"/>
    <mergeCell ref="L47:M47"/>
    <mergeCell ref="L48:M48"/>
    <mergeCell ref="L49:M49"/>
    <mergeCell ref="F46:G46"/>
    <mergeCell ref="F47:G47"/>
    <mergeCell ref="F48:G48"/>
    <mergeCell ref="F49:G49"/>
    <mergeCell ref="F50:G50"/>
    <mergeCell ref="F51:G51"/>
    <mergeCell ref="E216:L216"/>
    <mergeCell ref="L54:M54"/>
    <mergeCell ref="L55:M55"/>
    <mergeCell ref="F56:G56"/>
    <mergeCell ref="F57:G57"/>
    <mergeCell ref="F58:G58"/>
    <mergeCell ref="F59:G59"/>
    <mergeCell ref="F60:G60"/>
    <mergeCell ref="L60:M60"/>
    <mergeCell ref="L61:M61"/>
    <mergeCell ref="F62:G62"/>
    <mergeCell ref="F199:G199"/>
    <mergeCell ref="J197:M198"/>
    <mergeCell ref="H197:I197"/>
    <mergeCell ref="H198:I198"/>
    <mergeCell ref="H199:I199"/>
    <mergeCell ref="E209:F209"/>
    <mergeCell ref="G209:H209"/>
    <mergeCell ref="C214:M214"/>
    <mergeCell ref="K253:L253"/>
    <mergeCell ref="G217:H217"/>
    <mergeCell ref="K217:L217"/>
    <mergeCell ref="E230:L230"/>
    <mergeCell ref="C8:M8"/>
    <mergeCell ref="V2:W2"/>
    <mergeCell ref="R2:S2"/>
    <mergeCell ref="T2:U2"/>
    <mergeCell ref="P2:Q2"/>
    <mergeCell ref="H94:I94"/>
    <mergeCell ref="J94:K94"/>
    <mergeCell ref="C11:M11"/>
    <mergeCell ref="C37:M37"/>
    <mergeCell ref="F55:G55"/>
    <mergeCell ref="D68:E68"/>
    <mergeCell ref="F68:G68"/>
    <mergeCell ref="H68:I68"/>
    <mergeCell ref="J68:K68"/>
    <mergeCell ref="D94:E94"/>
    <mergeCell ref="F94:G94"/>
    <mergeCell ref="F52:G52"/>
    <mergeCell ref="F53:G53"/>
    <mergeCell ref="F54:G54"/>
    <mergeCell ref="F61:G61"/>
    <mergeCell ref="E266:L266"/>
    <mergeCell ref="L62:M62"/>
    <mergeCell ref="L52:M52"/>
    <mergeCell ref="L53:M53"/>
    <mergeCell ref="C284:M284"/>
    <mergeCell ref="J292:L292"/>
    <mergeCell ref="G292:I292"/>
    <mergeCell ref="B307:B321"/>
    <mergeCell ref="C298:M298"/>
    <mergeCell ref="C299:M300"/>
    <mergeCell ref="C318:M318"/>
    <mergeCell ref="E231:F231"/>
    <mergeCell ref="E217:F217"/>
    <mergeCell ref="I217:J217"/>
    <mergeCell ref="I231:J231"/>
    <mergeCell ref="C248:M248"/>
    <mergeCell ref="E253:F253"/>
    <mergeCell ref="E267:F267"/>
    <mergeCell ref="I253:J253"/>
    <mergeCell ref="I267:J267"/>
    <mergeCell ref="G231:H231"/>
    <mergeCell ref="K231:L231"/>
    <mergeCell ref="E252:L252"/>
    <mergeCell ref="G253:H253"/>
  </mergeCells>
  <phoneticPr fontId="0" type="noConversion"/>
  <dataValidations disablePrompts="1" count="1">
    <dataValidation type="list" allowBlank="1" showInputMessage="1" showErrorMessage="1" sqref="F301" xr:uid="{A3B2250F-25B7-4EF4-9C36-C9EC2EF8C37B}">
      <formula1>"Left,Right"</formula1>
    </dataValidation>
  </dataValidations>
  <pageMargins left="0.75" right="0.375" top="0.25" bottom="0.375" header="0.75" footer="0.25"/>
  <pageSetup scale="97" orientation="portrait" blackAndWhite="1" r:id="rId1"/>
  <headerFooter alignWithMargins="0">
    <oddHeader>&amp;L&amp;6
&amp;Z&amp;F&amp;R&amp;P                                &amp;N</oddHeader>
    <oddFooter>&amp;L&amp;D   &amp;T&amp;C&amp;8Rev. 8.0</oddFooter>
  </headerFooter>
  <rowBreaks count="1" manualBreakCount="1">
    <brk id="283" min="2"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55653" r:id="rId4" name="LLDF_ExtBm">
              <controlPr defaultSize="0" print="0" autoFill="0" autoLine="0" autoPict="0" macro="[0]!DrilledShaft" altText="Generate Cap Design Data Sheets">
                <anchor moveWithCells="1">
                  <from>
                    <xdr:col>8</xdr:col>
                    <xdr:colOff>457200</xdr:colOff>
                    <xdr:row>306</xdr:row>
                    <xdr:rowOff>28575</xdr:rowOff>
                  </from>
                  <to>
                    <xdr:col>12</xdr:col>
                    <xdr:colOff>342900</xdr:colOff>
                    <xdr:row>307</xdr:row>
                    <xdr:rowOff>133350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indexed="16"/>
  </sheetPr>
  <dimension ref="A1:CH356"/>
  <sheetViews>
    <sheetView showGridLines="0" view="pageBreakPreview" topLeftCell="A76" zoomScaleNormal="85" zoomScaleSheetLayoutView="100" workbookViewId="0">
      <selection activeCell="S73" sqref="S73"/>
    </sheetView>
  </sheetViews>
  <sheetFormatPr defaultColWidth="9.140625" defaultRowHeight="12.75"/>
  <cols>
    <col min="1" max="1" width="24.7109375" style="337" customWidth="1"/>
    <col min="2" max="2" width="3.85546875" style="37" customWidth="1"/>
    <col min="3" max="3" width="8.42578125" style="75" customWidth="1"/>
    <col min="4" max="5" width="8.28515625" style="37" customWidth="1"/>
    <col min="6" max="7" width="8.42578125" style="37" customWidth="1"/>
    <col min="8" max="8" width="8.42578125" style="75" customWidth="1"/>
    <col min="9" max="12" width="8.42578125" style="37" customWidth="1"/>
    <col min="13" max="13" width="8" style="294" customWidth="1"/>
    <col min="14" max="21" width="9.140625" style="400"/>
    <col min="22" max="25" width="9.42578125" style="400" customWidth="1"/>
    <col min="26" max="26" width="10.7109375" style="400" customWidth="1"/>
    <col min="27" max="86" width="9.140625" style="400"/>
    <col min="87" max="16384" width="9.140625" style="37"/>
  </cols>
  <sheetData>
    <row r="1" spans="1:86" customFormat="1">
      <c r="A1" s="901"/>
      <c r="M1" s="17"/>
      <c r="N1" s="337"/>
      <c r="O1" s="337"/>
      <c r="P1" s="337"/>
      <c r="Q1" s="337"/>
      <c r="R1" s="337"/>
      <c r="S1" s="337"/>
      <c r="T1" s="337"/>
      <c r="U1" s="337"/>
      <c r="V1" s="337"/>
      <c r="W1" s="337"/>
      <c r="X1" s="337"/>
      <c r="Y1" s="337"/>
      <c r="Z1" s="337"/>
      <c r="AA1" s="337"/>
      <c r="AB1" s="337"/>
      <c r="AC1" s="337"/>
      <c r="AD1" s="337"/>
      <c r="AE1" s="337"/>
      <c r="AF1" s="337"/>
      <c r="AG1" s="337"/>
      <c r="AH1" s="337"/>
      <c r="AI1" s="337"/>
      <c r="AJ1" s="337"/>
      <c r="AK1" s="337"/>
      <c r="AL1" s="337"/>
      <c r="AM1" s="337"/>
      <c r="AN1" s="337"/>
      <c r="AO1" s="337"/>
      <c r="AP1" s="337"/>
      <c r="AQ1" s="337"/>
      <c r="AR1" s="337"/>
      <c r="AS1" s="337"/>
      <c r="AT1" s="337"/>
      <c r="AU1" s="337"/>
      <c r="AV1" s="337"/>
      <c r="AW1" s="337"/>
      <c r="AX1" s="337"/>
      <c r="AY1" s="337"/>
      <c r="AZ1" s="337"/>
      <c r="BA1" s="337"/>
      <c r="BB1" s="337"/>
      <c r="BC1" s="337"/>
      <c r="BD1" s="337"/>
      <c r="BE1" s="337"/>
      <c r="BF1" s="337"/>
      <c r="BG1" s="337"/>
      <c r="BH1" s="337"/>
      <c r="BI1" s="337"/>
      <c r="BJ1" s="337"/>
      <c r="BK1" s="337"/>
      <c r="BL1" s="337"/>
      <c r="BM1" s="337"/>
      <c r="BN1" s="337"/>
      <c r="BO1" s="337"/>
      <c r="BP1" s="337"/>
      <c r="BQ1" s="337"/>
      <c r="BR1" s="337"/>
      <c r="BS1" s="337"/>
      <c r="BT1" s="337"/>
      <c r="BU1" s="337"/>
      <c r="BV1" s="337"/>
      <c r="BW1" s="337"/>
      <c r="BX1" s="337"/>
      <c r="BY1" s="337"/>
      <c r="BZ1" s="337"/>
      <c r="CA1" s="337"/>
      <c r="CB1" s="337"/>
      <c r="CC1" s="337"/>
      <c r="CD1" s="337"/>
      <c r="CE1" s="337"/>
      <c r="CF1" s="337"/>
      <c r="CG1" s="337"/>
      <c r="CH1" s="337"/>
    </row>
    <row r="2" spans="1:86" customFormat="1">
      <c r="A2" s="337"/>
      <c r="M2" s="17"/>
      <c r="N2" s="337"/>
      <c r="O2" s="337"/>
      <c r="P2" s="337"/>
      <c r="Q2" s="337"/>
      <c r="R2" s="337"/>
      <c r="S2" s="337"/>
      <c r="T2" s="337"/>
      <c r="U2" s="337"/>
      <c r="V2" s="337"/>
      <c r="W2" s="337"/>
      <c r="X2" s="337"/>
      <c r="Y2" s="337"/>
      <c r="Z2" s="337"/>
      <c r="AA2" s="337"/>
      <c r="AB2" s="337"/>
      <c r="AC2" s="337"/>
      <c r="AD2" s="337"/>
      <c r="AE2" s="337"/>
      <c r="AF2" s="337"/>
      <c r="AG2" s="337"/>
      <c r="AH2" s="337"/>
      <c r="AI2" s="337"/>
      <c r="AJ2" s="337"/>
      <c r="AK2" s="337"/>
      <c r="AL2" s="337"/>
      <c r="AM2" s="337"/>
      <c r="AN2" s="337"/>
      <c r="AO2" s="337"/>
      <c r="AP2" s="337"/>
      <c r="AQ2" s="337"/>
      <c r="AR2" s="337"/>
      <c r="AS2" s="337"/>
      <c r="AT2" s="337"/>
      <c r="AU2" s="337"/>
      <c r="AV2" s="337"/>
      <c r="AW2" s="337"/>
      <c r="AX2" s="337"/>
      <c r="AY2" s="337"/>
      <c r="AZ2" s="337"/>
      <c r="BA2" s="337"/>
      <c r="BB2" s="337"/>
      <c r="BC2" s="337"/>
      <c r="BD2" s="337"/>
      <c r="BE2" s="337"/>
      <c r="BF2" s="337"/>
      <c r="BG2" s="337"/>
      <c r="BH2" s="337"/>
      <c r="BI2" s="337"/>
      <c r="BJ2" s="337"/>
      <c r="BK2" s="337"/>
      <c r="BL2" s="337"/>
      <c r="BM2" s="337"/>
      <c r="BN2" s="337"/>
      <c r="BO2" s="337"/>
      <c r="BP2" s="337"/>
      <c r="BQ2" s="337"/>
      <c r="BR2" s="337"/>
      <c r="BS2" s="337"/>
      <c r="BT2" s="337"/>
      <c r="BU2" s="337"/>
      <c r="BV2" s="337"/>
      <c r="BW2" s="337"/>
      <c r="BX2" s="337"/>
      <c r="BY2" s="337"/>
      <c r="BZ2" s="337"/>
      <c r="CA2" s="337"/>
      <c r="CB2" s="337"/>
      <c r="CC2" s="337"/>
      <c r="CD2" s="337"/>
      <c r="CE2" s="337"/>
      <c r="CF2" s="337"/>
      <c r="CG2" s="337"/>
      <c r="CH2" s="337"/>
    </row>
    <row r="3" spans="1:86" customFormat="1">
      <c r="A3" s="337"/>
      <c r="M3" s="17"/>
      <c r="N3" s="337"/>
      <c r="O3" s="337"/>
      <c r="P3" s="337"/>
      <c r="Q3" s="337"/>
      <c r="R3" s="337"/>
      <c r="S3" s="337"/>
      <c r="T3" s="337"/>
      <c r="U3" s="337"/>
      <c r="V3" s="337"/>
      <c r="W3" s="337"/>
      <c r="X3" s="337"/>
      <c r="Y3" s="337"/>
      <c r="Z3" s="337"/>
      <c r="AA3" s="337"/>
      <c r="AB3" s="337"/>
      <c r="AC3" s="337"/>
      <c r="AD3" s="337"/>
      <c r="AE3" s="337"/>
      <c r="AF3" s="337"/>
      <c r="AG3" s="337"/>
      <c r="AH3" s="337"/>
      <c r="AI3" s="337"/>
      <c r="AJ3" s="337"/>
      <c r="AK3" s="337"/>
      <c r="AL3" s="337"/>
      <c r="AM3" s="337"/>
      <c r="AN3" s="337"/>
      <c r="AO3" s="337"/>
      <c r="AP3" s="337"/>
      <c r="AQ3" s="337"/>
      <c r="AR3" s="337"/>
      <c r="AS3" s="337"/>
      <c r="AT3" s="337"/>
      <c r="AU3" s="337"/>
      <c r="AV3" s="337"/>
      <c r="AW3" s="337"/>
      <c r="AX3" s="337"/>
      <c r="AY3" s="337"/>
      <c r="AZ3" s="337"/>
      <c r="BA3" s="337"/>
      <c r="BB3" s="337"/>
      <c r="BC3" s="337"/>
      <c r="BD3" s="337"/>
      <c r="BE3" s="337"/>
      <c r="BF3" s="337"/>
      <c r="BG3" s="337"/>
      <c r="BH3" s="337"/>
      <c r="BI3" s="337"/>
      <c r="BJ3" s="337"/>
      <c r="BK3" s="337"/>
      <c r="BL3" s="337"/>
      <c r="BM3" s="337"/>
      <c r="BN3" s="337"/>
      <c r="BO3" s="337"/>
      <c r="BP3" s="337"/>
      <c r="BQ3" s="337"/>
      <c r="BR3" s="337"/>
      <c r="BS3" s="337"/>
      <c r="BT3" s="337"/>
      <c r="BU3" s="337"/>
      <c r="BV3" s="337"/>
      <c r="BW3" s="337"/>
      <c r="BX3" s="337"/>
      <c r="BY3" s="337"/>
      <c r="BZ3" s="337"/>
      <c r="CA3" s="337"/>
      <c r="CB3" s="337"/>
      <c r="CC3" s="337"/>
      <c r="CD3" s="337"/>
      <c r="CE3" s="337"/>
      <c r="CF3" s="337"/>
      <c r="CG3" s="337"/>
      <c r="CH3" s="337"/>
    </row>
    <row r="4" spans="1:86" customFormat="1">
      <c r="A4" s="337"/>
      <c r="M4" s="17"/>
      <c r="N4" s="337"/>
      <c r="O4" s="337"/>
      <c r="P4" s="337"/>
      <c r="Q4" s="337"/>
      <c r="R4" s="337"/>
      <c r="S4" s="337"/>
      <c r="T4" s="337"/>
      <c r="U4" s="337"/>
      <c r="V4" s="337"/>
      <c r="W4" s="337"/>
      <c r="X4" s="337"/>
      <c r="Y4" s="337"/>
      <c r="Z4" s="337"/>
      <c r="AA4" s="337"/>
      <c r="AB4" s="337"/>
      <c r="AC4" s="337"/>
      <c r="AD4" s="337"/>
      <c r="AE4" s="337"/>
      <c r="AF4" s="337"/>
      <c r="AG4" s="337"/>
      <c r="AH4" s="337"/>
      <c r="AI4" s="337"/>
      <c r="AJ4" s="337"/>
      <c r="AK4" s="337"/>
      <c r="AL4" s="337"/>
      <c r="AM4" s="337"/>
      <c r="AN4" s="337"/>
      <c r="AO4" s="337"/>
      <c r="AP4" s="337"/>
      <c r="AQ4" s="337"/>
      <c r="AR4" s="337"/>
      <c r="AS4" s="337"/>
      <c r="AT4" s="337"/>
      <c r="AU4" s="337"/>
      <c r="AV4" s="337"/>
      <c r="AW4" s="337"/>
      <c r="AX4" s="337"/>
      <c r="AY4" s="337"/>
      <c r="AZ4" s="337"/>
      <c r="BA4" s="337"/>
      <c r="BB4" s="337"/>
      <c r="BC4" s="337"/>
      <c r="BD4" s="337"/>
      <c r="BE4" s="337"/>
      <c r="BF4" s="337"/>
      <c r="BG4" s="337"/>
      <c r="BH4" s="337"/>
      <c r="BI4" s="337"/>
      <c r="BJ4" s="337"/>
      <c r="BK4" s="337"/>
      <c r="BL4" s="337"/>
      <c r="BM4" s="337"/>
      <c r="BN4" s="337"/>
      <c r="BO4" s="337"/>
      <c r="BP4" s="337"/>
      <c r="BQ4" s="337"/>
      <c r="BR4" s="337"/>
      <c r="BS4" s="337"/>
      <c r="BT4" s="337"/>
      <c r="BU4" s="337"/>
      <c r="BV4" s="337"/>
      <c r="BW4" s="337"/>
      <c r="BX4" s="337"/>
      <c r="BY4" s="337"/>
      <c r="BZ4" s="337"/>
      <c r="CA4" s="337"/>
      <c r="CB4" s="337"/>
      <c r="CC4" s="337"/>
      <c r="CD4" s="337"/>
      <c r="CE4" s="337"/>
      <c r="CF4" s="337"/>
      <c r="CG4" s="337"/>
      <c r="CH4" s="337"/>
    </row>
    <row r="5" spans="1:86" customFormat="1">
      <c r="A5" s="337"/>
      <c r="M5" s="17"/>
      <c r="N5" s="337"/>
      <c r="O5" s="337"/>
      <c r="P5" s="337"/>
      <c r="Q5" s="337"/>
      <c r="R5" s="337"/>
      <c r="S5" s="337"/>
      <c r="T5" s="337"/>
      <c r="U5" s="337"/>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337"/>
      <c r="BJ5" s="337"/>
      <c r="BK5" s="337"/>
      <c r="BL5" s="337"/>
      <c r="BM5" s="337"/>
      <c r="BN5" s="337"/>
      <c r="BO5" s="337"/>
      <c r="BP5" s="337"/>
      <c r="BQ5" s="337"/>
      <c r="BR5" s="337"/>
      <c r="BS5" s="337"/>
      <c r="BT5" s="337"/>
      <c r="BU5" s="337"/>
      <c r="BV5" s="337"/>
      <c r="BW5" s="337"/>
      <c r="BX5" s="337"/>
      <c r="BY5" s="337"/>
      <c r="BZ5" s="337"/>
      <c r="CA5" s="337"/>
      <c r="CB5" s="337"/>
      <c r="CC5" s="337"/>
      <c r="CD5" s="337"/>
      <c r="CE5" s="337"/>
      <c r="CF5" s="337"/>
      <c r="CG5" s="337"/>
      <c r="CH5" s="337"/>
    </row>
    <row r="6" spans="1:86" customFormat="1">
      <c r="A6" s="337"/>
      <c r="M6" s="17"/>
      <c r="N6" s="337"/>
      <c r="O6" s="337"/>
      <c r="P6" s="337"/>
      <c r="Q6" s="337"/>
      <c r="R6" s="337"/>
      <c r="S6" s="337"/>
      <c r="T6" s="337"/>
      <c r="U6" s="337"/>
      <c r="V6" s="337"/>
      <c r="W6" s="337"/>
      <c r="X6" s="337"/>
      <c r="Y6" s="337"/>
      <c r="Z6" s="337"/>
      <c r="AA6" s="337"/>
      <c r="AB6" s="337"/>
      <c r="AC6" s="337"/>
      <c r="AD6" s="337"/>
      <c r="AE6" s="337"/>
      <c r="AF6" s="337"/>
      <c r="AG6" s="337"/>
      <c r="AH6" s="337"/>
      <c r="AI6" s="337"/>
      <c r="AJ6" s="337"/>
      <c r="AK6" s="337"/>
      <c r="AL6" s="337"/>
      <c r="AM6" s="337"/>
      <c r="AN6" s="337"/>
      <c r="AO6" s="337"/>
      <c r="AP6" s="337"/>
      <c r="AQ6" s="337"/>
      <c r="AR6" s="337"/>
      <c r="AS6" s="337"/>
      <c r="AT6" s="337"/>
      <c r="AU6" s="337"/>
      <c r="AV6" s="337"/>
      <c r="AW6" s="337"/>
      <c r="AX6" s="337"/>
      <c r="AY6" s="337"/>
      <c r="AZ6" s="337"/>
      <c r="BA6" s="337"/>
      <c r="BB6" s="337"/>
      <c r="BC6" s="337"/>
      <c r="BD6" s="337"/>
      <c r="BE6" s="337"/>
      <c r="BF6" s="337"/>
      <c r="BG6" s="337"/>
      <c r="BH6" s="337"/>
      <c r="BI6" s="337"/>
      <c r="BJ6" s="337"/>
      <c r="BK6" s="337"/>
      <c r="BL6" s="337"/>
      <c r="BM6" s="337"/>
      <c r="BN6" s="337"/>
      <c r="BO6" s="337"/>
      <c r="BP6" s="337"/>
      <c r="BQ6" s="337"/>
      <c r="BR6" s="337"/>
      <c r="BS6" s="337"/>
      <c r="BT6" s="337"/>
      <c r="BU6" s="337"/>
      <c r="BV6" s="337"/>
      <c r="BW6" s="337"/>
      <c r="BX6" s="337"/>
      <c r="BY6" s="337"/>
      <c r="BZ6" s="337"/>
      <c r="CA6" s="337"/>
      <c r="CB6" s="337"/>
      <c r="CC6" s="337"/>
      <c r="CD6" s="337"/>
      <c r="CE6" s="337"/>
      <c r="CF6" s="337"/>
      <c r="CG6" s="337"/>
      <c r="CH6" s="337"/>
    </row>
    <row r="7" spans="1:86" customFormat="1">
      <c r="A7" s="337"/>
      <c r="M7" s="17"/>
      <c r="N7" s="337"/>
      <c r="O7" s="337"/>
      <c r="P7" s="337"/>
      <c r="Q7" s="337"/>
      <c r="R7" s="337"/>
      <c r="S7" s="337"/>
      <c r="T7" s="337"/>
      <c r="U7" s="337"/>
      <c r="V7" s="337"/>
      <c r="W7" s="337"/>
      <c r="X7" s="337"/>
      <c r="Y7" s="337"/>
      <c r="Z7" s="337"/>
      <c r="AA7" s="337"/>
      <c r="AB7" s="337"/>
      <c r="AC7" s="337"/>
      <c r="AD7" s="337"/>
      <c r="AE7" s="337"/>
      <c r="AF7" s="337"/>
      <c r="AG7" s="337"/>
      <c r="AH7" s="337"/>
      <c r="AI7" s="337"/>
      <c r="AJ7" s="337"/>
      <c r="AK7" s="337"/>
      <c r="AL7" s="337"/>
      <c r="AM7" s="337"/>
      <c r="AN7" s="337"/>
      <c r="AO7" s="337"/>
      <c r="AP7" s="337"/>
      <c r="AQ7" s="337"/>
      <c r="AR7" s="337"/>
      <c r="AS7" s="337"/>
      <c r="AT7" s="337"/>
      <c r="AU7" s="337"/>
      <c r="AV7" s="337"/>
      <c r="AW7" s="337"/>
      <c r="AX7" s="337"/>
      <c r="AY7" s="337"/>
      <c r="AZ7" s="337"/>
      <c r="BA7" s="337"/>
      <c r="BB7" s="337"/>
      <c r="BC7" s="337"/>
      <c r="BD7" s="337"/>
      <c r="BE7" s="337"/>
      <c r="BF7" s="337"/>
      <c r="BG7" s="337"/>
      <c r="BH7" s="337"/>
      <c r="BI7" s="337"/>
      <c r="BJ7" s="337"/>
      <c r="BK7" s="337"/>
      <c r="BL7" s="337"/>
      <c r="BM7" s="337"/>
      <c r="BN7" s="337"/>
      <c r="BO7" s="337"/>
      <c r="BP7" s="337"/>
      <c r="BQ7" s="337"/>
      <c r="BR7" s="337"/>
      <c r="BS7" s="337"/>
      <c r="BT7" s="337"/>
      <c r="BU7" s="337"/>
      <c r="BV7" s="337"/>
      <c r="BW7" s="337"/>
      <c r="BX7" s="337"/>
      <c r="BY7" s="337"/>
      <c r="BZ7" s="337"/>
      <c r="CA7" s="337"/>
      <c r="CB7" s="337"/>
      <c r="CC7" s="337"/>
      <c r="CD7" s="337"/>
      <c r="CE7" s="337"/>
      <c r="CF7" s="337"/>
      <c r="CG7" s="337"/>
      <c r="CH7" s="337"/>
    </row>
    <row r="8" spans="1:86" ht="19.5" customHeight="1" thickBot="1">
      <c r="B8" s="1618" t="s">
        <v>581</v>
      </c>
      <c r="C8" s="1618"/>
      <c r="D8" s="1618"/>
      <c r="E8" s="1618"/>
      <c r="F8" s="1618"/>
      <c r="G8" s="1618"/>
      <c r="H8" s="1618"/>
      <c r="I8" s="1618"/>
      <c r="J8" s="1618"/>
      <c r="K8" s="1618"/>
      <c r="L8" s="1618"/>
      <c r="M8" s="1618"/>
    </row>
    <row r="9" spans="1:86" ht="13.5" thickTop="1"/>
    <row r="10" spans="1:86">
      <c r="B10" s="190" t="s">
        <v>596</v>
      </c>
    </row>
    <row r="11" spans="1:86">
      <c r="B11" s="1675" t="s">
        <v>582</v>
      </c>
      <c r="C11" s="1675"/>
      <c r="D11" s="1675"/>
      <c r="E11" s="61">
        <f>MAX('CAP18 Out(1)'!M:M)</f>
        <v>0</v>
      </c>
      <c r="F11" s="61" t="s">
        <v>341</v>
      </c>
      <c r="G11" s="653"/>
    </row>
    <row r="12" spans="1:86" ht="15.75">
      <c r="B12" s="494"/>
      <c r="C12" s="234"/>
      <c r="D12" s="234" t="s">
        <v>590</v>
      </c>
      <c r="E12" s="291" t="e">
        <f>MAX(ABS(INDEX('CAP18 Out(1)'!I12:I3000,MATCH(E11,'CAP18 Out(1)'!M12:M3000,0),1)),ABS(INDEX('CAP18 Out(1)'!J12:J3000,MATCH(E11,'CAP18 Out(1)'!M12:M3000,0),1)),E11*dv/12)</f>
        <v>#N/A</v>
      </c>
      <c r="F12" s="61" t="s">
        <v>400</v>
      </c>
      <c r="G12" s="175" t="e">
        <f>IF(SIGN(IF(E12=ABS(INDEX('CAP18 Out(1)'!I12:I3000,MATCH(E11,'CAP18 Out(1)'!M12:M3000,0),1)),INDEX('CAP18 Out(1)'!I12:I3000,MATCH(E11,'CAP18 Out(1)'!M12:M3000,0),1),IF(E12=ABS(INDEX('CAP18 Out(1)'!J12:J3000,MATCH(E11,'CAP18 Out(1)'!M12:M3000,0),1)),INDEX('CAP18 Out(1)'!J12:J3000,MATCH(E11,'CAP18 Out(1)'!M12:M3000,0),1),0)))&lt;1,"Top - Tension","Bot - Tension")</f>
        <v>#N/A</v>
      </c>
      <c r="I12" s="37" t="s">
        <v>1100</v>
      </c>
      <c r="K12" s="43"/>
      <c r="L12" s="68"/>
    </row>
    <row r="13" spans="1:86">
      <c r="B13" s="43"/>
      <c r="D13" s="64" t="s">
        <v>601</v>
      </c>
      <c r="E13" s="37">
        <v>0.9</v>
      </c>
      <c r="G13" s="175"/>
    </row>
    <row r="14" spans="1:86" ht="15.75">
      <c r="B14" s="43"/>
      <c r="D14" s="39" t="s">
        <v>588</v>
      </c>
      <c r="E14" s="87">
        <f>MAX(MIN(MAX('Bars A'!F13-'Bars A'!D21/2,'Bars A'!F13*0.9),MAX('Bars B'!F13-'Bars B'!D21/2,'Bars B'!F13*0.9)),0.72*capheight)</f>
        <v>53.832309368191723</v>
      </c>
      <c r="F14" s="37" t="s">
        <v>155</v>
      </c>
      <c r="G14" s="177" t="str">
        <f>"Dist. to reinf = d-a/2 &gt; max of 0.9d+, 0.9d-, 0.72h"</f>
        <v>Dist. to reinf = d-a/2 &gt; max of 0.9d+, 0.9d-, 0.72h</v>
      </c>
      <c r="M14" s="1374" t="s">
        <v>1589</v>
      </c>
      <c r="N14" s="1223"/>
    </row>
    <row r="15" spans="1:86" ht="15.75">
      <c r="B15" s="43"/>
      <c r="D15" s="39" t="s">
        <v>587</v>
      </c>
      <c r="E15" s="37">
        <f>capstemWidth</f>
        <v>54</v>
      </c>
      <c r="F15" s="37" t="s">
        <v>155</v>
      </c>
      <c r="M15" s="1374" t="s">
        <v>1589</v>
      </c>
      <c r="N15" s="1223"/>
    </row>
    <row r="16" spans="1:86" ht="15.75">
      <c r="B16" s="43"/>
      <c r="D16" s="75" t="s">
        <v>664</v>
      </c>
      <c r="E16" s="656">
        <v>36.811673715446751</v>
      </c>
      <c r="F16" s="61" t="s">
        <v>175</v>
      </c>
      <c r="G16" s="176" t="s">
        <v>592</v>
      </c>
    </row>
    <row r="17" spans="1:49" ht="17.25">
      <c r="B17" s="43"/>
      <c r="D17" s="172" t="s">
        <v>595</v>
      </c>
      <c r="E17" s="89" t="e">
        <f>IF(LEFT(G12,3)="Top",1.3*VLOOKUP('Bars A'!F10,BarTable,4,FALSE)/12,VLOOKUP('Bars B'!F10,BarTable,4,FALSE)/12)</f>
        <v>#N/A</v>
      </c>
      <c r="F17" s="42" t="s">
        <v>156</v>
      </c>
      <c r="G17" s="176" t="e">
        <f>IF(LEFT(G12,3)="Top","{1.3 x " &amp; FIXED(VLOOKUP('Bars A'!F10,BarTable,4,FALSE)/12,3) &amp; " ft}","{" &amp; FIXED(VLOOKUP('Bars B'!F10,BarTable,4,FALSE)/12,3) &amp; "ft}")</f>
        <v>#N/A</v>
      </c>
      <c r="M17" s="977" t="s">
        <v>1590</v>
      </c>
      <c r="N17" s="1223"/>
    </row>
    <row r="18" spans="1:49">
      <c r="B18" s="43"/>
      <c r="D18" s="64" t="s">
        <v>597</v>
      </c>
      <c r="E18" s="37" t="e">
        <f>MIN(INDEX('CAP18 Out(1)'!D1:D3000,MATCH(E11,'CAP18 Out(1)'!M1:M3000,0),1),caplength-INDEX('CAP18 Out(1)'!D1:D3000,MATCH(E11,'CAP18 Out(1)'!M1:M3000,0),1))</f>
        <v>#N/A</v>
      </c>
      <c r="F18" s="173" t="s">
        <v>156</v>
      </c>
      <c r="G18" s="900"/>
      <c r="H18" s="900"/>
      <c r="I18" s="900"/>
      <c r="J18" s="900"/>
      <c r="K18" s="900"/>
      <c r="L18" s="900"/>
      <c r="M18" s="900"/>
    </row>
    <row r="19" spans="1:49" ht="17.25" customHeight="1">
      <c r="B19" s="43"/>
      <c r="D19" s="96" t="s">
        <v>599</v>
      </c>
      <c r="E19" s="87" t="e">
        <f>IF(E18&gt;E17,IF(LEFT(G12,3)="Top",'Bars A'!I13,'Bars B'!I13),0.0000000001)</f>
        <v>#N/A</v>
      </c>
      <c r="F19" s="174" t="s">
        <v>594</v>
      </c>
      <c r="G19" s="900"/>
      <c r="H19" s="900"/>
      <c r="I19" s="900"/>
      <c r="J19" s="900"/>
      <c r="K19" s="900"/>
      <c r="L19" s="900"/>
      <c r="M19" s="900"/>
    </row>
    <row r="20" spans="1:49" ht="15.75">
      <c r="B20" s="43"/>
      <c r="D20" s="96" t="s">
        <v>598</v>
      </c>
      <c r="E20" s="37" t="e">
        <f>MIN(0.001,(E12*12/E14+0.5*E11*TAN(RADIANS(90-E16)))/(2*Es*E19))</f>
        <v>#N/A</v>
      </c>
      <c r="G20" s="177" t="s">
        <v>1413</v>
      </c>
      <c r="M20" s="183" t="s">
        <v>1615</v>
      </c>
      <c r="N20" s="1223"/>
    </row>
    <row r="21" spans="1:49" ht="15.75">
      <c r="B21" s="43"/>
      <c r="D21" s="96" t="s">
        <v>600</v>
      </c>
      <c r="E21" s="89">
        <f>E11/(E13*E15*E14)</f>
        <v>0</v>
      </c>
      <c r="F21" s="95" t="s">
        <v>196</v>
      </c>
      <c r="G21" s="176" t="s">
        <v>1410</v>
      </c>
      <c r="M21" s="183" t="s">
        <v>1616</v>
      </c>
      <c r="N21" s="1223"/>
      <c r="AB21" s="475" t="s">
        <v>640</v>
      </c>
      <c r="AR21" s="1679" t="s">
        <v>658</v>
      </c>
      <c r="AS21" s="1679"/>
      <c r="AT21" s="1679"/>
      <c r="AU21" s="1679" t="s">
        <v>659</v>
      </c>
      <c r="AV21" s="1679"/>
      <c r="AW21" s="1680"/>
    </row>
    <row r="22" spans="1:49" ht="15.75">
      <c r="B22" s="43"/>
      <c r="D22" s="96" t="s">
        <v>618</v>
      </c>
      <c r="E22" s="89">
        <f>E21/fc</f>
        <v>0</v>
      </c>
      <c r="N22" s="1671" t="s">
        <v>1104</v>
      </c>
      <c r="O22" s="1671"/>
      <c r="P22" s="1671"/>
      <c r="Q22" s="1671"/>
      <c r="R22" s="1671"/>
      <c r="S22" s="1671"/>
      <c r="U22" s="476" t="s">
        <v>630</v>
      </c>
      <c r="V22" s="476" t="s">
        <v>631</v>
      </c>
      <c r="W22" s="476" t="s">
        <v>632</v>
      </c>
      <c r="X22" s="476" t="s">
        <v>633</v>
      </c>
      <c r="Y22" s="477" t="s">
        <v>634</v>
      </c>
      <c r="Z22" s="476" t="s">
        <v>635</v>
      </c>
      <c r="AA22" s="478"/>
      <c r="AB22" s="479" t="s">
        <v>638</v>
      </c>
      <c r="AC22" s="476" t="s">
        <v>639</v>
      </c>
      <c r="AD22" s="476" t="s">
        <v>648</v>
      </c>
      <c r="AE22" s="476" t="s">
        <v>649</v>
      </c>
      <c r="AF22" s="476" t="s">
        <v>650</v>
      </c>
      <c r="AG22" s="476" t="s">
        <v>651</v>
      </c>
      <c r="AH22" s="476" t="s">
        <v>652</v>
      </c>
      <c r="AI22" s="476" t="s">
        <v>653</v>
      </c>
      <c r="AJ22" s="476" t="s">
        <v>660</v>
      </c>
      <c r="AK22" s="476" t="s">
        <v>661</v>
      </c>
      <c r="AL22" s="476" t="s">
        <v>662</v>
      </c>
      <c r="AM22" s="476" t="s">
        <v>663</v>
      </c>
      <c r="AN22" s="1676" t="s">
        <v>654</v>
      </c>
      <c r="AO22" s="1676"/>
      <c r="AP22" s="1676" t="s">
        <v>655</v>
      </c>
      <c r="AQ22" s="1676"/>
      <c r="AR22" s="1676" t="s">
        <v>656</v>
      </c>
      <c r="AS22" s="1676"/>
      <c r="AT22" s="478" t="s">
        <v>657</v>
      </c>
      <c r="AU22" s="1676" t="s">
        <v>656</v>
      </c>
      <c r="AV22" s="1676"/>
      <c r="AW22" s="480" t="s">
        <v>657</v>
      </c>
    </row>
    <row r="23" spans="1:49">
      <c r="A23" s="400"/>
      <c r="B23" s="43"/>
      <c r="C23" s="87"/>
      <c r="D23" s="75" t="s">
        <v>591</v>
      </c>
      <c r="E23" s="87" t="e">
        <f>X23</f>
        <v>#N/A</v>
      </c>
      <c r="F23" s="61" t="s">
        <v>175</v>
      </c>
      <c r="G23" s="176" t="s">
        <v>1595</v>
      </c>
      <c r="N23" s="1223"/>
      <c r="T23" s="615"/>
      <c r="U23" s="400" t="e">
        <f>MIN(0.001,MAX(0,(E12*12/$E$14+0.5*E11*TAN(RADIANS(90-E16)))/(2*Es*E19)))</f>
        <v>#N/A</v>
      </c>
      <c r="V23" s="400">
        <f>E11/($E$13*$E$15*$E$14)</f>
        <v>0</v>
      </c>
      <c r="W23" s="400">
        <f>V23/fc</f>
        <v>0</v>
      </c>
      <c r="X23" s="400" t="e">
        <f>AT23</f>
        <v>#N/A</v>
      </c>
      <c r="Y23" s="400" t="e">
        <f>AW23</f>
        <v>#N/A</v>
      </c>
      <c r="Z23" s="400" t="e">
        <f>0.0316*Y23*SQRT(fc)*$E$15*$E$14</f>
        <v>#N/A</v>
      </c>
      <c r="AB23" s="481" t="e">
        <f>MATCH(U23,Reference!$S$7:$S$17,1)</f>
        <v>#N/A</v>
      </c>
      <c r="AC23" s="482" t="e">
        <f>12-MATCH(U23,Reference!$AD$6:$AD$16,-1)</f>
        <v>#N/A</v>
      </c>
      <c r="AD23" s="482">
        <f>MATCH(W23,Reference!$T$6:$AB$6,1)</f>
        <v>1</v>
      </c>
      <c r="AE23" s="482">
        <f>IF(ISERROR(10-MATCH(W23,Reference!$AD$18:$AL$18,-1)),AD23,10-MATCH(W23,Reference!$AD$18:$AL$18,-1))</f>
        <v>1</v>
      </c>
      <c r="AF23" s="482" t="e">
        <f>INDEX(Reference!$T$7:$AB$17,AB23,AD23)</f>
        <v>#N/A</v>
      </c>
      <c r="AG23" s="482" t="e">
        <f>INDEX(Reference!$T$7:$AB$17,AB23,AE23)</f>
        <v>#N/A</v>
      </c>
      <c r="AH23" s="482" t="e">
        <f>INDEX(Reference!$T$7:$AB$17,AC23,AD23)</f>
        <v>#N/A</v>
      </c>
      <c r="AI23" s="482" t="e">
        <f>INDEX(Reference!$T$7:$AB$17,AC23,AE23)</f>
        <v>#N/A</v>
      </c>
      <c r="AJ23" s="482" t="e">
        <f>INDEX(Reference!$T$23:$AB$33,AB23,AD23)</f>
        <v>#N/A</v>
      </c>
      <c r="AK23" s="482" t="e">
        <f>INDEX(Reference!$T$23:$AB$33,AB23,AE23)</f>
        <v>#N/A</v>
      </c>
      <c r="AL23" s="482" t="e">
        <f>INDEX(Reference!$T$23:$AB$33,AC23,AD23)</f>
        <v>#N/A</v>
      </c>
      <c r="AM23" s="482" t="e">
        <f>INDEX(Reference!$T$23:$AB$33,AC23,AE23)</f>
        <v>#N/A</v>
      </c>
      <c r="AN23" s="483" t="e">
        <f>INDEX(Reference!$S$7:$S$17,AB23,1)</f>
        <v>#N/A</v>
      </c>
      <c r="AO23" s="483" t="e">
        <f>INDEX(Reference!$S$7:$S$17,AC23,1)</f>
        <v>#N/A</v>
      </c>
      <c r="AP23" s="484">
        <f>INDEX(Reference!$T$6:$AB$6,1,AD23)</f>
        <v>0</v>
      </c>
      <c r="AQ23" s="484">
        <f>INDEX(Reference!$T$6:$AB$6,1,AE23)</f>
        <v>0</v>
      </c>
      <c r="AR23" s="485" t="e">
        <f>AF23+(U23-AN23)*(AH23-AF23)/IF((AO23-AN23)=0,1,(AO23-AN23))</f>
        <v>#N/A</v>
      </c>
      <c r="AS23" s="485" t="e">
        <f>AG23+(U23-AN23)*(AI23-AG23)/IF((AO23-AN23)=0,1,(AO23-AN23))</f>
        <v>#N/A</v>
      </c>
      <c r="AT23" s="485" t="e">
        <f>AR23+(W23-AP23)*(AS23-AR23)/IF((AQ23-AP23)=0,1,(AQ23-AP23))</f>
        <v>#N/A</v>
      </c>
      <c r="AU23" s="485" t="e">
        <f>AJ23+(U23-AN23)*(AL23-AJ23)/IF((AO23-AN23)=0,1,(AO23-AN23))</f>
        <v>#N/A</v>
      </c>
      <c r="AV23" s="485" t="e">
        <f>AK23+(U23-AN23)*(AM23-AK23)/IF((AO23-AN23)=0,1,(AO23-AN23))</f>
        <v>#N/A</v>
      </c>
      <c r="AW23" s="486" t="e">
        <f>AU23+(W23-AP23)*(AV23-AU23)/IF((AQ23-AP23)=0,1,(AQ23-AP23))</f>
        <v>#N/A</v>
      </c>
    </row>
    <row r="24" spans="1:49" ht="15.75">
      <c r="A24" s="474"/>
      <c r="B24" s="43"/>
      <c r="C24" s="87"/>
      <c r="D24" s="75" t="s">
        <v>665</v>
      </c>
      <c r="E24" s="181" t="e">
        <f>E23-E16</f>
        <v>#N/A</v>
      </c>
      <c r="F24" s="18"/>
      <c r="G24" s="192" t="e">
        <f>IF(ROUND(E24+N52,0)=0,"OK","NG - Need to change θ(trial)")</f>
        <v>#N/A</v>
      </c>
    </row>
    <row r="25" spans="1:49">
      <c r="B25" s="43"/>
      <c r="D25" s="64" t="s">
        <v>589</v>
      </c>
      <c r="E25" s="178" t="e">
        <f>Y23</f>
        <v>#N/A</v>
      </c>
      <c r="G25" s="176" t="s">
        <v>1595</v>
      </c>
      <c r="N25" s="1223"/>
    </row>
    <row r="26" spans="1:49" ht="15.75">
      <c r="B26" s="43"/>
      <c r="D26" s="75" t="s">
        <v>583</v>
      </c>
      <c r="E26" s="179" t="e">
        <f>0.0316*E25*SQRT(fc)*E15*E14</f>
        <v>#N/A</v>
      </c>
      <c r="F26" s="37" t="s">
        <v>341</v>
      </c>
      <c r="G26" s="176" t="s">
        <v>1411</v>
      </c>
      <c r="M26" s="183" t="s">
        <v>1617</v>
      </c>
      <c r="N26" s="1223"/>
    </row>
    <row r="27" spans="1:49">
      <c r="B27" s="43"/>
      <c r="D27" s="96" t="s">
        <v>593</v>
      </c>
      <c r="E27" s="171" t="str">
        <f>BarSArrange &amp;" "&amp;BarS</f>
        <v>Single #5</v>
      </c>
    </row>
    <row r="28" spans="1:49" ht="17.25" customHeight="1">
      <c r="B28" s="43"/>
      <c r="D28" s="96" t="s">
        <v>620</v>
      </c>
      <c r="E28" s="89">
        <f>IF(BarSArrange="Single",1,IF(BarSArrange="Double",2,IF(BarSArrange="Triple",3)))*2*VLOOKUP(BarS,BarTable,3)</f>
        <v>0.61399999999999999</v>
      </c>
      <c r="F28" s="37" t="s">
        <v>594</v>
      </c>
      <c r="G28" s="176" t="str">
        <f>"{"&amp;IF(BarSArrange="Single",1,IF(BarSArrange="Double",2,IF(BarSArrange="Triple",3)))&amp;" x 2 legs x "&amp;VLOOKUP(BarS,BarTable,3)&amp;" sqin}"</f>
        <v>{1 x 2 legs x 0.307 sqin}</v>
      </c>
    </row>
    <row r="29" spans="1:49" ht="15.75">
      <c r="B29" s="43"/>
      <c r="D29" s="75" t="s">
        <v>619</v>
      </c>
      <c r="E29" s="184" t="e">
        <f>E28*fy*E14*TAN(RADIANS(90-E23))</f>
        <v>#N/A</v>
      </c>
      <c r="F29" s="37" t="s">
        <v>403</v>
      </c>
      <c r="G29" s="91" t="s">
        <v>1412</v>
      </c>
      <c r="M29" s="183" t="s">
        <v>1618</v>
      </c>
      <c r="N29" s="1223"/>
    </row>
    <row r="30" spans="1:49" ht="15.75">
      <c r="B30" s="43"/>
      <c r="D30" s="75" t="s">
        <v>621</v>
      </c>
      <c r="E30" s="171" t="s">
        <v>717</v>
      </c>
      <c r="M30" s="183" t="s">
        <v>1619</v>
      </c>
      <c r="N30" s="1223"/>
    </row>
    <row r="31" spans="1:49" ht="15.75">
      <c r="B31" s="43"/>
      <c r="D31" s="39" t="s">
        <v>622</v>
      </c>
      <c r="E31" s="184">
        <f>0.25*fc*E15*E14</f>
        <v>2616.2502352941178</v>
      </c>
      <c r="F31" s="37" t="s">
        <v>341</v>
      </c>
      <c r="L31" s="68"/>
    </row>
    <row r="32" spans="1:49">
      <c r="B32" s="43"/>
      <c r="C32" s="171" t="s">
        <v>1274</v>
      </c>
      <c r="G32" s="91"/>
      <c r="O32" s="578" t="s">
        <v>33</v>
      </c>
      <c r="P32" s="668">
        <v>1</v>
      </c>
    </row>
    <row r="33" spans="1:27" ht="12.75" customHeight="1">
      <c r="B33" s="43"/>
      <c r="D33" s="75" t="s">
        <v>667</v>
      </c>
      <c r="E33" s="495">
        <f>MIN(12,IF(E21&lt;0.125*fc,MIN(24,0.8*dv),MIN(12,0.4*dv)))</f>
        <v>12</v>
      </c>
      <c r="F33" s="95" t="s">
        <v>155</v>
      </c>
      <c r="G33" s="176" t="str">
        <f>"{"&amp;IF(E21&lt;0.125*fc,"0.8dv ≤ 12.0 in","0.4dv ≤ 12.0 in")&amp;"}"</f>
        <v>{0.8dv ≤ 12.0 in}</v>
      </c>
      <c r="M33" s="183" t="s">
        <v>1620</v>
      </c>
      <c r="N33" s="1223"/>
      <c r="O33" s="578" t="s">
        <v>605</v>
      </c>
      <c r="P33" s="668">
        <v>2</v>
      </c>
    </row>
    <row r="34" spans="1:27" ht="12.75" customHeight="1">
      <c r="A34" s="400"/>
      <c r="B34" s="43"/>
      <c r="D34" s="75" t="s">
        <v>667</v>
      </c>
      <c r="E34" s="87">
        <f>Av*fy/(0.0316*SQRT(fc)*bv)</f>
        <v>11.378565889260342</v>
      </c>
      <c r="F34" s="95" t="s">
        <v>155</v>
      </c>
      <c r="G34" s="176" t="s">
        <v>1414</v>
      </c>
      <c r="M34" s="183" t="s">
        <v>1621</v>
      </c>
      <c r="N34" s="1223"/>
      <c r="O34" s="578" t="s">
        <v>606</v>
      </c>
      <c r="P34" s="668">
        <v>3</v>
      </c>
    </row>
    <row r="35" spans="1:27">
      <c r="A35" s="400"/>
      <c r="B35" s="43"/>
      <c r="C35" s="171" t="s">
        <v>34</v>
      </c>
      <c r="O35" s="669">
        <f>VLOOKUP(BarSArrange,StirrupArrangmentOptions,2,FALSE)</f>
        <v>1</v>
      </c>
    </row>
    <row r="36" spans="1:27" ht="15.75">
      <c r="A36" s="400"/>
      <c r="B36" s="43"/>
      <c r="E36" s="187" t="s">
        <v>94</v>
      </c>
      <c r="F36" s="188" t="s">
        <v>623</v>
      </c>
      <c r="G36" s="188" t="s">
        <v>624</v>
      </c>
      <c r="H36" s="35" t="s">
        <v>625</v>
      </c>
      <c r="I36" s="71"/>
    </row>
    <row r="37" spans="1:27">
      <c r="A37" s="400"/>
      <c r="B37" s="43"/>
      <c r="E37" s="186">
        <v>4</v>
      </c>
      <c r="F37" s="185" t="e">
        <f>E29/4</f>
        <v>#N/A</v>
      </c>
      <c r="G37" s="185" t="e">
        <f t="shared" ref="G37:G45" si="0">MIN(Vnmax,Vc+F37)</f>
        <v>#N/A</v>
      </c>
      <c r="H37" s="185" t="e">
        <f>G37*$E$13</f>
        <v>#N/A</v>
      </c>
      <c r="I37" s="71"/>
    </row>
    <row r="38" spans="1:27">
      <c r="A38" s="400"/>
      <c r="B38" s="43"/>
      <c r="E38" s="186">
        <v>5</v>
      </c>
      <c r="F38" s="185" t="e">
        <f>E29/5</f>
        <v>#N/A</v>
      </c>
      <c r="G38" s="185" t="e">
        <f t="shared" si="0"/>
        <v>#N/A</v>
      </c>
      <c r="H38" s="185" t="e">
        <f t="shared" ref="H38:H45" si="1">G38*$E$13</f>
        <v>#N/A</v>
      </c>
      <c r="I38" s="71"/>
      <c r="P38" s="217" t="s">
        <v>1124</v>
      </c>
      <c r="Q38" s="75"/>
      <c r="R38" s="37"/>
      <c r="S38" s="186"/>
      <c r="T38" s="37"/>
      <c r="U38" s="37" t="str">
        <f>IF(AND(W39=MIN(W39,W40,Z39,Z40),Z40=MAX(W39,W40,Z39,Z40),W40&lt;=Z39),"","Specified stirrup spacing must be arranged in increasing order by row then column")</f>
        <v/>
      </c>
      <c r="V38" s="75"/>
      <c r="W38" s="37"/>
      <c r="X38" s="37"/>
      <c r="Y38" s="37"/>
      <c r="Z38" s="37"/>
      <c r="AA38" s="294"/>
    </row>
    <row r="39" spans="1:27">
      <c r="A39" s="400"/>
      <c r="B39" s="43"/>
      <c r="E39" s="186">
        <v>6</v>
      </c>
      <c r="F39" s="185" t="e">
        <f>E29/6</f>
        <v>#N/A</v>
      </c>
      <c r="G39" s="185" t="e">
        <f t="shared" si="0"/>
        <v>#N/A</v>
      </c>
      <c r="H39" s="185" t="e">
        <f t="shared" si="1"/>
        <v>#N/A</v>
      </c>
      <c r="I39" s="71"/>
      <c r="P39" s="43"/>
      <c r="Q39" s="75"/>
      <c r="R39" s="37"/>
      <c r="S39" s="16" t="s">
        <v>1127</v>
      </c>
      <c r="T39" s="575">
        <v>2</v>
      </c>
      <c r="U39" s="37"/>
      <c r="V39" s="75"/>
      <c r="W39" s="292">
        <v>6</v>
      </c>
      <c r="X39" s="2" t="s">
        <v>155</v>
      </c>
      <c r="Y39" s="653"/>
      <c r="Z39" s="241">
        <v>12</v>
      </c>
      <c r="AA39" s="2" t="s">
        <v>155</v>
      </c>
    </row>
    <row r="40" spans="1:27">
      <c r="A40" s="400"/>
      <c r="B40" s="43"/>
      <c r="E40" s="186">
        <v>7</v>
      </c>
      <c r="F40" s="185" t="e">
        <f>E29/7</f>
        <v>#N/A</v>
      </c>
      <c r="G40" s="185" t="e">
        <f t="shared" si="0"/>
        <v>#N/A</v>
      </c>
      <c r="H40" s="185" t="e">
        <f t="shared" si="1"/>
        <v>#N/A</v>
      </c>
      <c r="I40" s="71"/>
      <c r="P40" s="43"/>
      <c r="Q40" s="75"/>
      <c r="R40" s="37"/>
      <c r="S40" s="186"/>
      <c r="T40" s="37"/>
      <c r="U40" s="37"/>
      <c r="V40" s="652"/>
      <c r="W40" s="241">
        <v>12</v>
      </c>
      <c r="X40" s="2" t="s">
        <v>155</v>
      </c>
      <c r="Y40" s="37"/>
      <c r="Z40" s="292">
        <v>12</v>
      </c>
      <c r="AA40" s="2" t="s">
        <v>155</v>
      </c>
    </row>
    <row r="41" spans="1:27">
      <c r="A41" s="400"/>
      <c r="B41" s="43"/>
      <c r="E41" s="186">
        <v>8</v>
      </c>
      <c r="F41" s="185" t="e">
        <f>E29/8</f>
        <v>#N/A</v>
      </c>
      <c r="G41" s="185" t="e">
        <f t="shared" si="0"/>
        <v>#N/A</v>
      </c>
      <c r="H41" s="185" t="e">
        <f t="shared" si="1"/>
        <v>#N/A</v>
      </c>
      <c r="I41" s="71"/>
      <c r="P41" s="633"/>
      <c r="Q41" s="1677" t="s">
        <v>42</v>
      </c>
      <c r="R41" s="1677"/>
      <c r="S41" s="1677"/>
      <c r="T41" s="1677"/>
      <c r="U41" s="1677"/>
      <c r="V41" s="1677"/>
      <c r="W41" s="1677"/>
      <c r="X41" s="1677"/>
      <c r="Y41" s="1677"/>
      <c r="Z41" s="1678"/>
    </row>
    <row r="42" spans="1:27">
      <c r="A42" s="400"/>
      <c r="B42" s="43"/>
      <c r="C42" s="37"/>
      <c r="E42" s="186">
        <v>9</v>
      </c>
      <c r="F42" s="185" t="e">
        <f>E29/9</f>
        <v>#N/A</v>
      </c>
      <c r="G42" s="185" t="e">
        <f t="shared" si="0"/>
        <v>#N/A</v>
      </c>
      <c r="H42" s="185" t="e">
        <f t="shared" si="1"/>
        <v>#N/A</v>
      </c>
      <c r="I42" s="71"/>
      <c r="P42" s="621"/>
      <c r="Q42" s="635">
        <v>3</v>
      </c>
      <c r="R42" s="635">
        <v>4</v>
      </c>
      <c r="S42" s="635">
        <v>5</v>
      </c>
      <c r="T42" s="635">
        <v>6</v>
      </c>
      <c r="U42" s="635">
        <v>7</v>
      </c>
      <c r="V42" s="635">
        <v>8</v>
      </c>
      <c r="W42" s="635">
        <v>9</v>
      </c>
      <c r="X42" s="635">
        <v>10</v>
      </c>
      <c r="Y42" s="635">
        <v>11</v>
      </c>
      <c r="Z42" s="636">
        <v>12</v>
      </c>
    </row>
    <row r="43" spans="1:27">
      <c r="A43" s="400"/>
      <c r="B43" s="43"/>
      <c r="C43" s="37"/>
      <c r="E43" s="186">
        <v>10</v>
      </c>
      <c r="F43" s="185" t="e">
        <f>E29/10</f>
        <v>#N/A</v>
      </c>
      <c r="G43" s="185" t="e">
        <f t="shared" si="0"/>
        <v>#N/A</v>
      </c>
      <c r="H43" s="185" t="e">
        <f t="shared" si="1"/>
        <v>#N/A</v>
      </c>
      <c r="I43" s="71"/>
      <c r="P43" s="634" t="s">
        <v>37</v>
      </c>
      <c r="Q43" s="635">
        <f>COUNTIF(AZ54:AZ1500,"=3")</f>
        <v>0</v>
      </c>
      <c r="R43" s="635">
        <f>COUNTIF(AZ54:AZ1500,"=4")</f>
        <v>0</v>
      </c>
      <c r="S43" s="635">
        <f>COUNTIF(AZ54:AZ1500,"=5")</f>
        <v>0</v>
      </c>
      <c r="T43" s="635">
        <f>COUNTIF(AZ54:AZ1500,"=6")</f>
        <v>0</v>
      </c>
      <c r="U43" s="635">
        <f>COUNTIF(AZ54:AZ1500,"=7")</f>
        <v>0</v>
      </c>
      <c r="V43" s="635">
        <f>COUNTIF(AZ54:AZ1500,"=8")</f>
        <v>0</v>
      </c>
      <c r="W43" s="635">
        <f>COUNTIF(AZ54:AZ1500,"=9")</f>
        <v>0</v>
      </c>
      <c r="X43" s="635">
        <f>COUNTIF(AZ54:AZ1500,"=10")</f>
        <v>0</v>
      </c>
      <c r="Y43" s="635">
        <f>COUNTIF(AZ54:AZ1500,"=11")</f>
        <v>0</v>
      </c>
      <c r="Z43" s="636">
        <f>COUNTIF(AZ54:AZ1500,"=12")</f>
        <v>0</v>
      </c>
    </row>
    <row r="44" spans="1:27" ht="13.5" thickBot="1">
      <c r="A44" s="400"/>
      <c r="B44" s="43"/>
      <c r="C44" s="37"/>
      <c r="E44" s="186">
        <v>11</v>
      </c>
      <c r="F44" s="185" t="e">
        <f>E29/11</f>
        <v>#N/A</v>
      </c>
      <c r="G44" s="185" t="e">
        <f t="shared" si="0"/>
        <v>#N/A</v>
      </c>
      <c r="H44" s="185" t="e">
        <f t="shared" si="1"/>
        <v>#N/A</v>
      </c>
      <c r="I44" s="71"/>
      <c r="P44" s="637">
        <f>COUNTIF(L54:L1500,"&gt;0")</f>
        <v>0</v>
      </c>
      <c r="Q44" s="640">
        <f>COUNTIF(M54:M1500,"=3")</f>
        <v>0</v>
      </c>
      <c r="R44" s="640">
        <f>COUNTIF(M54:M1500,"=4")</f>
        <v>0</v>
      </c>
      <c r="S44" s="640">
        <f>COUNTIF(M54:M1500,"=5")</f>
        <v>0</v>
      </c>
      <c r="T44" s="640">
        <f>COUNTIF(M54:M1500,"=6")</f>
        <v>0</v>
      </c>
      <c r="U44" s="640">
        <f>COUNTIF(M54:M1500,"=7")</f>
        <v>0</v>
      </c>
      <c r="V44" s="640">
        <f>COUNTIF(M54:M1500,"=8")</f>
        <v>0</v>
      </c>
      <c r="W44" s="640">
        <f>COUNTIF(M54:M1500,"=9")</f>
        <v>0</v>
      </c>
      <c r="X44" s="640">
        <f>COUNTIF(M54:M1500,"=10")</f>
        <v>0</v>
      </c>
      <c r="Y44" s="640">
        <f>COUNTIF(M54:M1500,"=11")</f>
        <v>0</v>
      </c>
      <c r="Z44" s="641">
        <f>COUNTIF(M54:M1500,"=12")</f>
        <v>0</v>
      </c>
    </row>
    <row r="45" spans="1:27" ht="12" customHeight="1">
      <c r="A45" s="400"/>
      <c r="B45" s="43"/>
      <c r="E45" s="186">
        <v>12</v>
      </c>
      <c r="F45" s="185" t="e">
        <f>E29/12</f>
        <v>#N/A</v>
      </c>
      <c r="G45" s="185" t="e">
        <f t="shared" si="0"/>
        <v>#N/A</v>
      </c>
      <c r="H45" s="185" t="e">
        <f t="shared" si="1"/>
        <v>#N/A</v>
      </c>
      <c r="I45" s="71"/>
      <c r="O45" s="1011">
        <f>W39</f>
        <v>6</v>
      </c>
      <c r="P45" s="1014">
        <f>HLOOKUP(O45,$Q$42:$Z$44,2,FALSE)</f>
        <v>0</v>
      </c>
      <c r="Q45" s="648" t="e">
        <f>Q43/$P$44</f>
        <v>#DIV/0!</v>
      </c>
      <c r="R45" s="648" t="e">
        <f>R43/$P$44</f>
        <v>#DIV/0!</v>
      </c>
      <c r="S45" s="648" t="e">
        <f>S43/$P$44</f>
        <v>#DIV/0!</v>
      </c>
      <c r="T45" s="648" t="e">
        <f>T43/$P$44</f>
        <v>#DIV/0!</v>
      </c>
      <c r="U45" s="648" t="e">
        <f t="shared" ref="U45:Z45" si="2">U43/$P$44</f>
        <v>#DIV/0!</v>
      </c>
      <c r="V45" s="648" t="e">
        <f t="shared" si="2"/>
        <v>#DIV/0!</v>
      </c>
      <c r="W45" s="648" t="e">
        <f t="shared" si="2"/>
        <v>#DIV/0!</v>
      </c>
      <c r="X45" s="648" t="e">
        <f t="shared" si="2"/>
        <v>#DIV/0!</v>
      </c>
      <c r="Y45" s="648" t="e">
        <f t="shared" si="2"/>
        <v>#DIV/0!</v>
      </c>
      <c r="Z45" s="649" t="e">
        <f t="shared" si="2"/>
        <v>#DIV/0!</v>
      </c>
    </row>
    <row r="46" spans="1:27" ht="12.75" customHeight="1">
      <c r="A46" s="400"/>
      <c r="O46" s="1012">
        <f>W40</f>
        <v>12</v>
      </c>
      <c r="P46" s="1014">
        <f>HLOOKUP(O46,$Q$42:$Z$44,2,FALSE)</f>
        <v>0</v>
      </c>
      <c r="Q46" s="400" t="e">
        <f>IF(ROUNDDOWN(BarsSminspa,0)=Q42,1,IF(Q45&gt;$W$47,1,""))</f>
        <v>#VALUE!</v>
      </c>
      <c r="R46" s="400" t="e">
        <f t="shared" ref="R46:Z46" si="3">IF(ROUNDDOWN(BarsSminspa,0)=R42,1,IF(AND(R45&gt;$W$47,Q46&lt;&gt;1),1,""))</f>
        <v>#VALUE!</v>
      </c>
      <c r="S46" s="400" t="e">
        <f t="shared" si="3"/>
        <v>#VALUE!</v>
      </c>
      <c r="T46" s="400" t="e">
        <f t="shared" si="3"/>
        <v>#VALUE!</v>
      </c>
      <c r="U46" s="400" t="e">
        <f t="shared" si="3"/>
        <v>#VALUE!</v>
      </c>
      <c r="V46" s="400" t="e">
        <f t="shared" si="3"/>
        <v>#VALUE!</v>
      </c>
      <c r="W46" s="400" t="e">
        <f t="shared" si="3"/>
        <v>#VALUE!</v>
      </c>
      <c r="X46" s="400" t="e">
        <f t="shared" si="3"/>
        <v>#VALUE!</v>
      </c>
      <c r="Y46" s="400" t="e">
        <f t="shared" si="3"/>
        <v>#VALUE!</v>
      </c>
      <c r="Z46" s="622" t="e">
        <f t="shared" si="3"/>
        <v>#VALUE!</v>
      </c>
    </row>
    <row r="47" spans="1:27" ht="12.75" customHeight="1">
      <c r="A47" s="400"/>
      <c r="O47" s="1012">
        <f>Z39</f>
        <v>12</v>
      </c>
      <c r="P47" s="1014">
        <f>HLOOKUP(O47,$Q$42:$Z$44,2,FALSE)</f>
        <v>0</v>
      </c>
      <c r="Q47" s="647" t="s">
        <v>39</v>
      </c>
      <c r="R47" s="643" t="s">
        <v>40</v>
      </c>
      <c r="S47" s="644"/>
      <c r="T47" s="645"/>
      <c r="V47" s="650" t="s">
        <v>43</v>
      </c>
      <c r="W47" s="654">
        <f>IF(MAX(C$54:C$65536)&lt;50,0.25,IF(MAX(C$54:C$65536)&gt;100,0.15,0.2))</f>
        <v>0.25</v>
      </c>
      <c r="Y47" s="635" t="e">
        <f>ROUNDDOWN(BarsSminspa,0)</f>
        <v>#VALUE!</v>
      </c>
      <c r="Z47" s="636" t="e">
        <f>IF(6+MATCH(Y48,Q42:Z42,0)&gt;=Z48,Z48,IF(INDEX(Q46:Z46,1,2+MATCH(Y48,Q42:Z42,0))=1,4+MATCH(Y48,Q42:Z42,0),Z48))</f>
        <v>#VALUE!</v>
      </c>
    </row>
    <row r="48" spans="1:27" ht="12.75" customHeight="1" thickBot="1">
      <c r="A48" s="400"/>
      <c r="O48" s="1013">
        <f>Z40</f>
        <v>12</v>
      </c>
      <c r="P48" s="646">
        <f>HLOOKUP(O48,$Q$42:$Z$44,2,FALSE)</f>
        <v>0</v>
      </c>
      <c r="Q48" s="646"/>
      <c r="R48" s="642" t="s">
        <v>38</v>
      </c>
      <c r="S48" s="638"/>
      <c r="T48" s="639"/>
      <c r="U48" s="638"/>
      <c r="V48" s="651"/>
      <c r="W48" s="651" t="s">
        <v>41</v>
      </c>
      <c r="X48" s="638">
        <f>COUNT(Q46:Z46)</f>
        <v>0</v>
      </c>
      <c r="Y48" s="638" t="e">
        <f>IF(AND(Y47&lt;T42,T46=1),T42,IF(Y47&gt;=T42,IF(V46=1,V42,IF(W46=1,W42,IF(X46=1,X42,IF(Y46=1,Y42,IF(Z46=1,Z42))))),Y47))</f>
        <v>#VALUE!</v>
      </c>
      <c r="Z48" s="639">
        <f>ROUNDDOWN(MIN(E33,E34),0)</f>
        <v>11</v>
      </c>
    </row>
    <row r="49" spans="1:86" ht="22.5" customHeight="1">
      <c r="A49" s="400"/>
      <c r="B49" s="190" t="s">
        <v>637</v>
      </c>
      <c r="E49" s="186"/>
      <c r="F49" s="185"/>
      <c r="G49" s="185"/>
      <c r="H49" s="185"/>
      <c r="I49" s="71"/>
      <c r="AZ49" s="489" t="e">
        <f>AVERAGE(AZ54:AZ1500)</f>
        <v>#DIV/0!</v>
      </c>
      <c r="BA49" s="1672" t="s">
        <v>718</v>
      </c>
      <c r="BB49" s="1673"/>
      <c r="BC49" s="1673"/>
      <c r="BD49" s="1673"/>
      <c r="BE49" s="1673"/>
      <c r="BF49" s="1673"/>
      <c r="BG49" s="1673"/>
      <c r="BH49" s="1673"/>
      <c r="BI49" s="1673"/>
      <c r="BJ49" s="1673"/>
      <c r="BK49" s="1673"/>
      <c r="BL49" s="1673"/>
      <c r="BM49" s="1673"/>
      <c r="BN49" s="1673"/>
      <c r="BO49" s="1673"/>
      <c r="BP49" s="1674"/>
    </row>
    <row r="50" spans="1:86" ht="26.25" customHeight="1">
      <c r="A50" s="400"/>
      <c r="C50" s="674" t="s">
        <v>685</v>
      </c>
      <c r="E50" s="186"/>
      <c r="F50" s="185"/>
      <c r="G50" s="185"/>
      <c r="H50" s="185"/>
      <c r="I50" s="71"/>
      <c r="M50" s="234" t="s">
        <v>1424</v>
      </c>
      <c r="N50" s="1223"/>
      <c r="AZ50" s="489" t="e">
        <f>STDEV(AZ54:AZ1500)</f>
        <v>#DIV/0!</v>
      </c>
      <c r="BA50" s="621"/>
      <c r="BJ50" s="491">
        <f>ROUNDUP(MAX(D54:D2999),-1)</f>
        <v>0</v>
      </c>
      <c r="BP50" s="622"/>
    </row>
    <row r="51" spans="1:86">
      <c r="A51" s="400"/>
      <c r="E51" s="75" t="s">
        <v>1123</v>
      </c>
      <c r="F51" s="87" t="e">
        <f>ROUNDDOWN(MIN(L54:L3000),2)</f>
        <v>#VALUE!</v>
      </c>
      <c r="G51" s="198" t="s">
        <v>155</v>
      </c>
      <c r="H51" s="192" t="e">
        <f>IF(OR(BarsSminspa&lt;4,BarsSminspa-Stirrup*VLOOKUP(BarS,BarTable,2,FALSE)&lt;3),"NG - 4'' Minimum Spacing and 3'' Minimum Clr Required","OK")</f>
        <v>#VALUE!</v>
      </c>
      <c r="I51" s="71"/>
      <c r="J51" s="184"/>
      <c r="AZ51" s="632" t="e">
        <f>MEDIAN(AZ54:AZ1500)</f>
        <v>#NUM!</v>
      </c>
      <c r="BA51" s="623">
        <v>3</v>
      </c>
      <c r="BB51" s="478">
        <v>4</v>
      </c>
      <c r="BC51" s="478">
        <v>5</v>
      </c>
      <c r="BD51" s="478">
        <v>6</v>
      </c>
      <c r="BE51" s="478">
        <v>7</v>
      </c>
      <c r="BF51" s="478">
        <v>8</v>
      </c>
      <c r="BG51" s="478">
        <v>9</v>
      </c>
      <c r="BH51" s="478">
        <v>10</v>
      </c>
      <c r="BI51" s="478">
        <v>11</v>
      </c>
      <c r="BJ51" s="478">
        <v>12</v>
      </c>
      <c r="BP51" s="622"/>
    </row>
    <row r="52" spans="1:86">
      <c r="B52" s="43"/>
      <c r="H52" s="37"/>
      <c r="J52" s="216" t="e">
        <f>IF(MAX(I54:I3004)&gt;Vnmax,"Increase Cap Section - Max Vn Required is greater than 0.25 f'cbvdv","Section OK - Max Vn Required is less than 0.25 f'cbvdv")</f>
        <v>#VALUE!</v>
      </c>
      <c r="N52" s="489">
        <f>SUM(P:P)-SUM(P1:P53)</f>
        <v>0</v>
      </c>
      <c r="AB52" s="475" t="s">
        <v>640</v>
      </c>
      <c r="AR52" s="1679" t="s">
        <v>658</v>
      </c>
      <c r="AS52" s="1679"/>
      <c r="AT52" s="1679"/>
      <c r="AU52" s="1679" t="s">
        <v>659</v>
      </c>
      <c r="AV52" s="1679"/>
      <c r="AW52" s="1680"/>
      <c r="AZ52" s="578" t="e">
        <f>MODE(AZ54:AZ1500)</f>
        <v>#N/A</v>
      </c>
      <c r="BA52" s="481" t="str">
        <f t="shared" ref="BA52:BJ52" si="4">"ΦVn "&amp;BA51&amp;"''"</f>
        <v>ΦVn 3''</v>
      </c>
      <c r="BB52" s="482" t="str">
        <f t="shared" si="4"/>
        <v>ΦVn 4''</v>
      </c>
      <c r="BC52" s="482" t="str">
        <f t="shared" si="4"/>
        <v>ΦVn 5''</v>
      </c>
      <c r="BD52" s="482" t="str">
        <f t="shared" si="4"/>
        <v>ΦVn 6''</v>
      </c>
      <c r="BE52" s="482" t="str">
        <f t="shared" si="4"/>
        <v>ΦVn 7''</v>
      </c>
      <c r="BF52" s="482" t="str">
        <f t="shared" si="4"/>
        <v>ΦVn 8''</v>
      </c>
      <c r="BG52" s="482" t="str">
        <f t="shared" si="4"/>
        <v>ΦVn 9''</v>
      </c>
      <c r="BH52" s="482" t="str">
        <f t="shared" si="4"/>
        <v>ΦVn 10''</v>
      </c>
      <c r="BI52" s="482" t="str">
        <f t="shared" si="4"/>
        <v>ΦVn 11''</v>
      </c>
      <c r="BJ52" s="482" t="str">
        <f t="shared" si="4"/>
        <v>ΦVn 12''</v>
      </c>
      <c r="BL52" s="400" t="str">
        <f>HLOOKUP(BL53,BA51:BJ52,2,FALSE)</f>
        <v>ΦVn 6''</v>
      </c>
      <c r="BM52" s="400" t="str">
        <f>HLOOKUP(BM53,BA51:BJ52,2,FALSE)</f>
        <v>ΦVn 12''</v>
      </c>
      <c r="BN52" s="400" t="str">
        <f>HLOOKUP(BN53,BA51:BJ52,2,FALSE)</f>
        <v>ΦVn 12''</v>
      </c>
      <c r="BO52" s="400" t="str">
        <f>HLOOKUP(BO53,BA51:BJ52,2,FALSE)</f>
        <v>ΦVn 12''</v>
      </c>
      <c r="BP52" s="622"/>
    </row>
    <row r="53" spans="1:86" s="194" customFormat="1" ht="29.25" customHeight="1">
      <c r="A53" s="620"/>
      <c r="C53" s="195" t="s">
        <v>669</v>
      </c>
      <c r="D53" s="187" t="s">
        <v>1095</v>
      </c>
      <c r="E53" s="187" t="s">
        <v>1094</v>
      </c>
      <c r="F53" s="187" t="s">
        <v>1096</v>
      </c>
      <c r="G53" s="196" t="s">
        <v>634</v>
      </c>
      <c r="H53" s="187" t="s">
        <v>1097</v>
      </c>
      <c r="I53" s="295" t="s">
        <v>1098</v>
      </c>
      <c r="J53" s="295" t="s">
        <v>1099</v>
      </c>
      <c r="K53" s="295" t="s">
        <v>666</v>
      </c>
      <c r="L53" s="267" t="s">
        <v>1122</v>
      </c>
      <c r="N53" s="476" t="s">
        <v>626</v>
      </c>
      <c r="O53" s="476" t="s">
        <v>636</v>
      </c>
      <c r="P53" s="478"/>
      <c r="Q53" s="624" t="s">
        <v>379</v>
      </c>
      <c r="R53" s="624" t="s">
        <v>380</v>
      </c>
      <c r="S53" s="625" t="s">
        <v>627</v>
      </c>
      <c r="T53" s="476" t="s">
        <v>628</v>
      </c>
      <c r="U53" s="476" t="s">
        <v>629</v>
      </c>
      <c r="V53" s="476" t="s">
        <v>630</v>
      </c>
      <c r="W53" s="476" t="s">
        <v>631</v>
      </c>
      <c r="X53" s="476" t="s">
        <v>632</v>
      </c>
      <c r="Y53" s="476" t="s">
        <v>633</v>
      </c>
      <c r="Z53" s="477" t="s">
        <v>634</v>
      </c>
      <c r="AA53" s="476" t="s">
        <v>635</v>
      </c>
      <c r="AB53" s="479" t="s">
        <v>638</v>
      </c>
      <c r="AC53" s="476" t="s">
        <v>639</v>
      </c>
      <c r="AD53" s="476" t="s">
        <v>648</v>
      </c>
      <c r="AE53" s="476" t="s">
        <v>649</v>
      </c>
      <c r="AF53" s="476" t="s">
        <v>650</v>
      </c>
      <c r="AG53" s="476" t="s">
        <v>651</v>
      </c>
      <c r="AH53" s="476" t="s">
        <v>652</v>
      </c>
      <c r="AI53" s="476" t="s">
        <v>653</v>
      </c>
      <c r="AJ53" s="476" t="s">
        <v>660</v>
      </c>
      <c r="AK53" s="476" t="s">
        <v>661</v>
      </c>
      <c r="AL53" s="476" t="s">
        <v>662</v>
      </c>
      <c r="AM53" s="476" t="s">
        <v>663</v>
      </c>
      <c r="AN53" s="1676" t="s">
        <v>654</v>
      </c>
      <c r="AO53" s="1676"/>
      <c r="AP53" s="1676" t="s">
        <v>655</v>
      </c>
      <c r="AQ53" s="1676"/>
      <c r="AR53" s="1676" t="s">
        <v>656</v>
      </c>
      <c r="AS53" s="1676"/>
      <c r="AT53" s="478" t="s">
        <v>657</v>
      </c>
      <c r="AU53" s="1676" t="s">
        <v>656</v>
      </c>
      <c r="AV53" s="1676"/>
      <c r="AW53" s="480" t="s">
        <v>657</v>
      </c>
      <c r="AX53" s="478"/>
      <c r="AY53" s="478"/>
      <c r="AZ53" s="478" t="s">
        <v>1125</v>
      </c>
      <c r="BA53" s="623"/>
      <c r="BB53" s="478"/>
      <c r="BC53" s="478"/>
      <c r="BD53" s="478"/>
      <c r="BE53" s="478"/>
      <c r="BF53" s="478"/>
      <c r="BG53" s="478"/>
      <c r="BH53" s="478"/>
      <c r="BI53" s="478"/>
      <c r="BJ53" s="478"/>
      <c r="BK53" s="478">
        <v>3</v>
      </c>
      <c r="BL53" s="478">
        <f>W39</f>
        <v>6</v>
      </c>
      <c r="BM53" s="478">
        <f>W40</f>
        <v>12</v>
      </c>
      <c r="BN53" s="478">
        <f>Z39</f>
        <v>12</v>
      </c>
      <c r="BO53" s="478">
        <f>Z40</f>
        <v>12</v>
      </c>
      <c r="BP53" s="480">
        <f>BJ50+10</f>
        <v>10</v>
      </c>
      <c r="BQ53" s="236" t="s">
        <v>1121</v>
      </c>
      <c r="BR53" s="478"/>
      <c r="BS53" s="478"/>
      <c r="BT53" s="478"/>
      <c r="BV53" s="478"/>
      <c r="BW53" s="478"/>
      <c r="BX53" s="478"/>
      <c r="BY53" s="478"/>
      <c r="BZ53" s="478"/>
      <c r="CA53" s="478"/>
      <c r="CB53" s="478"/>
      <c r="CC53" s="478"/>
      <c r="CD53" s="478"/>
      <c r="CE53" s="478"/>
      <c r="CF53" s="478"/>
      <c r="CG53" s="478"/>
      <c r="CH53" s="478"/>
    </row>
    <row r="54" spans="1:86">
      <c r="A54" s="339"/>
      <c r="B54" s="96" t="e">
        <f>IF(MIN(ABS(C54-INDEX(Geometry!$Q$104:$Q$113,IF(ISERROR(MATCH(C54,Geometry!$Q$104:$Q$113,1)),1,MATCH(C54,Geometry!$Q$104:$Q$113,1)),1)),ABS(C54-INDEX(Geometry!$Q$104:$Q$113,IF(ISERROR(MAX(11-MATCH(C54,Geometry!$R$104:$R$113,-1),1)),1,MAX(11-MATCH(C54,Geometry!$R$104:$R$113,-1),1)),1)))&lt;(halfeffectiveface/12),"#","")</f>
        <v>#VALUE!</v>
      </c>
      <c r="C54" s="96" t="str">
        <f>'CAP18 Out(1)'!D12</f>
        <v/>
      </c>
      <c r="D54" s="184" t="str">
        <f>'CAP18 Out(1)'!M12</f>
        <v/>
      </c>
      <c r="E54" s="179" t="e">
        <f t="shared" ref="E54" si="5">MAX(Q54,ABS(R54),D54*dv/12)</f>
        <v>#VALUE!</v>
      </c>
      <c r="F54" s="87" t="e">
        <f>Y54</f>
        <v>#VALUE!</v>
      </c>
      <c r="G54" s="87" t="e">
        <f>Z54</f>
        <v>#VALUE!</v>
      </c>
      <c r="H54" s="185" t="e">
        <f>AA54</f>
        <v>#VALUE!</v>
      </c>
      <c r="I54" s="184" t="e">
        <f>D54/$E$13</f>
        <v>#VALUE!</v>
      </c>
      <c r="J54" s="184">
        <f>IF(ISERROR(MAX(0,I54-AA54)),0,MAX(0,I54-AA54))</f>
        <v>0</v>
      </c>
      <c r="K54" s="184">
        <f t="shared" ref="K54" si="6">IF(ISERROR($E$28*fy*$E$14*TAN(RADIANS(90-Y54))),0,$E$28*fy*$E$14*TAN(RADIANS(90-Y54)))</f>
        <v>0</v>
      </c>
      <c r="L54" s="296" t="e">
        <f t="shared" ref="L54" si="7">IF(AND(B53="#",B54="#",B55="#"),"Column",IF(ISERROR(J54),12,MIN(MIN(12,IF(W54&lt;0.125*fc,MIN(24,0.8*dv),MIN(12,0.4*dv))),$E$34,IF(J54=0,12,MIN(12,K54/J54)))))</f>
        <v>#VALUE!</v>
      </c>
      <c r="M54" s="294" t="e">
        <f>IF(L54="Column","",IF(OR(C54&lt;MAX(ColSpa1,Geometry!$J$107),C54&gt;MAX(MAX(Geometry!$I$107:$I$116),MAX(Geometry!$J$107:$J$116))),"OH - 6''",""))</f>
        <v>#VALUE!</v>
      </c>
      <c r="N54" s="1053">
        <v>21.8</v>
      </c>
      <c r="O54" s="489">
        <f>IF(ISERROR(Y54-N54),0,Y54-N54)</f>
        <v>0</v>
      </c>
      <c r="P54" s="489">
        <f>ROUND(O54,2)</f>
        <v>0</v>
      </c>
      <c r="Q54" s="400" t="e">
        <f>'CAP18 Out(1)'!I12</f>
        <v>#VALUE!</v>
      </c>
      <c r="R54" s="400" t="e">
        <f>'CAP18 Out(1)'!J12</f>
        <v>#VALUE!</v>
      </c>
      <c r="S54" s="400" t="e">
        <f>IF(E54=ABS(Q54),VLOOKUP('Bars B'!$F$10,BarTable,4,FALSE)/12,1.3*VLOOKUP('Bars A'!$F$10,BarTable,4,FALSE)/12)</f>
        <v>#VALUE!</v>
      </c>
      <c r="T54" s="626" t="e">
        <f t="shared" ref="T54" si="8">MIN(C54,caplength-C54)</f>
        <v>#VALUE!</v>
      </c>
      <c r="U54" s="489" t="e">
        <f>IF(T54&gt;S54,IF(E54=ABS(R54),'Bars A'!$I$13,'Bars B'!$I$13),0.0000000001)</f>
        <v>#VALUE!</v>
      </c>
      <c r="V54" s="483" t="e">
        <f t="shared" ref="V54" si="9">MIN(0.001,MAX(0,(E54*12/$E$14+0.5*D54*TAN(RADIANS(90-N54)))/(2*Es*U54)))</f>
        <v>#VALUE!</v>
      </c>
      <c r="W54" s="627" t="e">
        <f>D54/($E$13*$E$15*$E$14)</f>
        <v>#VALUE!</v>
      </c>
      <c r="X54" s="628" t="e">
        <f t="shared" ref="X54" si="10">W54/fc</f>
        <v>#VALUE!</v>
      </c>
      <c r="Y54" s="489" t="e">
        <f>AT54</f>
        <v>#VALUE!</v>
      </c>
      <c r="Z54" s="629" t="e">
        <f>AW54</f>
        <v>#VALUE!</v>
      </c>
      <c r="AA54" s="626" t="e">
        <f t="shared" ref="AA54" si="11">0.0316*Z54*SQRT(fc)*$E$15*$E$14</f>
        <v>#VALUE!</v>
      </c>
      <c r="AB54" s="481" t="e">
        <f>MATCH(V54,Reference!$S$7:$S$17,1)</f>
        <v>#VALUE!</v>
      </c>
      <c r="AC54" s="1388" t="e">
        <f>12-MATCH(V54,Reference!$AD$6:$AD$16,-1)</f>
        <v>#VALUE!</v>
      </c>
      <c r="AD54" s="482" t="e">
        <f>MATCH(X54,Reference!$T$6:$AB$6,1)</f>
        <v>#VALUE!</v>
      </c>
      <c r="AE54" s="482" t="e">
        <f>10-MATCH(X54,Reference!$AD$18:$AL$18,-1)</f>
        <v>#VALUE!</v>
      </c>
      <c r="AF54" s="482" t="e">
        <f>INDEX(Reference!$T$7:$AB$17,AB54,AD54)</f>
        <v>#VALUE!</v>
      </c>
      <c r="AG54" s="482" t="e">
        <f>INDEX(Reference!$T$7:$AB$17,AB54,AE54)</f>
        <v>#VALUE!</v>
      </c>
      <c r="AH54" s="482" t="e">
        <f>INDEX(Reference!$T$7:$AB$17,AC54,AD54)</f>
        <v>#VALUE!</v>
      </c>
      <c r="AI54" s="482" t="e">
        <f>INDEX(Reference!$T$7:$AB$17,AC54,AE54)</f>
        <v>#VALUE!</v>
      </c>
      <c r="AJ54" s="482" t="e">
        <f>INDEX(Reference!$T$23:$AB$33,AB54,AD54)</f>
        <v>#VALUE!</v>
      </c>
      <c r="AK54" s="482" t="e">
        <f>INDEX(Reference!$T$23:$AB$33,AB54,AE54)</f>
        <v>#VALUE!</v>
      </c>
      <c r="AL54" s="482" t="e">
        <f>INDEX(Reference!$T$23:$AB$33,AC54,AD54)</f>
        <v>#VALUE!</v>
      </c>
      <c r="AM54" s="482" t="e">
        <f>INDEX(Reference!$T$23:$AB$33,AC54,AE54)</f>
        <v>#VALUE!</v>
      </c>
      <c r="AN54" s="483" t="e">
        <f>INDEX(Reference!$S$7:$S$17,AB54,1)</f>
        <v>#VALUE!</v>
      </c>
      <c r="AO54" s="483" t="e">
        <f>INDEX(Reference!$S$7:$S$17,AC54,1)</f>
        <v>#VALUE!</v>
      </c>
      <c r="AP54" s="484" t="e">
        <f>INDEX(Reference!$T$6:$AB$6,1,AD54)</f>
        <v>#VALUE!</v>
      </c>
      <c r="AQ54" s="484" t="e">
        <f>INDEX(Reference!$T$6:$AB$6,1,AE54)</f>
        <v>#VALUE!</v>
      </c>
      <c r="AR54" s="629" t="e">
        <f>AF54+(V54-AN54)*(AH54-AF54)/IF((AO54-AN54)=0,1,(AO54-AN54))</f>
        <v>#VALUE!</v>
      </c>
      <c r="AS54" s="629" t="e">
        <f>AG54+(V54-AN54)*(AI54-AG54)/IF((AO54-AN54)=0,1,(AO54-AN54))</f>
        <v>#VALUE!</v>
      </c>
      <c r="AT54" s="629" t="e">
        <f>AR54+(X54-AP54)*(AS54-AR54)/IF((AQ54-AP54)=0,1,(AQ54-AP54))</f>
        <v>#VALUE!</v>
      </c>
      <c r="AU54" s="629" t="e">
        <f>AJ54+(V54-AN54)*(AL54-AJ54)/IF((AO54-AN54)=0,1,(AO54-AN54))</f>
        <v>#VALUE!</v>
      </c>
      <c r="AV54" s="629" t="e">
        <f>AK54+(V54-AN54)*(AM54-AK54)/IF((AO54-AN54)=0,1,(AO54-AN54))</f>
        <v>#VALUE!</v>
      </c>
      <c r="AW54" s="630" t="e">
        <f>AU54+(X54-AP54)*(AV54-AU54)/IF((AQ54-AP54)=0,1,(AQ54-AP54))</f>
        <v>#VALUE!</v>
      </c>
      <c r="AZ54" s="489" t="str">
        <f>IF(ISERROR(ROUNDDOWN(L54,0)),"",ROUNDDOWN(L54,0))</f>
        <v/>
      </c>
      <c r="BA54" s="631" t="e">
        <f t="shared" ref="BA54:BJ69" si="12">$E$13*MIN(Vnmax,$AA54+$K54/BA$51)</f>
        <v>#VALUE!</v>
      </c>
      <c r="BB54" s="491" t="e">
        <f t="shared" si="12"/>
        <v>#VALUE!</v>
      </c>
      <c r="BC54" s="491" t="e">
        <f t="shared" si="12"/>
        <v>#VALUE!</v>
      </c>
      <c r="BD54" s="491" t="e">
        <f t="shared" si="12"/>
        <v>#VALUE!</v>
      </c>
      <c r="BE54" s="491" t="e">
        <f t="shared" si="12"/>
        <v>#VALUE!</v>
      </c>
      <c r="BF54" s="491" t="e">
        <f t="shared" si="12"/>
        <v>#VALUE!</v>
      </c>
      <c r="BG54" s="491" t="e">
        <f t="shared" si="12"/>
        <v>#VALUE!</v>
      </c>
      <c r="BH54" s="491" t="e">
        <f t="shared" si="12"/>
        <v>#VALUE!</v>
      </c>
      <c r="BI54" s="491" t="e">
        <f t="shared" si="12"/>
        <v>#VALUE!</v>
      </c>
      <c r="BJ54" s="491" t="e">
        <f t="shared" si="12"/>
        <v>#VALUE!</v>
      </c>
      <c r="BK54" s="400">
        <f>BK53+1</f>
        <v>4</v>
      </c>
      <c r="BL54" s="491" t="e">
        <f>HLOOKUP(BL$53,$BA$51:$BJ$500,$BK54,FALSE)</f>
        <v>#VALUE!</v>
      </c>
      <c r="BM54" s="491" t="e">
        <f>HLOOKUP(BM$53,$BA$51:$BJ$500,$BK54,FALSE)</f>
        <v>#VALUE!</v>
      </c>
      <c r="BN54" s="491" t="e">
        <f>HLOOKUP(BN$53,$BA$51:$BJ$500,$BK54,FALSE)</f>
        <v>#VALUE!</v>
      </c>
      <c r="BO54" s="491" t="e">
        <f>HLOOKUP(BO$53,$BA$51:$BJ$500,$BK54,FALSE)</f>
        <v>#VALUE!</v>
      </c>
      <c r="BP54" s="622" t="e">
        <f>IF(B54="#",$BP$53,0)</f>
        <v>#VALUE!</v>
      </c>
      <c r="BQ54" s="274" t="e">
        <f>IF(L54="","Column",IF(OR(C54&lt;MAX(ColSpa1,Geometry!$J$107),C54&gt;MAX(MAX(Geometry!$I$107:$I$116),MAX(Geometry!$J$107:$J$116))),MIN(6,INDEX($O$45:$O$48,MATCH(L54,$O$45:$O$48,1),1)),INDEX($O$45:$O$48,MATCH(L54,$O$45:$O$48,1),1)))</f>
        <v>#VALUE!</v>
      </c>
    </row>
    <row r="55" spans="1:86">
      <c r="A55" s="339"/>
      <c r="B55" s="96" t="e">
        <f>IF(MIN(ABS(C55-INDEX(Geometry!$Q$104:$Q$113,IF(ISERROR(MATCH(C55,Geometry!$Q$104:$Q$113,1)),1,MATCH(C55,Geometry!$Q$104:$Q$113,1)),1)),ABS(C55-INDEX(Geometry!$Q$104:$Q$113,IF(ISERROR(MAX(11-MATCH(C55,Geometry!$R$104:$R$113,-1),1)),1,MAX(11-MATCH(C55,Geometry!$R$104:$R$113,-1),1)),1)))&lt;(halfeffectiveface/12),"#","")</f>
        <v>#VALUE!</v>
      </c>
      <c r="C55" s="96" t="str">
        <f>'CAP18 Out(1)'!D13</f>
        <v/>
      </c>
      <c r="D55" s="184" t="str">
        <f>'CAP18 Out(1)'!M13</f>
        <v/>
      </c>
      <c r="E55" s="179" t="e">
        <f t="shared" ref="E55:E118" si="13">MAX(Q55,ABS(R55),D55*dv/12)</f>
        <v>#VALUE!</v>
      </c>
      <c r="F55" s="87" t="e">
        <f t="shared" ref="F55:F118" si="14">Y55</f>
        <v>#VALUE!</v>
      </c>
      <c r="G55" s="87" t="e">
        <f t="shared" ref="G55:G118" si="15">Z55</f>
        <v>#VALUE!</v>
      </c>
      <c r="H55" s="185" t="e">
        <f t="shared" ref="H55:H118" si="16">AA55</f>
        <v>#VALUE!</v>
      </c>
      <c r="I55" s="184" t="e">
        <f t="shared" ref="I55:I118" si="17">D55/$E$13</f>
        <v>#VALUE!</v>
      </c>
      <c r="J55" s="184">
        <f t="shared" ref="J55:J118" si="18">IF(ISERROR(MAX(0,I55-AA55)),0,MAX(0,I55-AA55))</f>
        <v>0</v>
      </c>
      <c r="K55" s="184">
        <f t="shared" ref="K55:K118" si="19">IF(ISERROR($E$28*fy*$E$14*TAN(RADIANS(90-Y55))),0,$E$28*fy*$E$14*TAN(RADIANS(90-Y55)))</f>
        <v>0</v>
      </c>
      <c r="L55" s="296" t="e">
        <f t="shared" ref="L55:L118" si="20">IF(AND(B54="#",B55="#",B56="#"),"Column",IF(ISERROR(J55),12,MIN(MIN(12,IF(W55&lt;0.125*fc,MIN(24,0.8*dv),MIN(12,0.4*dv))),$E$34,IF(J55=0,12,MIN(12,K55/J55)))))</f>
        <v>#VALUE!</v>
      </c>
      <c r="M55" s="294" t="e">
        <f>IF(L55="Column","",IF(OR(C55&lt;MAX(ColSpa1,Geometry!$J$107),C55&gt;MAX(MAX(Geometry!$I$107:$I$116),MAX(Geometry!$J$107:$J$116))),"OH - 6''",""))</f>
        <v>#VALUE!</v>
      </c>
      <c r="N55" s="1053">
        <v>21.8</v>
      </c>
      <c r="O55" s="489">
        <f t="shared" ref="O55:O118" si="21">IF(ISERROR(Y55-N55),0,Y55-N55)</f>
        <v>0</v>
      </c>
      <c r="P55" s="489">
        <f t="shared" ref="P55:P118" si="22">ROUND(O55,2)</f>
        <v>0</v>
      </c>
      <c r="Q55" s="400" t="e">
        <f>'CAP18 Out(1)'!I13</f>
        <v>#VALUE!</v>
      </c>
      <c r="R55" s="400" t="e">
        <f>'CAP18 Out(1)'!J13</f>
        <v>#VALUE!</v>
      </c>
      <c r="S55" s="400" t="e">
        <f>IF(E55=ABS(Q55),VLOOKUP('Bars B'!$F$10,BarTable,4,FALSE)/12,1.3*VLOOKUP('Bars A'!$F$10,BarTable,4,FALSE)/12)</f>
        <v>#VALUE!</v>
      </c>
      <c r="T55" s="626" t="e">
        <f t="shared" ref="T55:T118" si="23">MIN(C55,caplength-C55)</f>
        <v>#VALUE!</v>
      </c>
      <c r="U55" s="489" t="e">
        <f>IF(T55&gt;S55,IF(E55=ABS(R55),'Bars A'!$I$13,'Bars B'!$I$13),0.0000000001)</f>
        <v>#VALUE!</v>
      </c>
      <c r="V55" s="483" t="e">
        <f t="shared" ref="V55:V118" si="24">MIN(0.001,MAX(0,(E55*12/$E$14+0.5*D55*TAN(RADIANS(90-N55)))/(2*Es*U55)))</f>
        <v>#VALUE!</v>
      </c>
      <c r="W55" s="627" t="e">
        <f t="shared" ref="W55:W118" si="25">D55/($E$13*$E$15*$E$14)</f>
        <v>#VALUE!</v>
      </c>
      <c r="X55" s="628" t="e">
        <f t="shared" ref="X55:X118" si="26">W55/fc</f>
        <v>#VALUE!</v>
      </c>
      <c r="Y55" s="489" t="e">
        <f t="shared" ref="Y55:Y118" si="27">AT55</f>
        <v>#VALUE!</v>
      </c>
      <c r="Z55" s="629" t="e">
        <f t="shared" ref="Z55:Z118" si="28">AW55</f>
        <v>#VALUE!</v>
      </c>
      <c r="AA55" s="626" t="e">
        <f t="shared" ref="AA55:AA118" si="29">0.0316*Z55*SQRT(fc)*$E$15*$E$14</f>
        <v>#VALUE!</v>
      </c>
      <c r="AB55" s="481" t="e">
        <f>MATCH(V55,Reference!$S$7:$S$17,1)</f>
        <v>#VALUE!</v>
      </c>
      <c r="AC55" s="1388" t="e">
        <f>12-MATCH(V55,Reference!$AD$6:$AD$16,-1)</f>
        <v>#VALUE!</v>
      </c>
      <c r="AD55" s="482" t="e">
        <f>MATCH(X55,Reference!$T$6:$AB$6,1)</f>
        <v>#VALUE!</v>
      </c>
      <c r="AE55" s="482" t="e">
        <f>10-MATCH(X55,Reference!$AD$18:$AL$18,-1)</f>
        <v>#VALUE!</v>
      </c>
      <c r="AF55" s="482" t="e">
        <f>INDEX(Reference!$T$7:$AB$17,AB55,AD55)</f>
        <v>#VALUE!</v>
      </c>
      <c r="AG55" s="482" t="e">
        <f>INDEX(Reference!$T$7:$AB$17,AB55,AE55)</f>
        <v>#VALUE!</v>
      </c>
      <c r="AH55" s="482" t="e">
        <f>INDEX(Reference!$T$7:$AB$17,AC55,AD55)</f>
        <v>#VALUE!</v>
      </c>
      <c r="AI55" s="482" t="e">
        <f>INDEX(Reference!$T$7:$AB$17,AC55,AE55)</f>
        <v>#VALUE!</v>
      </c>
      <c r="AJ55" s="482" t="e">
        <f>INDEX(Reference!$T$23:$AB$33,AB55,AD55)</f>
        <v>#VALUE!</v>
      </c>
      <c r="AK55" s="482" t="e">
        <f>INDEX(Reference!$T$23:$AB$33,AB55,AE55)</f>
        <v>#VALUE!</v>
      </c>
      <c r="AL55" s="482" t="e">
        <f>INDEX(Reference!$T$23:$AB$33,AC55,AD55)</f>
        <v>#VALUE!</v>
      </c>
      <c r="AM55" s="482" t="e">
        <f>INDEX(Reference!$T$23:$AB$33,AC55,AE55)</f>
        <v>#VALUE!</v>
      </c>
      <c r="AN55" s="483" t="e">
        <f>INDEX(Reference!$S$7:$S$17,AB55,1)</f>
        <v>#VALUE!</v>
      </c>
      <c r="AO55" s="483" t="e">
        <f>INDEX(Reference!$S$7:$S$17,AC55,1)</f>
        <v>#VALUE!</v>
      </c>
      <c r="AP55" s="484" t="e">
        <f>INDEX(Reference!$T$6:$AB$6,1,AD55)</f>
        <v>#VALUE!</v>
      </c>
      <c r="AQ55" s="484" t="e">
        <f>INDEX(Reference!$T$6:$AB$6,1,AE55)</f>
        <v>#VALUE!</v>
      </c>
      <c r="AR55" s="629" t="e">
        <f t="shared" ref="AR55:AR118" si="30">AF55+(V55-AN55)*(AH55-AF55)/IF((AO55-AN55)=0,1,(AO55-AN55))</f>
        <v>#VALUE!</v>
      </c>
      <c r="AS55" s="629" t="e">
        <f t="shared" ref="AS55:AS118" si="31">AG55+(V55-AN55)*(AI55-AG55)/IF((AO55-AN55)=0,1,(AO55-AN55))</f>
        <v>#VALUE!</v>
      </c>
      <c r="AT55" s="629" t="e">
        <f t="shared" ref="AT55:AT118" si="32">AR55+(X55-AP55)*(AS55-AR55)/IF((AQ55-AP55)=0,1,(AQ55-AP55))</f>
        <v>#VALUE!</v>
      </c>
      <c r="AU55" s="629" t="e">
        <f t="shared" ref="AU55:AU118" si="33">AJ55+(V55-AN55)*(AL55-AJ55)/IF((AO55-AN55)=0,1,(AO55-AN55))</f>
        <v>#VALUE!</v>
      </c>
      <c r="AV55" s="629" t="e">
        <f t="shared" ref="AV55:AV118" si="34">AK55+(V55-AN55)*(AM55-AK55)/IF((AO55-AN55)=0,1,(AO55-AN55))</f>
        <v>#VALUE!</v>
      </c>
      <c r="AW55" s="630" t="e">
        <f t="shared" ref="AW55:AW118" si="35">AU55+(X55-AP55)*(AV55-AU55)/IF((AQ55-AP55)=0,1,(AQ55-AP55))</f>
        <v>#VALUE!</v>
      </c>
      <c r="AZ55" s="489" t="str">
        <f t="shared" ref="AZ55:AZ118" si="36">IF(ISERROR(ROUNDDOWN(L55,0)),"",ROUNDDOWN(L55,0))</f>
        <v/>
      </c>
      <c r="BA55" s="631" t="e">
        <f t="shared" si="12"/>
        <v>#VALUE!</v>
      </c>
      <c r="BB55" s="491" t="e">
        <f t="shared" si="12"/>
        <v>#VALUE!</v>
      </c>
      <c r="BC55" s="491" t="e">
        <f t="shared" si="12"/>
        <v>#VALUE!</v>
      </c>
      <c r="BD55" s="491" t="e">
        <f t="shared" si="12"/>
        <v>#VALUE!</v>
      </c>
      <c r="BE55" s="491" t="e">
        <f t="shared" si="12"/>
        <v>#VALUE!</v>
      </c>
      <c r="BF55" s="491" t="e">
        <f t="shared" si="12"/>
        <v>#VALUE!</v>
      </c>
      <c r="BG55" s="491" t="e">
        <f t="shared" si="12"/>
        <v>#VALUE!</v>
      </c>
      <c r="BH55" s="491" t="e">
        <f t="shared" si="12"/>
        <v>#VALUE!</v>
      </c>
      <c r="BI55" s="491" t="e">
        <f t="shared" si="12"/>
        <v>#VALUE!</v>
      </c>
      <c r="BJ55" s="491" t="e">
        <f t="shared" si="12"/>
        <v>#VALUE!</v>
      </c>
      <c r="BK55" s="400">
        <f t="shared" ref="BK55:BK118" si="37">BK54+1</f>
        <v>5</v>
      </c>
      <c r="BL55" s="491" t="e">
        <f t="shared" ref="BL55:BO86" si="38">HLOOKUP(BL$53,$BA$51:$BJ$500,$BK55,FALSE)</f>
        <v>#VALUE!</v>
      </c>
      <c r="BM55" s="491" t="e">
        <f t="shared" si="38"/>
        <v>#VALUE!</v>
      </c>
      <c r="BN55" s="491" t="e">
        <f t="shared" si="38"/>
        <v>#VALUE!</v>
      </c>
      <c r="BO55" s="491" t="e">
        <f t="shared" si="38"/>
        <v>#VALUE!</v>
      </c>
      <c r="BP55" s="622" t="e">
        <f t="shared" ref="BP55:BP118" si="39">IF(B55="#",$BP$53,0)</f>
        <v>#VALUE!</v>
      </c>
      <c r="BQ55" s="274" t="e">
        <f>IF(L55="","Column",IF(OR(C55&lt;MAX(ColSpa1,Geometry!$J$107),C55&gt;MAX(MAX(Geometry!$I$107:$I$116),MAX(Geometry!$J$107:$J$116))),MIN(6,INDEX($O$45:$O$48,MATCH(L55,$O$45:$O$48,1),1)),INDEX($O$45:$O$48,MATCH(L55,$O$45:$O$48,1),1)))</f>
        <v>#VALUE!</v>
      </c>
    </row>
    <row r="56" spans="1:86">
      <c r="A56" s="339"/>
      <c r="B56" s="96" t="e">
        <f>IF(MIN(ABS(C56-INDEX(Geometry!$Q$104:$Q$113,IF(ISERROR(MATCH(C56,Geometry!$Q$104:$Q$113,1)),1,MATCH(C56,Geometry!$Q$104:$Q$113,1)),1)),ABS(C56-INDEX(Geometry!$Q$104:$Q$113,IF(ISERROR(MAX(11-MATCH(C56,Geometry!$R$104:$R$113,-1),1)),1,MAX(11-MATCH(C56,Geometry!$R$104:$R$113,-1),1)),1)))&lt;(halfeffectiveface/12),"#","")</f>
        <v>#VALUE!</v>
      </c>
      <c r="C56" s="96" t="str">
        <f>'CAP18 Out(1)'!D14</f>
        <v/>
      </c>
      <c r="D56" s="184" t="str">
        <f>'CAP18 Out(1)'!M14</f>
        <v/>
      </c>
      <c r="E56" s="179" t="e">
        <f t="shared" si="13"/>
        <v>#VALUE!</v>
      </c>
      <c r="F56" s="87" t="e">
        <f t="shared" si="14"/>
        <v>#VALUE!</v>
      </c>
      <c r="G56" s="87" t="e">
        <f t="shared" si="15"/>
        <v>#VALUE!</v>
      </c>
      <c r="H56" s="185" t="e">
        <f t="shared" si="16"/>
        <v>#VALUE!</v>
      </c>
      <c r="I56" s="184" t="e">
        <f t="shared" si="17"/>
        <v>#VALUE!</v>
      </c>
      <c r="J56" s="184">
        <f t="shared" si="18"/>
        <v>0</v>
      </c>
      <c r="K56" s="184">
        <f t="shared" si="19"/>
        <v>0</v>
      </c>
      <c r="L56" s="296" t="e">
        <f t="shared" si="20"/>
        <v>#VALUE!</v>
      </c>
      <c r="M56" s="294" t="e">
        <f>IF(L56="Column","",IF(OR(C56&lt;MAX(ColSpa1,Geometry!$J$107),C56&gt;MAX(MAX(Geometry!$I$107:$I$116),MAX(Geometry!$J$107:$J$116))),"OH - 6''",""))</f>
        <v>#VALUE!</v>
      </c>
      <c r="N56" s="1053">
        <v>21.8</v>
      </c>
      <c r="O56" s="489">
        <f t="shared" si="21"/>
        <v>0</v>
      </c>
      <c r="P56" s="489">
        <f t="shared" si="22"/>
        <v>0</v>
      </c>
      <c r="Q56" s="400" t="e">
        <f>'CAP18 Out(1)'!I14</f>
        <v>#VALUE!</v>
      </c>
      <c r="R56" s="400" t="e">
        <f>'CAP18 Out(1)'!J14</f>
        <v>#VALUE!</v>
      </c>
      <c r="S56" s="400" t="e">
        <f>IF(E56=ABS(Q56),VLOOKUP('Bars B'!$F$10,BarTable,4,FALSE)/12,1.3*VLOOKUP('Bars A'!$F$10,BarTable,4,FALSE)/12)</f>
        <v>#VALUE!</v>
      </c>
      <c r="T56" s="626" t="e">
        <f t="shared" si="23"/>
        <v>#VALUE!</v>
      </c>
      <c r="U56" s="489" t="e">
        <f>IF(T56&gt;S56,IF(E56=ABS(R56),'Bars A'!$I$13,'Bars B'!$I$13),0.0000000001)</f>
        <v>#VALUE!</v>
      </c>
      <c r="V56" s="483" t="e">
        <f t="shared" si="24"/>
        <v>#VALUE!</v>
      </c>
      <c r="W56" s="627" t="e">
        <f t="shared" si="25"/>
        <v>#VALUE!</v>
      </c>
      <c r="X56" s="628" t="e">
        <f t="shared" si="26"/>
        <v>#VALUE!</v>
      </c>
      <c r="Y56" s="489" t="e">
        <f t="shared" si="27"/>
        <v>#VALUE!</v>
      </c>
      <c r="Z56" s="629" t="e">
        <f t="shared" si="28"/>
        <v>#VALUE!</v>
      </c>
      <c r="AA56" s="626" t="e">
        <f t="shared" si="29"/>
        <v>#VALUE!</v>
      </c>
      <c r="AB56" s="481" t="e">
        <f>MATCH(V56,Reference!$S$7:$S$17,1)</f>
        <v>#VALUE!</v>
      </c>
      <c r="AC56" s="1388" t="e">
        <f>12-MATCH(V56,Reference!$AD$6:$AD$16,-1)</f>
        <v>#VALUE!</v>
      </c>
      <c r="AD56" s="482" t="e">
        <f>MATCH(X56,Reference!$T$6:$AB$6,1)</f>
        <v>#VALUE!</v>
      </c>
      <c r="AE56" s="482" t="e">
        <f>10-MATCH(X56,Reference!$AD$18:$AL$18,-1)</f>
        <v>#VALUE!</v>
      </c>
      <c r="AF56" s="482" t="e">
        <f>INDEX(Reference!$T$7:$AB$17,AB56,AD56)</f>
        <v>#VALUE!</v>
      </c>
      <c r="AG56" s="482" t="e">
        <f>INDEX(Reference!$T$7:$AB$17,AB56,AE56)</f>
        <v>#VALUE!</v>
      </c>
      <c r="AH56" s="482" t="e">
        <f>INDEX(Reference!$T$7:$AB$17,AC56,AD56)</f>
        <v>#VALUE!</v>
      </c>
      <c r="AI56" s="482" t="e">
        <f>INDEX(Reference!$T$7:$AB$17,AC56,AE56)</f>
        <v>#VALUE!</v>
      </c>
      <c r="AJ56" s="482" t="e">
        <f>INDEX(Reference!$T$23:$AB$33,AB56,AD56)</f>
        <v>#VALUE!</v>
      </c>
      <c r="AK56" s="482" t="e">
        <f>INDEX(Reference!$T$23:$AB$33,AB56,AE56)</f>
        <v>#VALUE!</v>
      </c>
      <c r="AL56" s="482" t="e">
        <f>INDEX(Reference!$T$23:$AB$33,AC56,AD56)</f>
        <v>#VALUE!</v>
      </c>
      <c r="AM56" s="482" t="e">
        <f>INDEX(Reference!$T$23:$AB$33,AC56,AE56)</f>
        <v>#VALUE!</v>
      </c>
      <c r="AN56" s="483" t="e">
        <f>INDEX(Reference!$S$7:$S$17,AB56,1)</f>
        <v>#VALUE!</v>
      </c>
      <c r="AO56" s="483" t="e">
        <f>INDEX(Reference!$S$7:$S$17,AC56,1)</f>
        <v>#VALUE!</v>
      </c>
      <c r="AP56" s="484" t="e">
        <f>INDEX(Reference!$T$6:$AB$6,1,AD56)</f>
        <v>#VALUE!</v>
      </c>
      <c r="AQ56" s="484" t="e">
        <f>INDEX(Reference!$T$6:$AB$6,1,AE56)</f>
        <v>#VALUE!</v>
      </c>
      <c r="AR56" s="629" t="e">
        <f t="shared" si="30"/>
        <v>#VALUE!</v>
      </c>
      <c r="AS56" s="629" t="e">
        <f t="shared" si="31"/>
        <v>#VALUE!</v>
      </c>
      <c r="AT56" s="629" t="e">
        <f t="shared" si="32"/>
        <v>#VALUE!</v>
      </c>
      <c r="AU56" s="629" t="e">
        <f t="shared" si="33"/>
        <v>#VALUE!</v>
      </c>
      <c r="AV56" s="629" t="e">
        <f t="shared" si="34"/>
        <v>#VALUE!</v>
      </c>
      <c r="AW56" s="630" t="e">
        <f t="shared" si="35"/>
        <v>#VALUE!</v>
      </c>
      <c r="AZ56" s="489" t="str">
        <f t="shared" si="36"/>
        <v/>
      </c>
      <c r="BA56" s="631" t="e">
        <f t="shared" si="12"/>
        <v>#VALUE!</v>
      </c>
      <c r="BB56" s="491" t="e">
        <f t="shared" si="12"/>
        <v>#VALUE!</v>
      </c>
      <c r="BC56" s="491" t="e">
        <f t="shared" si="12"/>
        <v>#VALUE!</v>
      </c>
      <c r="BD56" s="491" t="e">
        <f t="shared" si="12"/>
        <v>#VALUE!</v>
      </c>
      <c r="BE56" s="491" t="e">
        <f t="shared" si="12"/>
        <v>#VALUE!</v>
      </c>
      <c r="BF56" s="491" t="e">
        <f t="shared" si="12"/>
        <v>#VALUE!</v>
      </c>
      <c r="BG56" s="491" t="e">
        <f t="shared" si="12"/>
        <v>#VALUE!</v>
      </c>
      <c r="BH56" s="491" t="e">
        <f t="shared" si="12"/>
        <v>#VALUE!</v>
      </c>
      <c r="BI56" s="491" t="e">
        <f t="shared" si="12"/>
        <v>#VALUE!</v>
      </c>
      <c r="BJ56" s="491" t="e">
        <f t="shared" si="12"/>
        <v>#VALUE!</v>
      </c>
      <c r="BK56" s="400">
        <f t="shared" si="37"/>
        <v>6</v>
      </c>
      <c r="BL56" s="491" t="e">
        <f t="shared" si="38"/>
        <v>#VALUE!</v>
      </c>
      <c r="BM56" s="491" t="e">
        <f t="shared" si="38"/>
        <v>#VALUE!</v>
      </c>
      <c r="BN56" s="491" t="e">
        <f t="shared" si="38"/>
        <v>#VALUE!</v>
      </c>
      <c r="BO56" s="491" t="e">
        <f t="shared" si="38"/>
        <v>#VALUE!</v>
      </c>
      <c r="BP56" s="622" t="e">
        <f t="shared" si="39"/>
        <v>#VALUE!</v>
      </c>
      <c r="BQ56" s="274" t="e">
        <f>IF(L56="","Column",IF(OR(C56&lt;MAX(ColSpa1,Geometry!$J$107),C56&gt;MAX(MAX(Geometry!$I$107:$I$116),MAX(Geometry!$J$107:$J$116))),MIN(6,INDEX($O$45:$O$48,MATCH(L56,$O$45:$O$48,1),1)),INDEX($O$45:$O$48,MATCH(L56,$O$45:$O$48,1),1)))</f>
        <v>#VALUE!</v>
      </c>
    </row>
    <row r="57" spans="1:86">
      <c r="A57" s="339"/>
      <c r="B57" s="96" t="e">
        <f>IF(MIN(ABS(C57-INDEX(Geometry!$Q$104:$Q$113,IF(ISERROR(MATCH(C57,Geometry!$Q$104:$Q$113,1)),1,MATCH(C57,Geometry!$Q$104:$Q$113,1)),1)),ABS(C57-INDEX(Geometry!$Q$104:$Q$113,IF(ISERROR(MAX(11-MATCH(C57,Geometry!$R$104:$R$113,-1),1)),1,MAX(11-MATCH(C57,Geometry!$R$104:$R$113,-1),1)),1)))&lt;(halfeffectiveface/12),"#","")</f>
        <v>#VALUE!</v>
      </c>
      <c r="C57" s="96" t="str">
        <f>'CAP18 Out(1)'!D15</f>
        <v/>
      </c>
      <c r="D57" s="184" t="str">
        <f>'CAP18 Out(1)'!M15</f>
        <v/>
      </c>
      <c r="E57" s="179" t="e">
        <f t="shared" si="13"/>
        <v>#VALUE!</v>
      </c>
      <c r="F57" s="87" t="e">
        <f t="shared" si="14"/>
        <v>#VALUE!</v>
      </c>
      <c r="G57" s="87" t="e">
        <f t="shared" si="15"/>
        <v>#VALUE!</v>
      </c>
      <c r="H57" s="185" t="e">
        <f t="shared" si="16"/>
        <v>#VALUE!</v>
      </c>
      <c r="I57" s="184" t="e">
        <f t="shared" si="17"/>
        <v>#VALUE!</v>
      </c>
      <c r="J57" s="184">
        <f t="shared" si="18"/>
        <v>0</v>
      </c>
      <c r="K57" s="184">
        <f t="shared" si="19"/>
        <v>0</v>
      </c>
      <c r="L57" s="296" t="e">
        <f t="shared" si="20"/>
        <v>#VALUE!</v>
      </c>
      <c r="M57" s="294" t="e">
        <f>IF(L57="Column","",IF(OR(C57&lt;MAX(ColSpa1,Geometry!$J$107),C57&gt;MAX(MAX(Geometry!$I$107:$I$116),MAX(Geometry!$J$107:$J$116))),"OH - 6''",""))</f>
        <v>#VALUE!</v>
      </c>
      <c r="N57" s="1053">
        <v>36.4</v>
      </c>
      <c r="O57" s="489">
        <f t="shared" si="21"/>
        <v>0</v>
      </c>
      <c r="P57" s="489">
        <f t="shared" si="22"/>
        <v>0</v>
      </c>
      <c r="Q57" s="400" t="e">
        <f>'CAP18 Out(1)'!I15</f>
        <v>#VALUE!</v>
      </c>
      <c r="R57" s="400" t="e">
        <f>'CAP18 Out(1)'!J15</f>
        <v>#VALUE!</v>
      </c>
      <c r="S57" s="400" t="e">
        <f>IF(E57=ABS(Q57),VLOOKUP('Bars B'!$F$10,BarTable,4,FALSE)/12,1.3*VLOOKUP('Bars A'!$F$10,BarTable,4,FALSE)/12)</f>
        <v>#VALUE!</v>
      </c>
      <c r="T57" s="626" t="e">
        <f t="shared" si="23"/>
        <v>#VALUE!</v>
      </c>
      <c r="U57" s="489" t="e">
        <f>IF(T57&gt;S57,IF(E57=ABS(R57),'Bars A'!$I$13,'Bars B'!$I$13),0.0000000001)</f>
        <v>#VALUE!</v>
      </c>
      <c r="V57" s="483" t="e">
        <f t="shared" si="24"/>
        <v>#VALUE!</v>
      </c>
      <c r="W57" s="627" t="e">
        <f t="shared" si="25"/>
        <v>#VALUE!</v>
      </c>
      <c r="X57" s="628" t="e">
        <f t="shared" si="26"/>
        <v>#VALUE!</v>
      </c>
      <c r="Y57" s="489" t="e">
        <f t="shared" si="27"/>
        <v>#VALUE!</v>
      </c>
      <c r="Z57" s="629" t="e">
        <f t="shared" si="28"/>
        <v>#VALUE!</v>
      </c>
      <c r="AA57" s="626" t="e">
        <f t="shared" si="29"/>
        <v>#VALUE!</v>
      </c>
      <c r="AB57" s="481" t="e">
        <f>MATCH(V57,Reference!$S$7:$S$17,1)</f>
        <v>#VALUE!</v>
      </c>
      <c r="AC57" s="1388" t="e">
        <f>12-MATCH(V57,Reference!$AD$6:$AD$16,-1)</f>
        <v>#VALUE!</v>
      </c>
      <c r="AD57" s="482" t="e">
        <f>MATCH(X57,Reference!$T$6:$AB$6,1)</f>
        <v>#VALUE!</v>
      </c>
      <c r="AE57" s="482" t="e">
        <f>10-MATCH(X57,Reference!$AD$18:$AL$18,-1)</f>
        <v>#VALUE!</v>
      </c>
      <c r="AF57" s="482" t="e">
        <f>INDEX(Reference!$T$7:$AB$17,AB57,AD57)</f>
        <v>#VALUE!</v>
      </c>
      <c r="AG57" s="482" t="e">
        <f>INDEX(Reference!$T$7:$AB$17,AB57,AE57)</f>
        <v>#VALUE!</v>
      </c>
      <c r="AH57" s="482" t="e">
        <f>INDEX(Reference!$T$7:$AB$17,AC57,AD57)</f>
        <v>#VALUE!</v>
      </c>
      <c r="AI57" s="482" t="e">
        <f>INDEX(Reference!$T$7:$AB$17,AC57,AE57)</f>
        <v>#VALUE!</v>
      </c>
      <c r="AJ57" s="482" t="e">
        <f>INDEX(Reference!$T$23:$AB$33,AB57,AD57)</f>
        <v>#VALUE!</v>
      </c>
      <c r="AK57" s="482" t="e">
        <f>INDEX(Reference!$T$23:$AB$33,AB57,AE57)</f>
        <v>#VALUE!</v>
      </c>
      <c r="AL57" s="482" t="e">
        <f>INDEX(Reference!$T$23:$AB$33,AC57,AD57)</f>
        <v>#VALUE!</v>
      </c>
      <c r="AM57" s="482" t="e">
        <f>INDEX(Reference!$T$23:$AB$33,AC57,AE57)</f>
        <v>#VALUE!</v>
      </c>
      <c r="AN57" s="483" t="e">
        <f>INDEX(Reference!$S$7:$S$17,AB57,1)</f>
        <v>#VALUE!</v>
      </c>
      <c r="AO57" s="483" t="e">
        <f>INDEX(Reference!$S$7:$S$17,AC57,1)</f>
        <v>#VALUE!</v>
      </c>
      <c r="AP57" s="484" t="e">
        <f>INDEX(Reference!$T$6:$AB$6,1,AD57)</f>
        <v>#VALUE!</v>
      </c>
      <c r="AQ57" s="484" t="e">
        <f>INDEX(Reference!$T$6:$AB$6,1,AE57)</f>
        <v>#VALUE!</v>
      </c>
      <c r="AR57" s="629" t="e">
        <f t="shared" si="30"/>
        <v>#VALUE!</v>
      </c>
      <c r="AS57" s="629" t="e">
        <f t="shared" si="31"/>
        <v>#VALUE!</v>
      </c>
      <c r="AT57" s="629" t="e">
        <f t="shared" si="32"/>
        <v>#VALUE!</v>
      </c>
      <c r="AU57" s="629" t="e">
        <f t="shared" si="33"/>
        <v>#VALUE!</v>
      </c>
      <c r="AV57" s="629" t="e">
        <f t="shared" si="34"/>
        <v>#VALUE!</v>
      </c>
      <c r="AW57" s="630" t="e">
        <f t="shared" si="35"/>
        <v>#VALUE!</v>
      </c>
      <c r="AZ57" s="489" t="str">
        <f t="shared" si="36"/>
        <v/>
      </c>
      <c r="BA57" s="631" t="e">
        <f t="shared" si="12"/>
        <v>#VALUE!</v>
      </c>
      <c r="BB57" s="491" t="e">
        <f t="shared" si="12"/>
        <v>#VALUE!</v>
      </c>
      <c r="BC57" s="491" t="e">
        <f t="shared" si="12"/>
        <v>#VALUE!</v>
      </c>
      <c r="BD57" s="491" t="e">
        <f t="shared" si="12"/>
        <v>#VALUE!</v>
      </c>
      <c r="BE57" s="491" t="e">
        <f t="shared" si="12"/>
        <v>#VALUE!</v>
      </c>
      <c r="BF57" s="491" t="e">
        <f t="shared" si="12"/>
        <v>#VALUE!</v>
      </c>
      <c r="BG57" s="491" t="e">
        <f t="shared" si="12"/>
        <v>#VALUE!</v>
      </c>
      <c r="BH57" s="491" t="e">
        <f t="shared" si="12"/>
        <v>#VALUE!</v>
      </c>
      <c r="BI57" s="491" t="e">
        <f t="shared" si="12"/>
        <v>#VALUE!</v>
      </c>
      <c r="BJ57" s="491" t="e">
        <f t="shared" si="12"/>
        <v>#VALUE!</v>
      </c>
      <c r="BK57" s="400">
        <f t="shared" si="37"/>
        <v>7</v>
      </c>
      <c r="BL57" s="491" t="e">
        <f t="shared" si="38"/>
        <v>#VALUE!</v>
      </c>
      <c r="BM57" s="491" t="e">
        <f t="shared" si="38"/>
        <v>#VALUE!</v>
      </c>
      <c r="BN57" s="491" t="e">
        <f t="shared" si="38"/>
        <v>#VALUE!</v>
      </c>
      <c r="BO57" s="491" t="e">
        <f t="shared" si="38"/>
        <v>#VALUE!</v>
      </c>
      <c r="BP57" s="622" t="e">
        <f t="shared" si="39"/>
        <v>#VALUE!</v>
      </c>
      <c r="BQ57" s="274" t="e">
        <f>IF(L57="","Column",IF(OR(C57&lt;MAX(ColSpa1,Geometry!$J$107),C57&gt;MAX(MAX(Geometry!$I$107:$I$116),MAX(Geometry!$J$107:$J$116))),MIN(6,INDEX($O$45:$O$48,MATCH(L57,$O$45:$O$48,1),1)),INDEX($O$45:$O$48,MATCH(L57,$O$45:$O$48,1),1)))</f>
        <v>#VALUE!</v>
      </c>
    </row>
    <row r="58" spans="1:86">
      <c r="A58" s="339"/>
      <c r="B58" s="96" t="e">
        <f>IF(MIN(ABS(C58-INDEX(Geometry!$Q$104:$Q$113,IF(ISERROR(MATCH(C58,Geometry!$Q$104:$Q$113,1)),1,MATCH(C58,Geometry!$Q$104:$Q$113,1)),1)),ABS(C58-INDEX(Geometry!$Q$104:$Q$113,IF(ISERROR(MAX(11-MATCH(C58,Geometry!$R$104:$R$113,-1),1)),1,MAX(11-MATCH(C58,Geometry!$R$104:$R$113,-1),1)),1)))&lt;(halfeffectiveface/12),"#","")</f>
        <v>#VALUE!</v>
      </c>
      <c r="C58" s="96" t="str">
        <f>'CAP18 Out(1)'!D16</f>
        <v/>
      </c>
      <c r="D58" s="184" t="str">
        <f>'CAP18 Out(1)'!M16</f>
        <v/>
      </c>
      <c r="E58" s="179" t="e">
        <f t="shared" si="13"/>
        <v>#VALUE!</v>
      </c>
      <c r="F58" s="87" t="e">
        <f t="shared" si="14"/>
        <v>#VALUE!</v>
      </c>
      <c r="G58" s="87" t="e">
        <f t="shared" si="15"/>
        <v>#VALUE!</v>
      </c>
      <c r="H58" s="185" t="e">
        <f t="shared" si="16"/>
        <v>#VALUE!</v>
      </c>
      <c r="I58" s="184" t="e">
        <f t="shared" si="17"/>
        <v>#VALUE!</v>
      </c>
      <c r="J58" s="184">
        <f t="shared" si="18"/>
        <v>0</v>
      </c>
      <c r="K58" s="184">
        <f t="shared" si="19"/>
        <v>0</v>
      </c>
      <c r="L58" s="296" t="e">
        <f t="shared" si="20"/>
        <v>#VALUE!</v>
      </c>
      <c r="M58" s="294" t="e">
        <f>IF(L58="Column","",IF(OR(C58&lt;MAX(ColSpa1,Geometry!$J$107),C58&gt;MAX(MAX(Geometry!$I$107:$I$116),MAX(Geometry!$J$107:$J$116))),"OH - 6''",""))</f>
        <v>#VALUE!</v>
      </c>
      <c r="N58" s="1053">
        <v>36.4</v>
      </c>
      <c r="O58" s="489">
        <f t="shared" si="21"/>
        <v>0</v>
      </c>
      <c r="P58" s="489">
        <f t="shared" si="22"/>
        <v>0</v>
      </c>
      <c r="Q58" s="400" t="e">
        <f>'CAP18 Out(1)'!I16</f>
        <v>#VALUE!</v>
      </c>
      <c r="R58" s="400" t="e">
        <f>'CAP18 Out(1)'!J16</f>
        <v>#VALUE!</v>
      </c>
      <c r="S58" s="400" t="e">
        <f>IF(E58=ABS(Q58),VLOOKUP('Bars B'!$F$10,BarTable,4,FALSE)/12,1.3*VLOOKUP('Bars A'!$F$10,BarTable,4,FALSE)/12)</f>
        <v>#VALUE!</v>
      </c>
      <c r="T58" s="626" t="e">
        <f t="shared" si="23"/>
        <v>#VALUE!</v>
      </c>
      <c r="U58" s="489" t="e">
        <f>IF(T58&gt;S58,IF(E58=ABS(R58),'Bars A'!$I$13,'Bars B'!$I$13),0.0000000001)</f>
        <v>#VALUE!</v>
      </c>
      <c r="V58" s="483" t="e">
        <f t="shared" si="24"/>
        <v>#VALUE!</v>
      </c>
      <c r="W58" s="627" t="e">
        <f t="shared" si="25"/>
        <v>#VALUE!</v>
      </c>
      <c r="X58" s="628" t="e">
        <f t="shared" si="26"/>
        <v>#VALUE!</v>
      </c>
      <c r="Y58" s="489" t="e">
        <f t="shared" si="27"/>
        <v>#VALUE!</v>
      </c>
      <c r="Z58" s="629" t="e">
        <f t="shared" si="28"/>
        <v>#VALUE!</v>
      </c>
      <c r="AA58" s="626" t="e">
        <f t="shared" si="29"/>
        <v>#VALUE!</v>
      </c>
      <c r="AB58" s="481" t="e">
        <f>MATCH(V58,Reference!$S$7:$S$17,1)</f>
        <v>#VALUE!</v>
      </c>
      <c r="AC58" s="1388" t="e">
        <f>12-MATCH(V58,Reference!$AD$6:$AD$16,-1)</f>
        <v>#VALUE!</v>
      </c>
      <c r="AD58" s="482" t="e">
        <f>MATCH(X58,Reference!$T$6:$AB$6,1)</f>
        <v>#VALUE!</v>
      </c>
      <c r="AE58" s="482" t="e">
        <f>10-MATCH(X58,Reference!$AD$18:$AL$18,-1)</f>
        <v>#VALUE!</v>
      </c>
      <c r="AF58" s="482" t="e">
        <f>INDEX(Reference!$T$7:$AB$17,AB58,AD58)</f>
        <v>#VALUE!</v>
      </c>
      <c r="AG58" s="482" t="e">
        <f>INDEX(Reference!$T$7:$AB$17,AB58,AE58)</f>
        <v>#VALUE!</v>
      </c>
      <c r="AH58" s="482" t="e">
        <f>INDEX(Reference!$T$7:$AB$17,AC58,AD58)</f>
        <v>#VALUE!</v>
      </c>
      <c r="AI58" s="482" t="e">
        <f>INDEX(Reference!$T$7:$AB$17,AC58,AE58)</f>
        <v>#VALUE!</v>
      </c>
      <c r="AJ58" s="482" t="e">
        <f>INDEX(Reference!$T$23:$AB$33,AB58,AD58)</f>
        <v>#VALUE!</v>
      </c>
      <c r="AK58" s="482" t="e">
        <f>INDEX(Reference!$T$23:$AB$33,AB58,AE58)</f>
        <v>#VALUE!</v>
      </c>
      <c r="AL58" s="482" t="e">
        <f>INDEX(Reference!$T$23:$AB$33,AC58,AD58)</f>
        <v>#VALUE!</v>
      </c>
      <c r="AM58" s="482" t="e">
        <f>INDEX(Reference!$T$23:$AB$33,AC58,AE58)</f>
        <v>#VALUE!</v>
      </c>
      <c r="AN58" s="483" t="e">
        <f>INDEX(Reference!$S$7:$S$17,AB58,1)</f>
        <v>#VALUE!</v>
      </c>
      <c r="AO58" s="483" t="e">
        <f>INDEX(Reference!$S$7:$S$17,AC58,1)</f>
        <v>#VALUE!</v>
      </c>
      <c r="AP58" s="484" t="e">
        <f>INDEX(Reference!$T$6:$AB$6,1,AD58)</f>
        <v>#VALUE!</v>
      </c>
      <c r="AQ58" s="484" t="e">
        <f>INDEX(Reference!$T$6:$AB$6,1,AE58)</f>
        <v>#VALUE!</v>
      </c>
      <c r="AR58" s="629" t="e">
        <f t="shared" si="30"/>
        <v>#VALUE!</v>
      </c>
      <c r="AS58" s="629" t="e">
        <f t="shared" si="31"/>
        <v>#VALUE!</v>
      </c>
      <c r="AT58" s="629" t="e">
        <f t="shared" si="32"/>
        <v>#VALUE!</v>
      </c>
      <c r="AU58" s="629" t="e">
        <f t="shared" si="33"/>
        <v>#VALUE!</v>
      </c>
      <c r="AV58" s="629" t="e">
        <f t="shared" si="34"/>
        <v>#VALUE!</v>
      </c>
      <c r="AW58" s="630" t="e">
        <f t="shared" si="35"/>
        <v>#VALUE!</v>
      </c>
      <c r="AZ58" s="489" t="str">
        <f t="shared" si="36"/>
        <v/>
      </c>
      <c r="BA58" s="631" t="e">
        <f t="shared" si="12"/>
        <v>#VALUE!</v>
      </c>
      <c r="BB58" s="491" t="e">
        <f t="shared" si="12"/>
        <v>#VALUE!</v>
      </c>
      <c r="BC58" s="491" t="e">
        <f t="shared" si="12"/>
        <v>#VALUE!</v>
      </c>
      <c r="BD58" s="491" t="e">
        <f t="shared" si="12"/>
        <v>#VALUE!</v>
      </c>
      <c r="BE58" s="491" t="e">
        <f t="shared" si="12"/>
        <v>#VALUE!</v>
      </c>
      <c r="BF58" s="491" t="e">
        <f t="shared" si="12"/>
        <v>#VALUE!</v>
      </c>
      <c r="BG58" s="491" t="e">
        <f t="shared" si="12"/>
        <v>#VALUE!</v>
      </c>
      <c r="BH58" s="491" t="e">
        <f t="shared" si="12"/>
        <v>#VALUE!</v>
      </c>
      <c r="BI58" s="491" t="e">
        <f t="shared" si="12"/>
        <v>#VALUE!</v>
      </c>
      <c r="BJ58" s="491" t="e">
        <f t="shared" si="12"/>
        <v>#VALUE!</v>
      </c>
      <c r="BK58" s="400">
        <f t="shared" si="37"/>
        <v>8</v>
      </c>
      <c r="BL58" s="491" t="e">
        <f t="shared" si="38"/>
        <v>#VALUE!</v>
      </c>
      <c r="BM58" s="491" t="e">
        <f t="shared" si="38"/>
        <v>#VALUE!</v>
      </c>
      <c r="BN58" s="491" t="e">
        <f t="shared" si="38"/>
        <v>#VALUE!</v>
      </c>
      <c r="BO58" s="491" t="e">
        <f t="shared" si="38"/>
        <v>#VALUE!</v>
      </c>
      <c r="BP58" s="622" t="e">
        <f t="shared" si="39"/>
        <v>#VALUE!</v>
      </c>
      <c r="BQ58" s="274" t="e">
        <f>IF(L58="","Column",IF(OR(C58&lt;MAX(ColSpa1,Geometry!$J$107),C58&gt;MAX(MAX(Geometry!$I$107:$I$116),MAX(Geometry!$J$107:$J$116))),MIN(6,INDEX($O$45:$O$48,MATCH(L58,$O$45:$O$48,1),1)),INDEX($O$45:$O$48,MATCH(L58,$O$45:$O$48,1),1)))</f>
        <v>#VALUE!</v>
      </c>
    </row>
    <row r="59" spans="1:86">
      <c r="A59" s="339"/>
      <c r="B59" s="96" t="e">
        <f>IF(MIN(ABS(C59-INDEX(Geometry!$Q$104:$Q$113,IF(ISERROR(MATCH(C59,Geometry!$Q$104:$Q$113,1)),1,MATCH(C59,Geometry!$Q$104:$Q$113,1)),1)),ABS(C59-INDEX(Geometry!$Q$104:$Q$113,IF(ISERROR(MAX(11-MATCH(C59,Geometry!$R$104:$R$113,-1),1)),1,MAX(11-MATCH(C59,Geometry!$R$104:$R$113,-1),1)),1)))&lt;(halfeffectiveface/12),"#","")</f>
        <v>#VALUE!</v>
      </c>
      <c r="C59" s="96" t="str">
        <f>'CAP18 Out(1)'!D17</f>
        <v/>
      </c>
      <c r="D59" s="184" t="str">
        <f>'CAP18 Out(1)'!M17</f>
        <v/>
      </c>
      <c r="E59" s="179" t="e">
        <f t="shared" si="13"/>
        <v>#VALUE!</v>
      </c>
      <c r="F59" s="87" t="e">
        <f t="shared" si="14"/>
        <v>#VALUE!</v>
      </c>
      <c r="G59" s="87" t="e">
        <f t="shared" si="15"/>
        <v>#VALUE!</v>
      </c>
      <c r="H59" s="185" t="e">
        <f t="shared" si="16"/>
        <v>#VALUE!</v>
      </c>
      <c r="I59" s="184" t="e">
        <f t="shared" si="17"/>
        <v>#VALUE!</v>
      </c>
      <c r="J59" s="184">
        <f t="shared" si="18"/>
        <v>0</v>
      </c>
      <c r="K59" s="184">
        <f t="shared" si="19"/>
        <v>0</v>
      </c>
      <c r="L59" s="296" t="e">
        <f t="shared" si="20"/>
        <v>#VALUE!</v>
      </c>
      <c r="M59" s="294" t="e">
        <f>IF(L59="Column","",IF(OR(C59&lt;MAX(ColSpa1,Geometry!$J$107),C59&gt;MAX(MAX(Geometry!$I$107:$I$116),MAX(Geometry!$J$107:$J$116))),"OH - 6''",""))</f>
        <v>#VALUE!</v>
      </c>
      <c r="N59" s="1053">
        <v>36.4</v>
      </c>
      <c r="O59" s="489">
        <f t="shared" si="21"/>
        <v>0</v>
      </c>
      <c r="P59" s="489">
        <f t="shared" si="22"/>
        <v>0</v>
      </c>
      <c r="Q59" s="400" t="e">
        <f>'CAP18 Out(1)'!I17</f>
        <v>#VALUE!</v>
      </c>
      <c r="R59" s="400" t="e">
        <f>'CAP18 Out(1)'!J17</f>
        <v>#VALUE!</v>
      </c>
      <c r="S59" s="400" t="e">
        <f>IF(E59=ABS(Q59),VLOOKUP('Bars B'!$F$10,BarTable,4,FALSE)/12,1.3*VLOOKUP('Bars A'!$F$10,BarTable,4,FALSE)/12)</f>
        <v>#VALUE!</v>
      </c>
      <c r="T59" s="626" t="e">
        <f t="shared" si="23"/>
        <v>#VALUE!</v>
      </c>
      <c r="U59" s="489" t="e">
        <f>IF(T59&gt;S59,IF(E59=ABS(R59),'Bars A'!$I$13,'Bars B'!$I$13),0.0000000001)</f>
        <v>#VALUE!</v>
      </c>
      <c r="V59" s="483" t="e">
        <f t="shared" si="24"/>
        <v>#VALUE!</v>
      </c>
      <c r="W59" s="627" t="e">
        <f t="shared" si="25"/>
        <v>#VALUE!</v>
      </c>
      <c r="X59" s="628" t="e">
        <f t="shared" si="26"/>
        <v>#VALUE!</v>
      </c>
      <c r="Y59" s="489" t="e">
        <f t="shared" si="27"/>
        <v>#VALUE!</v>
      </c>
      <c r="Z59" s="629" t="e">
        <f t="shared" si="28"/>
        <v>#VALUE!</v>
      </c>
      <c r="AA59" s="626" t="e">
        <f t="shared" si="29"/>
        <v>#VALUE!</v>
      </c>
      <c r="AB59" s="481" t="e">
        <f>MATCH(V59,Reference!$S$7:$S$17,1)</f>
        <v>#VALUE!</v>
      </c>
      <c r="AC59" s="1388" t="e">
        <f>12-MATCH(V59,Reference!$AD$6:$AD$16,-1)</f>
        <v>#VALUE!</v>
      </c>
      <c r="AD59" s="482" t="e">
        <f>MATCH(X59,Reference!$T$6:$AB$6,1)</f>
        <v>#VALUE!</v>
      </c>
      <c r="AE59" s="482" t="e">
        <f>10-MATCH(X59,Reference!$AD$18:$AL$18,-1)</f>
        <v>#VALUE!</v>
      </c>
      <c r="AF59" s="482" t="e">
        <f>INDEX(Reference!$T$7:$AB$17,AB59,AD59)</f>
        <v>#VALUE!</v>
      </c>
      <c r="AG59" s="482" t="e">
        <f>INDEX(Reference!$T$7:$AB$17,AB59,AE59)</f>
        <v>#VALUE!</v>
      </c>
      <c r="AH59" s="482" t="e">
        <f>INDEX(Reference!$T$7:$AB$17,AC59,AD59)</f>
        <v>#VALUE!</v>
      </c>
      <c r="AI59" s="482" t="e">
        <f>INDEX(Reference!$T$7:$AB$17,AC59,AE59)</f>
        <v>#VALUE!</v>
      </c>
      <c r="AJ59" s="482" t="e">
        <f>INDEX(Reference!$T$23:$AB$33,AB59,AD59)</f>
        <v>#VALUE!</v>
      </c>
      <c r="AK59" s="482" t="e">
        <f>INDEX(Reference!$T$23:$AB$33,AB59,AE59)</f>
        <v>#VALUE!</v>
      </c>
      <c r="AL59" s="482" t="e">
        <f>INDEX(Reference!$T$23:$AB$33,AC59,AD59)</f>
        <v>#VALUE!</v>
      </c>
      <c r="AM59" s="482" t="e">
        <f>INDEX(Reference!$T$23:$AB$33,AC59,AE59)</f>
        <v>#VALUE!</v>
      </c>
      <c r="AN59" s="483" t="e">
        <f>INDEX(Reference!$S$7:$S$17,AB59,1)</f>
        <v>#VALUE!</v>
      </c>
      <c r="AO59" s="483" t="e">
        <f>INDEX(Reference!$S$7:$S$17,AC59,1)</f>
        <v>#VALUE!</v>
      </c>
      <c r="AP59" s="484" t="e">
        <f>INDEX(Reference!$T$6:$AB$6,1,AD59)</f>
        <v>#VALUE!</v>
      </c>
      <c r="AQ59" s="484" t="e">
        <f>INDEX(Reference!$T$6:$AB$6,1,AE59)</f>
        <v>#VALUE!</v>
      </c>
      <c r="AR59" s="629" t="e">
        <f t="shared" si="30"/>
        <v>#VALUE!</v>
      </c>
      <c r="AS59" s="629" t="e">
        <f t="shared" si="31"/>
        <v>#VALUE!</v>
      </c>
      <c r="AT59" s="629" t="e">
        <f t="shared" si="32"/>
        <v>#VALUE!</v>
      </c>
      <c r="AU59" s="629" t="e">
        <f t="shared" si="33"/>
        <v>#VALUE!</v>
      </c>
      <c r="AV59" s="629" t="e">
        <f t="shared" si="34"/>
        <v>#VALUE!</v>
      </c>
      <c r="AW59" s="630" t="e">
        <f t="shared" si="35"/>
        <v>#VALUE!</v>
      </c>
      <c r="AZ59" s="489" t="str">
        <f t="shared" si="36"/>
        <v/>
      </c>
      <c r="BA59" s="631" t="e">
        <f t="shared" si="12"/>
        <v>#VALUE!</v>
      </c>
      <c r="BB59" s="491" t="e">
        <f t="shared" si="12"/>
        <v>#VALUE!</v>
      </c>
      <c r="BC59" s="491" t="e">
        <f t="shared" si="12"/>
        <v>#VALUE!</v>
      </c>
      <c r="BD59" s="491" t="e">
        <f t="shared" si="12"/>
        <v>#VALUE!</v>
      </c>
      <c r="BE59" s="491" t="e">
        <f t="shared" si="12"/>
        <v>#VALUE!</v>
      </c>
      <c r="BF59" s="491" t="e">
        <f t="shared" si="12"/>
        <v>#VALUE!</v>
      </c>
      <c r="BG59" s="491" t="e">
        <f t="shared" si="12"/>
        <v>#VALUE!</v>
      </c>
      <c r="BH59" s="491" t="e">
        <f t="shared" si="12"/>
        <v>#VALUE!</v>
      </c>
      <c r="BI59" s="491" t="e">
        <f t="shared" si="12"/>
        <v>#VALUE!</v>
      </c>
      <c r="BJ59" s="491" t="e">
        <f t="shared" si="12"/>
        <v>#VALUE!</v>
      </c>
      <c r="BK59" s="400">
        <f t="shared" si="37"/>
        <v>9</v>
      </c>
      <c r="BL59" s="491" t="e">
        <f t="shared" si="38"/>
        <v>#VALUE!</v>
      </c>
      <c r="BM59" s="491" t="e">
        <f t="shared" si="38"/>
        <v>#VALUE!</v>
      </c>
      <c r="BN59" s="491" t="e">
        <f t="shared" si="38"/>
        <v>#VALUE!</v>
      </c>
      <c r="BO59" s="491" t="e">
        <f t="shared" si="38"/>
        <v>#VALUE!</v>
      </c>
      <c r="BP59" s="622" t="e">
        <f t="shared" si="39"/>
        <v>#VALUE!</v>
      </c>
      <c r="BQ59" s="274" t="e">
        <f>IF(L59="","Column",IF(OR(C59&lt;MAX(ColSpa1,Geometry!$J$107),C59&gt;MAX(MAX(Geometry!$I$107:$I$116),MAX(Geometry!$J$107:$J$116))),MIN(6,INDEX($O$45:$O$48,MATCH(L59,$O$45:$O$48,1),1)),INDEX($O$45:$O$48,MATCH(L59,$O$45:$O$48,1),1)))</f>
        <v>#VALUE!</v>
      </c>
    </row>
    <row r="60" spans="1:86">
      <c r="A60" s="339"/>
      <c r="B60" s="96" t="e">
        <f>IF(MIN(ABS(C60-INDEX(Geometry!$Q$104:$Q$113,IF(ISERROR(MATCH(C60,Geometry!$Q$104:$Q$113,1)),1,MATCH(C60,Geometry!$Q$104:$Q$113,1)),1)),ABS(C60-INDEX(Geometry!$Q$104:$Q$113,IF(ISERROR(MAX(11-MATCH(C60,Geometry!$R$104:$R$113,-1),1)),1,MAX(11-MATCH(C60,Geometry!$R$104:$R$113,-1),1)),1)))&lt;(halfeffectiveface/12),"#","")</f>
        <v>#VALUE!</v>
      </c>
      <c r="C60" s="96" t="str">
        <f>'CAP18 Out(1)'!D18</f>
        <v/>
      </c>
      <c r="D60" s="184" t="str">
        <f>'CAP18 Out(1)'!M18</f>
        <v/>
      </c>
      <c r="E60" s="179" t="e">
        <f t="shared" si="13"/>
        <v>#VALUE!</v>
      </c>
      <c r="F60" s="87" t="e">
        <f t="shared" si="14"/>
        <v>#VALUE!</v>
      </c>
      <c r="G60" s="87" t="e">
        <f t="shared" si="15"/>
        <v>#VALUE!</v>
      </c>
      <c r="H60" s="185" t="e">
        <f t="shared" si="16"/>
        <v>#VALUE!</v>
      </c>
      <c r="I60" s="184" t="e">
        <f t="shared" si="17"/>
        <v>#VALUE!</v>
      </c>
      <c r="J60" s="184">
        <f t="shared" si="18"/>
        <v>0</v>
      </c>
      <c r="K60" s="184">
        <f t="shared" si="19"/>
        <v>0</v>
      </c>
      <c r="L60" s="296" t="e">
        <f t="shared" si="20"/>
        <v>#VALUE!</v>
      </c>
      <c r="M60" s="294" t="e">
        <f>IF(L60="Column","",IF(OR(C60&lt;MAX(ColSpa1,Geometry!$J$107),C60&gt;MAX(MAX(Geometry!$I$107:$I$116),MAX(Geometry!$J$107:$J$116))),"OH - 6''",""))</f>
        <v>#VALUE!</v>
      </c>
      <c r="N60" s="1053">
        <v>36.4</v>
      </c>
      <c r="O60" s="489">
        <f t="shared" si="21"/>
        <v>0</v>
      </c>
      <c r="P60" s="489">
        <f t="shared" si="22"/>
        <v>0</v>
      </c>
      <c r="Q60" s="400" t="e">
        <f>'CAP18 Out(1)'!I18</f>
        <v>#VALUE!</v>
      </c>
      <c r="R60" s="400" t="e">
        <f>'CAP18 Out(1)'!J18</f>
        <v>#VALUE!</v>
      </c>
      <c r="S60" s="400" t="e">
        <f>IF(E60=ABS(Q60),VLOOKUP('Bars B'!$F$10,BarTable,4,FALSE)/12,1.3*VLOOKUP('Bars A'!$F$10,BarTable,4,FALSE)/12)</f>
        <v>#VALUE!</v>
      </c>
      <c r="T60" s="626" t="e">
        <f t="shared" si="23"/>
        <v>#VALUE!</v>
      </c>
      <c r="U60" s="489" t="e">
        <f>IF(T60&gt;S60,IF(E60=ABS(R60),'Bars A'!$I$13,'Bars B'!$I$13),0.0000000001)</f>
        <v>#VALUE!</v>
      </c>
      <c r="V60" s="483" t="e">
        <f t="shared" si="24"/>
        <v>#VALUE!</v>
      </c>
      <c r="W60" s="627" t="e">
        <f t="shared" si="25"/>
        <v>#VALUE!</v>
      </c>
      <c r="X60" s="628" t="e">
        <f t="shared" si="26"/>
        <v>#VALUE!</v>
      </c>
      <c r="Y60" s="489" t="e">
        <f t="shared" si="27"/>
        <v>#VALUE!</v>
      </c>
      <c r="Z60" s="629" t="e">
        <f t="shared" si="28"/>
        <v>#VALUE!</v>
      </c>
      <c r="AA60" s="626" t="e">
        <f t="shared" si="29"/>
        <v>#VALUE!</v>
      </c>
      <c r="AB60" s="481" t="e">
        <f>MATCH(V60,Reference!$S$7:$S$17,1)</f>
        <v>#VALUE!</v>
      </c>
      <c r="AC60" s="1388" t="e">
        <f>12-MATCH(V60,Reference!$AD$6:$AD$16,-1)</f>
        <v>#VALUE!</v>
      </c>
      <c r="AD60" s="482" t="e">
        <f>MATCH(X60,Reference!$T$6:$AB$6,1)</f>
        <v>#VALUE!</v>
      </c>
      <c r="AE60" s="482" t="e">
        <f>10-MATCH(X60,Reference!$AD$18:$AL$18,-1)</f>
        <v>#VALUE!</v>
      </c>
      <c r="AF60" s="482" t="e">
        <f>INDEX(Reference!$T$7:$AB$17,AB60,AD60)</f>
        <v>#VALUE!</v>
      </c>
      <c r="AG60" s="482" t="e">
        <f>INDEX(Reference!$T$7:$AB$17,AB60,AE60)</f>
        <v>#VALUE!</v>
      </c>
      <c r="AH60" s="482" t="e">
        <f>INDEX(Reference!$T$7:$AB$17,AC60,AD60)</f>
        <v>#VALUE!</v>
      </c>
      <c r="AI60" s="482" t="e">
        <f>INDEX(Reference!$T$7:$AB$17,AC60,AE60)</f>
        <v>#VALUE!</v>
      </c>
      <c r="AJ60" s="482" t="e">
        <f>INDEX(Reference!$T$23:$AB$33,AB60,AD60)</f>
        <v>#VALUE!</v>
      </c>
      <c r="AK60" s="482" t="e">
        <f>INDEX(Reference!$T$23:$AB$33,AB60,AE60)</f>
        <v>#VALUE!</v>
      </c>
      <c r="AL60" s="482" t="e">
        <f>INDEX(Reference!$T$23:$AB$33,AC60,AD60)</f>
        <v>#VALUE!</v>
      </c>
      <c r="AM60" s="482" t="e">
        <f>INDEX(Reference!$T$23:$AB$33,AC60,AE60)</f>
        <v>#VALUE!</v>
      </c>
      <c r="AN60" s="483" t="e">
        <f>INDEX(Reference!$S$7:$S$17,AB60,1)</f>
        <v>#VALUE!</v>
      </c>
      <c r="AO60" s="483" t="e">
        <f>INDEX(Reference!$S$7:$S$17,AC60,1)</f>
        <v>#VALUE!</v>
      </c>
      <c r="AP60" s="484" t="e">
        <f>INDEX(Reference!$T$6:$AB$6,1,AD60)</f>
        <v>#VALUE!</v>
      </c>
      <c r="AQ60" s="484" t="e">
        <f>INDEX(Reference!$T$6:$AB$6,1,AE60)</f>
        <v>#VALUE!</v>
      </c>
      <c r="AR60" s="629" t="e">
        <f t="shared" si="30"/>
        <v>#VALUE!</v>
      </c>
      <c r="AS60" s="629" t="e">
        <f t="shared" si="31"/>
        <v>#VALUE!</v>
      </c>
      <c r="AT60" s="629" t="e">
        <f t="shared" si="32"/>
        <v>#VALUE!</v>
      </c>
      <c r="AU60" s="629" t="e">
        <f t="shared" si="33"/>
        <v>#VALUE!</v>
      </c>
      <c r="AV60" s="629" t="e">
        <f t="shared" si="34"/>
        <v>#VALUE!</v>
      </c>
      <c r="AW60" s="630" t="e">
        <f t="shared" si="35"/>
        <v>#VALUE!</v>
      </c>
      <c r="AZ60" s="489" t="str">
        <f t="shared" si="36"/>
        <v/>
      </c>
      <c r="BA60" s="631" t="e">
        <f t="shared" si="12"/>
        <v>#VALUE!</v>
      </c>
      <c r="BB60" s="491" t="e">
        <f t="shared" si="12"/>
        <v>#VALUE!</v>
      </c>
      <c r="BC60" s="491" t="e">
        <f t="shared" si="12"/>
        <v>#VALUE!</v>
      </c>
      <c r="BD60" s="491" t="e">
        <f t="shared" si="12"/>
        <v>#VALUE!</v>
      </c>
      <c r="BE60" s="491" t="e">
        <f t="shared" si="12"/>
        <v>#VALUE!</v>
      </c>
      <c r="BF60" s="491" t="e">
        <f t="shared" si="12"/>
        <v>#VALUE!</v>
      </c>
      <c r="BG60" s="491" t="e">
        <f t="shared" si="12"/>
        <v>#VALUE!</v>
      </c>
      <c r="BH60" s="491" t="e">
        <f t="shared" si="12"/>
        <v>#VALUE!</v>
      </c>
      <c r="BI60" s="491" t="e">
        <f t="shared" si="12"/>
        <v>#VALUE!</v>
      </c>
      <c r="BJ60" s="491" t="e">
        <f t="shared" si="12"/>
        <v>#VALUE!</v>
      </c>
      <c r="BK60" s="400">
        <f t="shared" si="37"/>
        <v>10</v>
      </c>
      <c r="BL60" s="491" t="e">
        <f t="shared" si="38"/>
        <v>#VALUE!</v>
      </c>
      <c r="BM60" s="491" t="e">
        <f t="shared" si="38"/>
        <v>#VALUE!</v>
      </c>
      <c r="BN60" s="491" t="e">
        <f t="shared" si="38"/>
        <v>#VALUE!</v>
      </c>
      <c r="BO60" s="491" t="e">
        <f t="shared" si="38"/>
        <v>#VALUE!</v>
      </c>
      <c r="BP60" s="622" t="e">
        <f t="shared" si="39"/>
        <v>#VALUE!</v>
      </c>
      <c r="BQ60" s="274" t="e">
        <f>IF(L60="","Column",IF(OR(C60&lt;MAX(ColSpa1,Geometry!$J$107),C60&gt;MAX(MAX(Geometry!$I$107:$I$116),MAX(Geometry!$J$107:$J$116))),MIN(6,INDEX($O$45:$O$48,MATCH(L60,$O$45:$O$48,1),1)),INDEX($O$45:$O$48,MATCH(L60,$O$45:$O$48,1),1)))</f>
        <v>#VALUE!</v>
      </c>
    </row>
    <row r="61" spans="1:86">
      <c r="A61" s="339"/>
      <c r="B61" s="96" t="e">
        <f>IF(MIN(ABS(C61-INDEX(Geometry!$Q$104:$Q$113,IF(ISERROR(MATCH(C61,Geometry!$Q$104:$Q$113,1)),1,MATCH(C61,Geometry!$Q$104:$Q$113,1)),1)),ABS(C61-INDEX(Geometry!$Q$104:$Q$113,IF(ISERROR(MAX(11-MATCH(C61,Geometry!$R$104:$R$113,-1),1)),1,MAX(11-MATCH(C61,Geometry!$R$104:$R$113,-1),1)),1)))&lt;(halfeffectiveface/12),"#","")</f>
        <v>#VALUE!</v>
      </c>
      <c r="C61" s="96" t="str">
        <f>'CAP18 Out(1)'!D19</f>
        <v/>
      </c>
      <c r="D61" s="184" t="str">
        <f>'CAP18 Out(1)'!M19</f>
        <v/>
      </c>
      <c r="E61" s="179" t="e">
        <f t="shared" si="13"/>
        <v>#VALUE!</v>
      </c>
      <c r="F61" s="87" t="e">
        <f t="shared" si="14"/>
        <v>#VALUE!</v>
      </c>
      <c r="G61" s="87" t="e">
        <f t="shared" si="15"/>
        <v>#VALUE!</v>
      </c>
      <c r="H61" s="185" t="e">
        <f t="shared" si="16"/>
        <v>#VALUE!</v>
      </c>
      <c r="I61" s="184" t="e">
        <f t="shared" si="17"/>
        <v>#VALUE!</v>
      </c>
      <c r="J61" s="184">
        <f t="shared" si="18"/>
        <v>0</v>
      </c>
      <c r="K61" s="184">
        <f t="shared" si="19"/>
        <v>0</v>
      </c>
      <c r="L61" s="296" t="e">
        <f t="shared" si="20"/>
        <v>#VALUE!</v>
      </c>
      <c r="M61" s="294" t="e">
        <f>IF(L61="Column","",IF(OR(C61&lt;MAX(ColSpa1,Geometry!$J$107),C61&gt;MAX(MAX(Geometry!$I$107:$I$116),MAX(Geometry!$J$107:$J$116))),"OH - 6''",""))</f>
        <v>#VALUE!</v>
      </c>
      <c r="N61" s="1053">
        <v>36.4</v>
      </c>
      <c r="O61" s="489">
        <f t="shared" si="21"/>
        <v>0</v>
      </c>
      <c r="P61" s="489">
        <f t="shared" si="22"/>
        <v>0</v>
      </c>
      <c r="Q61" s="400" t="e">
        <f>'CAP18 Out(1)'!I19</f>
        <v>#VALUE!</v>
      </c>
      <c r="R61" s="400" t="e">
        <f>'CAP18 Out(1)'!J19</f>
        <v>#VALUE!</v>
      </c>
      <c r="S61" s="400" t="e">
        <f>IF(E61=ABS(Q61),VLOOKUP('Bars B'!$F$10,BarTable,4,FALSE)/12,1.3*VLOOKUP('Bars A'!$F$10,BarTable,4,FALSE)/12)</f>
        <v>#VALUE!</v>
      </c>
      <c r="T61" s="626" t="e">
        <f t="shared" si="23"/>
        <v>#VALUE!</v>
      </c>
      <c r="U61" s="489" t="e">
        <f>IF(T61&gt;S61,IF(E61=ABS(R61),'Bars A'!$I$13,'Bars B'!$I$13),0.0000000001)</f>
        <v>#VALUE!</v>
      </c>
      <c r="V61" s="483" t="e">
        <f t="shared" si="24"/>
        <v>#VALUE!</v>
      </c>
      <c r="W61" s="627" t="e">
        <f t="shared" si="25"/>
        <v>#VALUE!</v>
      </c>
      <c r="X61" s="628" t="e">
        <f t="shared" si="26"/>
        <v>#VALUE!</v>
      </c>
      <c r="Y61" s="489" t="e">
        <f t="shared" si="27"/>
        <v>#VALUE!</v>
      </c>
      <c r="Z61" s="629" t="e">
        <f t="shared" si="28"/>
        <v>#VALUE!</v>
      </c>
      <c r="AA61" s="626" t="e">
        <f t="shared" si="29"/>
        <v>#VALUE!</v>
      </c>
      <c r="AB61" s="481" t="e">
        <f>MATCH(V61,Reference!$S$7:$S$17,1)</f>
        <v>#VALUE!</v>
      </c>
      <c r="AC61" s="1388" t="e">
        <f>12-MATCH(V61,Reference!$AD$6:$AD$16,-1)</f>
        <v>#VALUE!</v>
      </c>
      <c r="AD61" s="482" t="e">
        <f>MATCH(X61,Reference!$T$6:$AB$6,1)</f>
        <v>#VALUE!</v>
      </c>
      <c r="AE61" s="482" t="e">
        <f>10-MATCH(X61,Reference!$AD$18:$AL$18,-1)</f>
        <v>#VALUE!</v>
      </c>
      <c r="AF61" s="482" t="e">
        <f>INDEX(Reference!$T$7:$AB$17,AB61,AD61)</f>
        <v>#VALUE!</v>
      </c>
      <c r="AG61" s="482" t="e">
        <f>INDEX(Reference!$T$7:$AB$17,AB61,AE61)</f>
        <v>#VALUE!</v>
      </c>
      <c r="AH61" s="482" t="e">
        <f>INDEX(Reference!$T$7:$AB$17,AC61,AD61)</f>
        <v>#VALUE!</v>
      </c>
      <c r="AI61" s="482" t="e">
        <f>INDEX(Reference!$T$7:$AB$17,AC61,AE61)</f>
        <v>#VALUE!</v>
      </c>
      <c r="AJ61" s="482" t="e">
        <f>INDEX(Reference!$T$23:$AB$33,AB61,AD61)</f>
        <v>#VALUE!</v>
      </c>
      <c r="AK61" s="482" t="e">
        <f>INDEX(Reference!$T$23:$AB$33,AB61,AE61)</f>
        <v>#VALUE!</v>
      </c>
      <c r="AL61" s="482" t="e">
        <f>INDEX(Reference!$T$23:$AB$33,AC61,AD61)</f>
        <v>#VALUE!</v>
      </c>
      <c r="AM61" s="482" t="e">
        <f>INDEX(Reference!$T$23:$AB$33,AC61,AE61)</f>
        <v>#VALUE!</v>
      </c>
      <c r="AN61" s="483" t="e">
        <f>INDEX(Reference!$S$7:$S$17,AB61,1)</f>
        <v>#VALUE!</v>
      </c>
      <c r="AO61" s="483" t="e">
        <f>INDEX(Reference!$S$7:$S$17,AC61,1)</f>
        <v>#VALUE!</v>
      </c>
      <c r="AP61" s="484" t="e">
        <f>INDEX(Reference!$T$6:$AB$6,1,AD61)</f>
        <v>#VALUE!</v>
      </c>
      <c r="AQ61" s="484" t="e">
        <f>INDEX(Reference!$T$6:$AB$6,1,AE61)</f>
        <v>#VALUE!</v>
      </c>
      <c r="AR61" s="629" t="e">
        <f t="shared" si="30"/>
        <v>#VALUE!</v>
      </c>
      <c r="AS61" s="629" t="e">
        <f t="shared" si="31"/>
        <v>#VALUE!</v>
      </c>
      <c r="AT61" s="629" t="e">
        <f t="shared" si="32"/>
        <v>#VALUE!</v>
      </c>
      <c r="AU61" s="629" t="e">
        <f t="shared" si="33"/>
        <v>#VALUE!</v>
      </c>
      <c r="AV61" s="629" t="e">
        <f t="shared" si="34"/>
        <v>#VALUE!</v>
      </c>
      <c r="AW61" s="630" t="e">
        <f t="shared" si="35"/>
        <v>#VALUE!</v>
      </c>
      <c r="AZ61" s="489" t="str">
        <f t="shared" si="36"/>
        <v/>
      </c>
      <c r="BA61" s="631" t="e">
        <f t="shared" si="12"/>
        <v>#VALUE!</v>
      </c>
      <c r="BB61" s="491" t="e">
        <f t="shared" si="12"/>
        <v>#VALUE!</v>
      </c>
      <c r="BC61" s="491" t="e">
        <f t="shared" si="12"/>
        <v>#VALUE!</v>
      </c>
      <c r="BD61" s="491" t="e">
        <f t="shared" si="12"/>
        <v>#VALUE!</v>
      </c>
      <c r="BE61" s="491" t="e">
        <f t="shared" si="12"/>
        <v>#VALUE!</v>
      </c>
      <c r="BF61" s="491" t="e">
        <f t="shared" si="12"/>
        <v>#VALUE!</v>
      </c>
      <c r="BG61" s="491" t="e">
        <f t="shared" si="12"/>
        <v>#VALUE!</v>
      </c>
      <c r="BH61" s="491" t="e">
        <f t="shared" si="12"/>
        <v>#VALUE!</v>
      </c>
      <c r="BI61" s="491" t="e">
        <f t="shared" si="12"/>
        <v>#VALUE!</v>
      </c>
      <c r="BJ61" s="491" t="e">
        <f t="shared" si="12"/>
        <v>#VALUE!</v>
      </c>
      <c r="BK61" s="400">
        <f t="shared" si="37"/>
        <v>11</v>
      </c>
      <c r="BL61" s="491" t="e">
        <f t="shared" si="38"/>
        <v>#VALUE!</v>
      </c>
      <c r="BM61" s="491" t="e">
        <f t="shared" si="38"/>
        <v>#VALUE!</v>
      </c>
      <c r="BN61" s="491" t="e">
        <f t="shared" si="38"/>
        <v>#VALUE!</v>
      </c>
      <c r="BO61" s="491" t="e">
        <f t="shared" si="38"/>
        <v>#VALUE!</v>
      </c>
      <c r="BP61" s="622" t="e">
        <f t="shared" si="39"/>
        <v>#VALUE!</v>
      </c>
      <c r="BQ61" s="274" t="e">
        <f>IF(L61="","Column",IF(OR(C61&lt;MAX(ColSpa1,Geometry!$J$107),C61&gt;MAX(MAX(Geometry!$I$107:$I$116),MAX(Geometry!$J$107:$J$116))),MIN(6,INDEX($O$45:$O$48,MATCH(L61,$O$45:$O$48,1),1)),INDEX($O$45:$O$48,MATCH(L61,$O$45:$O$48,1),1)))</f>
        <v>#VALUE!</v>
      </c>
    </row>
    <row r="62" spans="1:86">
      <c r="A62" s="339"/>
      <c r="B62" s="96" t="e">
        <f>IF(MIN(ABS(C62-INDEX(Geometry!$Q$104:$Q$113,IF(ISERROR(MATCH(C62,Geometry!$Q$104:$Q$113,1)),1,MATCH(C62,Geometry!$Q$104:$Q$113,1)),1)),ABS(C62-INDEX(Geometry!$Q$104:$Q$113,IF(ISERROR(MAX(11-MATCH(C62,Geometry!$R$104:$R$113,-1),1)),1,MAX(11-MATCH(C62,Geometry!$R$104:$R$113,-1),1)),1)))&lt;(halfeffectiveface/12),"#","")</f>
        <v>#VALUE!</v>
      </c>
      <c r="C62" s="96" t="str">
        <f>'CAP18 Out(1)'!D20</f>
        <v/>
      </c>
      <c r="D62" s="184" t="str">
        <f>'CAP18 Out(1)'!M20</f>
        <v/>
      </c>
      <c r="E62" s="179" t="e">
        <f t="shared" si="13"/>
        <v>#VALUE!</v>
      </c>
      <c r="F62" s="87" t="e">
        <f t="shared" si="14"/>
        <v>#VALUE!</v>
      </c>
      <c r="G62" s="87" t="e">
        <f t="shared" si="15"/>
        <v>#VALUE!</v>
      </c>
      <c r="H62" s="185" t="e">
        <f t="shared" si="16"/>
        <v>#VALUE!</v>
      </c>
      <c r="I62" s="184" t="e">
        <f t="shared" si="17"/>
        <v>#VALUE!</v>
      </c>
      <c r="J62" s="184">
        <f t="shared" si="18"/>
        <v>0</v>
      </c>
      <c r="K62" s="184">
        <f t="shared" si="19"/>
        <v>0</v>
      </c>
      <c r="L62" s="296" t="e">
        <f t="shared" si="20"/>
        <v>#VALUE!</v>
      </c>
      <c r="M62" s="294" t="e">
        <f>IF(L62="Column","",IF(OR(C62&lt;MAX(ColSpa1,Geometry!$J$107),C62&gt;MAX(MAX(Geometry!$I$107:$I$116),MAX(Geometry!$J$107:$J$116))),"OH - 6''",""))</f>
        <v>#VALUE!</v>
      </c>
      <c r="N62" s="1053">
        <v>36.4</v>
      </c>
      <c r="O62" s="489">
        <f t="shared" si="21"/>
        <v>0</v>
      </c>
      <c r="P62" s="489">
        <f t="shared" si="22"/>
        <v>0</v>
      </c>
      <c r="Q62" s="400" t="e">
        <f>'CAP18 Out(1)'!I20</f>
        <v>#VALUE!</v>
      </c>
      <c r="R62" s="400" t="e">
        <f>'CAP18 Out(1)'!J20</f>
        <v>#VALUE!</v>
      </c>
      <c r="S62" s="400" t="e">
        <f>IF(E62=ABS(Q62),VLOOKUP('Bars B'!$F$10,BarTable,4,FALSE)/12,1.3*VLOOKUP('Bars A'!$F$10,BarTable,4,FALSE)/12)</f>
        <v>#VALUE!</v>
      </c>
      <c r="T62" s="626" t="e">
        <f t="shared" si="23"/>
        <v>#VALUE!</v>
      </c>
      <c r="U62" s="489" t="e">
        <f>IF(T62&gt;S62,IF(E62=ABS(R62),'Bars A'!$I$13,'Bars B'!$I$13),0.0000000001)</f>
        <v>#VALUE!</v>
      </c>
      <c r="V62" s="483" t="e">
        <f t="shared" si="24"/>
        <v>#VALUE!</v>
      </c>
      <c r="W62" s="627" t="e">
        <f t="shared" si="25"/>
        <v>#VALUE!</v>
      </c>
      <c r="X62" s="628" t="e">
        <f t="shared" si="26"/>
        <v>#VALUE!</v>
      </c>
      <c r="Y62" s="489" t="e">
        <f t="shared" si="27"/>
        <v>#VALUE!</v>
      </c>
      <c r="Z62" s="629" t="e">
        <f t="shared" si="28"/>
        <v>#VALUE!</v>
      </c>
      <c r="AA62" s="626" t="e">
        <f t="shared" si="29"/>
        <v>#VALUE!</v>
      </c>
      <c r="AB62" s="481" t="e">
        <f>MATCH(V62,Reference!$S$7:$S$17,1)</f>
        <v>#VALUE!</v>
      </c>
      <c r="AC62" s="1388" t="e">
        <f>12-MATCH(V62,Reference!$AD$6:$AD$16,-1)</f>
        <v>#VALUE!</v>
      </c>
      <c r="AD62" s="482" t="e">
        <f>MATCH(X62,Reference!$T$6:$AB$6,1)</f>
        <v>#VALUE!</v>
      </c>
      <c r="AE62" s="482" t="e">
        <f>10-MATCH(X62,Reference!$AD$18:$AL$18,-1)</f>
        <v>#VALUE!</v>
      </c>
      <c r="AF62" s="482" t="e">
        <f>INDEX(Reference!$T$7:$AB$17,AB62,AD62)</f>
        <v>#VALUE!</v>
      </c>
      <c r="AG62" s="482" t="e">
        <f>INDEX(Reference!$T$7:$AB$17,AB62,AE62)</f>
        <v>#VALUE!</v>
      </c>
      <c r="AH62" s="482" t="e">
        <f>INDEX(Reference!$T$7:$AB$17,AC62,AD62)</f>
        <v>#VALUE!</v>
      </c>
      <c r="AI62" s="482" t="e">
        <f>INDEX(Reference!$T$7:$AB$17,AC62,AE62)</f>
        <v>#VALUE!</v>
      </c>
      <c r="AJ62" s="482" t="e">
        <f>INDEX(Reference!$T$23:$AB$33,AB62,AD62)</f>
        <v>#VALUE!</v>
      </c>
      <c r="AK62" s="482" t="e">
        <f>INDEX(Reference!$T$23:$AB$33,AB62,AE62)</f>
        <v>#VALUE!</v>
      </c>
      <c r="AL62" s="482" t="e">
        <f>INDEX(Reference!$T$23:$AB$33,AC62,AD62)</f>
        <v>#VALUE!</v>
      </c>
      <c r="AM62" s="482" t="e">
        <f>INDEX(Reference!$T$23:$AB$33,AC62,AE62)</f>
        <v>#VALUE!</v>
      </c>
      <c r="AN62" s="483" t="e">
        <f>INDEX(Reference!$S$7:$S$17,AB62,1)</f>
        <v>#VALUE!</v>
      </c>
      <c r="AO62" s="483" t="e">
        <f>INDEX(Reference!$S$7:$S$17,AC62,1)</f>
        <v>#VALUE!</v>
      </c>
      <c r="AP62" s="484" t="e">
        <f>INDEX(Reference!$T$6:$AB$6,1,AD62)</f>
        <v>#VALUE!</v>
      </c>
      <c r="AQ62" s="484" t="e">
        <f>INDEX(Reference!$T$6:$AB$6,1,AE62)</f>
        <v>#VALUE!</v>
      </c>
      <c r="AR62" s="629" t="e">
        <f t="shared" si="30"/>
        <v>#VALUE!</v>
      </c>
      <c r="AS62" s="629" t="e">
        <f t="shared" si="31"/>
        <v>#VALUE!</v>
      </c>
      <c r="AT62" s="629" t="e">
        <f t="shared" si="32"/>
        <v>#VALUE!</v>
      </c>
      <c r="AU62" s="629" t="e">
        <f t="shared" si="33"/>
        <v>#VALUE!</v>
      </c>
      <c r="AV62" s="629" t="e">
        <f t="shared" si="34"/>
        <v>#VALUE!</v>
      </c>
      <c r="AW62" s="630" t="e">
        <f t="shared" si="35"/>
        <v>#VALUE!</v>
      </c>
      <c r="AZ62" s="489" t="str">
        <f t="shared" si="36"/>
        <v/>
      </c>
      <c r="BA62" s="631" t="e">
        <f t="shared" si="12"/>
        <v>#VALUE!</v>
      </c>
      <c r="BB62" s="491" t="e">
        <f t="shared" si="12"/>
        <v>#VALUE!</v>
      </c>
      <c r="BC62" s="491" t="e">
        <f t="shared" si="12"/>
        <v>#VALUE!</v>
      </c>
      <c r="BD62" s="491" t="e">
        <f t="shared" si="12"/>
        <v>#VALUE!</v>
      </c>
      <c r="BE62" s="491" t="e">
        <f t="shared" si="12"/>
        <v>#VALUE!</v>
      </c>
      <c r="BF62" s="491" t="e">
        <f t="shared" si="12"/>
        <v>#VALUE!</v>
      </c>
      <c r="BG62" s="491" t="e">
        <f t="shared" si="12"/>
        <v>#VALUE!</v>
      </c>
      <c r="BH62" s="491" t="e">
        <f t="shared" si="12"/>
        <v>#VALUE!</v>
      </c>
      <c r="BI62" s="491" t="e">
        <f t="shared" si="12"/>
        <v>#VALUE!</v>
      </c>
      <c r="BJ62" s="491" t="e">
        <f t="shared" si="12"/>
        <v>#VALUE!</v>
      </c>
      <c r="BK62" s="400">
        <f t="shared" si="37"/>
        <v>12</v>
      </c>
      <c r="BL62" s="491" t="e">
        <f t="shared" si="38"/>
        <v>#VALUE!</v>
      </c>
      <c r="BM62" s="491" t="e">
        <f t="shared" si="38"/>
        <v>#VALUE!</v>
      </c>
      <c r="BN62" s="491" t="e">
        <f t="shared" si="38"/>
        <v>#VALUE!</v>
      </c>
      <c r="BO62" s="491" t="e">
        <f t="shared" si="38"/>
        <v>#VALUE!</v>
      </c>
      <c r="BP62" s="622" t="e">
        <f t="shared" si="39"/>
        <v>#VALUE!</v>
      </c>
      <c r="BQ62" s="274" t="e">
        <f>IF(L62="","Column",IF(OR(C62&lt;MAX(ColSpa1,Geometry!$J$107),C62&gt;MAX(MAX(Geometry!$I$107:$I$116),MAX(Geometry!$J$107:$J$116))),MIN(6,INDEX($O$45:$O$48,MATCH(L62,$O$45:$O$48,1),1)),INDEX($O$45:$O$48,MATCH(L62,$O$45:$O$48,1),1)))</f>
        <v>#VALUE!</v>
      </c>
    </row>
    <row r="63" spans="1:86">
      <c r="A63" s="339"/>
      <c r="B63" s="96" t="e">
        <f>IF(MIN(ABS(C63-INDEX(Geometry!$Q$104:$Q$113,IF(ISERROR(MATCH(C63,Geometry!$Q$104:$Q$113,1)),1,MATCH(C63,Geometry!$Q$104:$Q$113,1)),1)),ABS(C63-INDEX(Geometry!$Q$104:$Q$113,IF(ISERROR(MAX(11-MATCH(C63,Geometry!$R$104:$R$113,-1),1)),1,MAX(11-MATCH(C63,Geometry!$R$104:$R$113,-1),1)),1)))&lt;(halfeffectiveface/12),"#","")</f>
        <v>#VALUE!</v>
      </c>
      <c r="C63" s="96" t="str">
        <f>'CAP18 Out(1)'!D21</f>
        <v/>
      </c>
      <c r="D63" s="184" t="str">
        <f>'CAP18 Out(1)'!M21</f>
        <v/>
      </c>
      <c r="E63" s="179" t="e">
        <f t="shared" si="13"/>
        <v>#VALUE!</v>
      </c>
      <c r="F63" s="87" t="e">
        <f t="shared" si="14"/>
        <v>#VALUE!</v>
      </c>
      <c r="G63" s="87" t="e">
        <f t="shared" si="15"/>
        <v>#VALUE!</v>
      </c>
      <c r="H63" s="185" t="e">
        <f t="shared" si="16"/>
        <v>#VALUE!</v>
      </c>
      <c r="I63" s="184" t="e">
        <f t="shared" si="17"/>
        <v>#VALUE!</v>
      </c>
      <c r="J63" s="184">
        <f t="shared" si="18"/>
        <v>0</v>
      </c>
      <c r="K63" s="184">
        <f t="shared" si="19"/>
        <v>0</v>
      </c>
      <c r="L63" s="296" t="e">
        <f t="shared" si="20"/>
        <v>#VALUE!</v>
      </c>
      <c r="M63" s="294" t="e">
        <f>IF(L63="Column","",IF(OR(C63&lt;MAX(ColSpa1,Geometry!$J$107),C63&gt;MAX(MAX(Geometry!$I$107:$I$116),MAX(Geometry!$J$107:$J$116))),"OH - 6''",""))</f>
        <v>#VALUE!</v>
      </c>
      <c r="N63" s="1053">
        <v>36.4</v>
      </c>
      <c r="O63" s="489">
        <f t="shared" si="21"/>
        <v>0</v>
      </c>
      <c r="P63" s="489">
        <f t="shared" si="22"/>
        <v>0</v>
      </c>
      <c r="Q63" s="400" t="e">
        <f>'CAP18 Out(1)'!I21</f>
        <v>#VALUE!</v>
      </c>
      <c r="R63" s="400" t="e">
        <f>'CAP18 Out(1)'!J21</f>
        <v>#VALUE!</v>
      </c>
      <c r="S63" s="400" t="e">
        <f>IF(E63=ABS(Q63),VLOOKUP('Bars B'!$F$10,BarTable,4,FALSE)/12,1.3*VLOOKUP('Bars A'!$F$10,BarTable,4,FALSE)/12)</f>
        <v>#VALUE!</v>
      </c>
      <c r="T63" s="626" t="e">
        <f t="shared" si="23"/>
        <v>#VALUE!</v>
      </c>
      <c r="U63" s="489" t="e">
        <f>IF(T63&gt;S63,IF(E63=ABS(R63),'Bars A'!$I$13,'Bars B'!$I$13),0.0000000001)</f>
        <v>#VALUE!</v>
      </c>
      <c r="V63" s="483" t="e">
        <f t="shared" si="24"/>
        <v>#VALUE!</v>
      </c>
      <c r="W63" s="627" t="e">
        <f t="shared" si="25"/>
        <v>#VALUE!</v>
      </c>
      <c r="X63" s="628" t="e">
        <f t="shared" si="26"/>
        <v>#VALUE!</v>
      </c>
      <c r="Y63" s="489" t="e">
        <f t="shared" si="27"/>
        <v>#VALUE!</v>
      </c>
      <c r="Z63" s="629" t="e">
        <f t="shared" si="28"/>
        <v>#VALUE!</v>
      </c>
      <c r="AA63" s="626" t="e">
        <f t="shared" si="29"/>
        <v>#VALUE!</v>
      </c>
      <c r="AB63" s="481" t="e">
        <f>MATCH(V63,Reference!$S$7:$S$17,1)</f>
        <v>#VALUE!</v>
      </c>
      <c r="AC63" s="1388" t="e">
        <f>12-MATCH(V63,Reference!$AD$6:$AD$16,-1)</f>
        <v>#VALUE!</v>
      </c>
      <c r="AD63" s="482" t="e">
        <f>MATCH(X63,Reference!$T$6:$AB$6,1)</f>
        <v>#VALUE!</v>
      </c>
      <c r="AE63" s="482" t="e">
        <f>10-MATCH(X63,Reference!$AD$18:$AL$18,-1)</f>
        <v>#VALUE!</v>
      </c>
      <c r="AF63" s="482" t="e">
        <f>INDEX(Reference!$T$7:$AB$17,AB63,AD63)</f>
        <v>#VALUE!</v>
      </c>
      <c r="AG63" s="482" t="e">
        <f>INDEX(Reference!$T$7:$AB$17,AB63,AE63)</f>
        <v>#VALUE!</v>
      </c>
      <c r="AH63" s="482" t="e">
        <f>INDEX(Reference!$T$7:$AB$17,AC63,AD63)</f>
        <v>#VALUE!</v>
      </c>
      <c r="AI63" s="482" t="e">
        <f>INDEX(Reference!$T$7:$AB$17,AC63,AE63)</f>
        <v>#VALUE!</v>
      </c>
      <c r="AJ63" s="482" t="e">
        <f>INDEX(Reference!$T$23:$AB$33,AB63,AD63)</f>
        <v>#VALUE!</v>
      </c>
      <c r="AK63" s="482" t="e">
        <f>INDEX(Reference!$T$23:$AB$33,AB63,AE63)</f>
        <v>#VALUE!</v>
      </c>
      <c r="AL63" s="482" t="e">
        <f>INDEX(Reference!$T$23:$AB$33,AC63,AD63)</f>
        <v>#VALUE!</v>
      </c>
      <c r="AM63" s="482" t="e">
        <f>INDEX(Reference!$T$23:$AB$33,AC63,AE63)</f>
        <v>#VALUE!</v>
      </c>
      <c r="AN63" s="483" t="e">
        <f>INDEX(Reference!$S$7:$S$17,AB63,1)</f>
        <v>#VALUE!</v>
      </c>
      <c r="AO63" s="483" t="e">
        <f>INDEX(Reference!$S$7:$S$17,AC63,1)</f>
        <v>#VALUE!</v>
      </c>
      <c r="AP63" s="484" t="e">
        <f>INDEX(Reference!$T$6:$AB$6,1,AD63)</f>
        <v>#VALUE!</v>
      </c>
      <c r="AQ63" s="484" t="e">
        <f>INDEX(Reference!$T$6:$AB$6,1,AE63)</f>
        <v>#VALUE!</v>
      </c>
      <c r="AR63" s="629" t="e">
        <f t="shared" si="30"/>
        <v>#VALUE!</v>
      </c>
      <c r="AS63" s="629" t="e">
        <f t="shared" si="31"/>
        <v>#VALUE!</v>
      </c>
      <c r="AT63" s="629" t="e">
        <f t="shared" si="32"/>
        <v>#VALUE!</v>
      </c>
      <c r="AU63" s="629" t="e">
        <f t="shared" si="33"/>
        <v>#VALUE!</v>
      </c>
      <c r="AV63" s="629" t="e">
        <f t="shared" si="34"/>
        <v>#VALUE!</v>
      </c>
      <c r="AW63" s="630" t="e">
        <f t="shared" si="35"/>
        <v>#VALUE!</v>
      </c>
      <c r="AZ63" s="489" t="str">
        <f t="shared" si="36"/>
        <v/>
      </c>
      <c r="BA63" s="631" t="e">
        <f t="shared" si="12"/>
        <v>#VALUE!</v>
      </c>
      <c r="BB63" s="491" t="e">
        <f t="shared" si="12"/>
        <v>#VALUE!</v>
      </c>
      <c r="BC63" s="491" t="e">
        <f t="shared" si="12"/>
        <v>#VALUE!</v>
      </c>
      <c r="BD63" s="491" t="e">
        <f t="shared" si="12"/>
        <v>#VALUE!</v>
      </c>
      <c r="BE63" s="491" t="e">
        <f t="shared" si="12"/>
        <v>#VALUE!</v>
      </c>
      <c r="BF63" s="491" t="e">
        <f t="shared" si="12"/>
        <v>#VALUE!</v>
      </c>
      <c r="BG63" s="491" t="e">
        <f t="shared" si="12"/>
        <v>#VALUE!</v>
      </c>
      <c r="BH63" s="491" t="e">
        <f t="shared" si="12"/>
        <v>#VALUE!</v>
      </c>
      <c r="BI63" s="491" t="e">
        <f t="shared" si="12"/>
        <v>#VALUE!</v>
      </c>
      <c r="BJ63" s="491" t="e">
        <f t="shared" si="12"/>
        <v>#VALUE!</v>
      </c>
      <c r="BK63" s="400">
        <f t="shared" si="37"/>
        <v>13</v>
      </c>
      <c r="BL63" s="491" t="e">
        <f t="shared" si="38"/>
        <v>#VALUE!</v>
      </c>
      <c r="BM63" s="491" t="e">
        <f t="shared" si="38"/>
        <v>#VALUE!</v>
      </c>
      <c r="BN63" s="491" t="e">
        <f t="shared" si="38"/>
        <v>#VALUE!</v>
      </c>
      <c r="BO63" s="491" t="e">
        <f t="shared" si="38"/>
        <v>#VALUE!</v>
      </c>
      <c r="BP63" s="622" t="e">
        <f t="shared" si="39"/>
        <v>#VALUE!</v>
      </c>
      <c r="BQ63" s="274" t="e">
        <f>IF(L63="","Column",IF(OR(C63&lt;MAX(ColSpa1,Geometry!$J$107),C63&gt;MAX(MAX(Geometry!$I$107:$I$116),MAX(Geometry!$J$107:$J$116))),MIN(6,INDEX($O$45:$O$48,MATCH(L63,$O$45:$O$48,1),1)),INDEX($O$45:$O$48,MATCH(L63,$O$45:$O$48,1),1)))</f>
        <v>#VALUE!</v>
      </c>
    </row>
    <row r="64" spans="1:86">
      <c r="A64" s="339"/>
      <c r="B64" s="96" t="e">
        <f>IF(MIN(ABS(C64-INDEX(Geometry!$Q$104:$Q$113,IF(ISERROR(MATCH(C64,Geometry!$Q$104:$Q$113,1)),1,MATCH(C64,Geometry!$Q$104:$Q$113,1)),1)),ABS(C64-INDEX(Geometry!$Q$104:$Q$113,IF(ISERROR(MAX(11-MATCH(C64,Geometry!$R$104:$R$113,-1),1)),1,MAX(11-MATCH(C64,Geometry!$R$104:$R$113,-1),1)),1)))&lt;(halfeffectiveface/12),"#","")</f>
        <v>#VALUE!</v>
      </c>
      <c r="C64" s="96" t="str">
        <f>'CAP18 Out(1)'!D22</f>
        <v/>
      </c>
      <c r="D64" s="184" t="str">
        <f>'CAP18 Out(1)'!M22</f>
        <v/>
      </c>
      <c r="E64" s="179" t="e">
        <f t="shared" si="13"/>
        <v>#VALUE!</v>
      </c>
      <c r="F64" s="87" t="e">
        <f t="shared" si="14"/>
        <v>#VALUE!</v>
      </c>
      <c r="G64" s="87" t="e">
        <f t="shared" si="15"/>
        <v>#VALUE!</v>
      </c>
      <c r="H64" s="185" t="e">
        <f t="shared" si="16"/>
        <v>#VALUE!</v>
      </c>
      <c r="I64" s="184" t="e">
        <f t="shared" si="17"/>
        <v>#VALUE!</v>
      </c>
      <c r="J64" s="184">
        <f t="shared" si="18"/>
        <v>0</v>
      </c>
      <c r="K64" s="184">
        <f t="shared" si="19"/>
        <v>0</v>
      </c>
      <c r="L64" s="296" t="e">
        <f t="shared" si="20"/>
        <v>#VALUE!</v>
      </c>
      <c r="M64" s="294" t="e">
        <f>IF(L64="Column","",IF(OR(C64&lt;MAX(ColSpa1,Geometry!$J$107),C64&gt;MAX(MAX(Geometry!$I$107:$I$116),MAX(Geometry!$J$107:$J$116))),"OH - 6''",""))</f>
        <v>#VALUE!</v>
      </c>
      <c r="N64" s="1053">
        <v>36.4</v>
      </c>
      <c r="O64" s="489">
        <f t="shared" si="21"/>
        <v>0</v>
      </c>
      <c r="P64" s="489">
        <f t="shared" si="22"/>
        <v>0</v>
      </c>
      <c r="Q64" s="400" t="e">
        <f>'CAP18 Out(1)'!I22</f>
        <v>#VALUE!</v>
      </c>
      <c r="R64" s="400" t="e">
        <f>'CAP18 Out(1)'!J22</f>
        <v>#VALUE!</v>
      </c>
      <c r="S64" s="400" t="e">
        <f>IF(E64=ABS(Q64),VLOOKUP('Bars B'!$F$10,BarTable,4,FALSE)/12,1.3*VLOOKUP('Bars A'!$F$10,BarTable,4,FALSE)/12)</f>
        <v>#VALUE!</v>
      </c>
      <c r="T64" s="626" t="e">
        <f t="shared" si="23"/>
        <v>#VALUE!</v>
      </c>
      <c r="U64" s="489" t="e">
        <f>IF(T64&gt;S64,IF(E64=ABS(R64),'Bars A'!$I$13,'Bars B'!$I$13),0.0000000001)</f>
        <v>#VALUE!</v>
      </c>
      <c r="V64" s="483" t="e">
        <f t="shared" si="24"/>
        <v>#VALUE!</v>
      </c>
      <c r="W64" s="627" t="e">
        <f t="shared" si="25"/>
        <v>#VALUE!</v>
      </c>
      <c r="X64" s="628" t="e">
        <f t="shared" si="26"/>
        <v>#VALUE!</v>
      </c>
      <c r="Y64" s="489" t="e">
        <f t="shared" si="27"/>
        <v>#VALUE!</v>
      </c>
      <c r="Z64" s="629" t="e">
        <f t="shared" si="28"/>
        <v>#VALUE!</v>
      </c>
      <c r="AA64" s="626" t="e">
        <f t="shared" si="29"/>
        <v>#VALUE!</v>
      </c>
      <c r="AB64" s="481" t="e">
        <f>MATCH(V64,Reference!$S$7:$S$17,1)</f>
        <v>#VALUE!</v>
      </c>
      <c r="AC64" s="1388" t="e">
        <f>12-MATCH(V64,Reference!$AD$6:$AD$16,-1)</f>
        <v>#VALUE!</v>
      </c>
      <c r="AD64" s="482" t="e">
        <f>MATCH(X64,Reference!$T$6:$AB$6,1)</f>
        <v>#VALUE!</v>
      </c>
      <c r="AE64" s="482" t="e">
        <f>10-MATCH(X64,Reference!$AD$18:$AL$18,-1)</f>
        <v>#VALUE!</v>
      </c>
      <c r="AF64" s="482" t="e">
        <f>INDEX(Reference!$T$7:$AB$17,AB64,AD64)</f>
        <v>#VALUE!</v>
      </c>
      <c r="AG64" s="482" t="e">
        <f>INDEX(Reference!$T$7:$AB$17,AB64,AE64)</f>
        <v>#VALUE!</v>
      </c>
      <c r="AH64" s="482" t="e">
        <f>INDEX(Reference!$T$7:$AB$17,AC64,AD64)</f>
        <v>#VALUE!</v>
      </c>
      <c r="AI64" s="482" t="e">
        <f>INDEX(Reference!$T$7:$AB$17,AC64,AE64)</f>
        <v>#VALUE!</v>
      </c>
      <c r="AJ64" s="482" t="e">
        <f>INDEX(Reference!$T$23:$AB$33,AB64,AD64)</f>
        <v>#VALUE!</v>
      </c>
      <c r="AK64" s="482" t="e">
        <f>INDEX(Reference!$T$23:$AB$33,AB64,AE64)</f>
        <v>#VALUE!</v>
      </c>
      <c r="AL64" s="482" t="e">
        <f>INDEX(Reference!$T$23:$AB$33,AC64,AD64)</f>
        <v>#VALUE!</v>
      </c>
      <c r="AM64" s="482" t="e">
        <f>INDEX(Reference!$T$23:$AB$33,AC64,AE64)</f>
        <v>#VALUE!</v>
      </c>
      <c r="AN64" s="483" t="e">
        <f>INDEX(Reference!$S$7:$S$17,AB64,1)</f>
        <v>#VALUE!</v>
      </c>
      <c r="AO64" s="483" t="e">
        <f>INDEX(Reference!$S$7:$S$17,AC64,1)</f>
        <v>#VALUE!</v>
      </c>
      <c r="AP64" s="484" t="e">
        <f>INDEX(Reference!$T$6:$AB$6,1,AD64)</f>
        <v>#VALUE!</v>
      </c>
      <c r="AQ64" s="484" t="e">
        <f>INDEX(Reference!$T$6:$AB$6,1,AE64)</f>
        <v>#VALUE!</v>
      </c>
      <c r="AR64" s="629" t="e">
        <f t="shared" si="30"/>
        <v>#VALUE!</v>
      </c>
      <c r="AS64" s="629" t="e">
        <f t="shared" si="31"/>
        <v>#VALUE!</v>
      </c>
      <c r="AT64" s="629" t="e">
        <f t="shared" si="32"/>
        <v>#VALUE!</v>
      </c>
      <c r="AU64" s="629" t="e">
        <f t="shared" si="33"/>
        <v>#VALUE!</v>
      </c>
      <c r="AV64" s="629" t="e">
        <f t="shared" si="34"/>
        <v>#VALUE!</v>
      </c>
      <c r="AW64" s="630" t="e">
        <f t="shared" si="35"/>
        <v>#VALUE!</v>
      </c>
      <c r="AZ64" s="489" t="str">
        <f t="shared" si="36"/>
        <v/>
      </c>
      <c r="BA64" s="631" t="e">
        <f t="shared" si="12"/>
        <v>#VALUE!</v>
      </c>
      <c r="BB64" s="491" t="e">
        <f t="shared" si="12"/>
        <v>#VALUE!</v>
      </c>
      <c r="BC64" s="491" t="e">
        <f t="shared" si="12"/>
        <v>#VALUE!</v>
      </c>
      <c r="BD64" s="491" t="e">
        <f t="shared" si="12"/>
        <v>#VALUE!</v>
      </c>
      <c r="BE64" s="491" t="e">
        <f t="shared" si="12"/>
        <v>#VALUE!</v>
      </c>
      <c r="BF64" s="491" t="e">
        <f t="shared" si="12"/>
        <v>#VALUE!</v>
      </c>
      <c r="BG64" s="491" t="e">
        <f t="shared" si="12"/>
        <v>#VALUE!</v>
      </c>
      <c r="BH64" s="491" t="e">
        <f t="shared" si="12"/>
        <v>#VALUE!</v>
      </c>
      <c r="BI64" s="491" t="e">
        <f t="shared" si="12"/>
        <v>#VALUE!</v>
      </c>
      <c r="BJ64" s="491" t="e">
        <f t="shared" si="12"/>
        <v>#VALUE!</v>
      </c>
      <c r="BK64" s="400">
        <f t="shared" si="37"/>
        <v>14</v>
      </c>
      <c r="BL64" s="491" t="e">
        <f t="shared" si="38"/>
        <v>#VALUE!</v>
      </c>
      <c r="BM64" s="491" t="e">
        <f t="shared" si="38"/>
        <v>#VALUE!</v>
      </c>
      <c r="BN64" s="491" t="e">
        <f t="shared" si="38"/>
        <v>#VALUE!</v>
      </c>
      <c r="BO64" s="491" t="e">
        <f t="shared" si="38"/>
        <v>#VALUE!</v>
      </c>
      <c r="BP64" s="622" t="e">
        <f t="shared" si="39"/>
        <v>#VALUE!</v>
      </c>
      <c r="BQ64" s="274" t="e">
        <f>IF(L64="","Column",IF(OR(C64&lt;MAX(ColSpa1,Geometry!$J$107),C64&gt;MAX(MAX(Geometry!$I$107:$I$116),MAX(Geometry!$J$107:$J$116))),MIN(6,INDEX($O$45:$O$48,MATCH(L64,$O$45:$O$48,1),1)),INDEX($O$45:$O$48,MATCH(L64,$O$45:$O$48,1),1)))</f>
        <v>#VALUE!</v>
      </c>
    </row>
    <row r="65" spans="1:69">
      <c r="A65" s="339"/>
      <c r="B65" s="96" t="e">
        <f>IF(MIN(ABS(C65-INDEX(Geometry!$Q$104:$Q$113,IF(ISERROR(MATCH(C65,Geometry!$Q$104:$Q$113,1)),1,MATCH(C65,Geometry!$Q$104:$Q$113,1)),1)),ABS(C65-INDEX(Geometry!$Q$104:$Q$113,IF(ISERROR(MAX(11-MATCH(C65,Geometry!$R$104:$R$113,-1),1)),1,MAX(11-MATCH(C65,Geometry!$R$104:$R$113,-1),1)),1)))&lt;(halfeffectiveface/12),"#","")</f>
        <v>#VALUE!</v>
      </c>
      <c r="C65" s="96" t="str">
        <f>'CAP18 Out(1)'!D23</f>
        <v/>
      </c>
      <c r="D65" s="184" t="str">
        <f>'CAP18 Out(1)'!M23</f>
        <v/>
      </c>
      <c r="E65" s="179" t="e">
        <f t="shared" si="13"/>
        <v>#VALUE!</v>
      </c>
      <c r="F65" s="87" t="e">
        <f t="shared" si="14"/>
        <v>#VALUE!</v>
      </c>
      <c r="G65" s="87" t="e">
        <f t="shared" si="15"/>
        <v>#VALUE!</v>
      </c>
      <c r="H65" s="185" t="e">
        <f t="shared" si="16"/>
        <v>#VALUE!</v>
      </c>
      <c r="I65" s="184" t="e">
        <f t="shared" si="17"/>
        <v>#VALUE!</v>
      </c>
      <c r="J65" s="184">
        <f t="shared" si="18"/>
        <v>0</v>
      </c>
      <c r="K65" s="184">
        <f t="shared" si="19"/>
        <v>0</v>
      </c>
      <c r="L65" s="296" t="e">
        <f t="shared" si="20"/>
        <v>#VALUE!</v>
      </c>
      <c r="M65" s="294" t="e">
        <f>IF(L65="Column","",IF(OR(C65&lt;MAX(ColSpa1,Geometry!$J$107),C65&gt;MAX(MAX(Geometry!$I$107:$I$116),MAX(Geometry!$J$107:$J$116))),"OH - 6''",""))</f>
        <v>#VALUE!</v>
      </c>
      <c r="N65" s="1053">
        <v>36.4</v>
      </c>
      <c r="O65" s="489">
        <f t="shared" si="21"/>
        <v>0</v>
      </c>
      <c r="P65" s="489">
        <f t="shared" si="22"/>
        <v>0</v>
      </c>
      <c r="Q65" s="400" t="e">
        <f>'CAP18 Out(1)'!I23</f>
        <v>#VALUE!</v>
      </c>
      <c r="R65" s="400" t="e">
        <f>'CAP18 Out(1)'!J23</f>
        <v>#VALUE!</v>
      </c>
      <c r="S65" s="400" t="e">
        <f>IF(E65=ABS(Q65),VLOOKUP('Bars B'!$F$10,BarTable,4,FALSE)/12,1.3*VLOOKUP('Bars A'!$F$10,BarTable,4,FALSE)/12)</f>
        <v>#VALUE!</v>
      </c>
      <c r="T65" s="626" t="e">
        <f t="shared" si="23"/>
        <v>#VALUE!</v>
      </c>
      <c r="U65" s="489" t="e">
        <f>IF(T65&gt;S65,IF(E65=ABS(R65),'Bars A'!$I$13,'Bars B'!$I$13),0.0000000001)</f>
        <v>#VALUE!</v>
      </c>
      <c r="V65" s="483" t="e">
        <f t="shared" si="24"/>
        <v>#VALUE!</v>
      </c>
      <c r="W65" s="627" t="e">
        <f t="shared" si="25"/>
        <v>#VALUE!</v>
      </c>
      <c r="X65" s="628" t="e">
        <f t="shared" si="26"/>
        <v>#VALUE!</v>
      </c>
      <c r="Y65" s="489" t="e">
        <f t="shared" si="27"/>
        <v>#VALUE!</v>
      </c>
      <c r="Z65" s="629" t="e">
        <f t="shared" si="28"/>
        <v>#VALUE!</v>
      </c>
      <c r="AA65" s="626" t="e">
        <f t="shared" si="29"/>
        <v>#VALUE!</v>
      </c>
      <c r="AB65" s="481" t="e">
        <f>MATCH(V65,Reference!$S$7:$S$17,1)</f>
        <v>#VALUE!</v>
      </c>
      <c r="AC65" s="1388" t="e">
        <f>12-MATCH(V65,Reference!$AD$6:$AD$16,-1)</f>
        <v>#VALUE!</v>
      </c>
      <c r="AD65" s="482" t="e">
        <f>MATCH(X65,Reference!$T$6:$AB$6,1)</f>
        <v>#VALUE!</v>
      </c>
      <c r="AE65" s="482" t="e">
        <f>10-MATCH(X65,Reference!$AD$18:$AL$18,-1)</f>
        <v>#VALUE!</v>
      </c>
      <c r="AF65" s="482" t="e">
        <f>INDEX(Reference!$T$7:$AB$17,AB65,AD65)</f>
        <v>#VALUE!</v>
      </c>
      <c r="AG65" s="482" t="e">
        <f>INDEX(Reference!$T$7:$AB$17,AB65,AE65)</f>
        <v>#VALUE!</v>
      </c>
      <c r="AH65" s="482" t="e">
        <f>INDEX(Reference!$T$7:$AB$17,AC65,AD65)</f>
        <v>#VALUE!</v>
      </c>
      <c r="AI65" s="482" t="e">
        <f>INDEX(Reference!$T$7:$AB$17,AC65,AE65)</f>
        <v>#VALUE!</v>
      </c>
      <c r="AJ65" s="482" t="e">
        <f>INDEX(Reference!$T$23:$AB$33,AB65,AD65)</f>
        <v>#VALUE!</v>
      </c>
      <c r="AK65" s="482" t="e">
        <f>INDEX(Reference!$T$23:$AB$33,AB65,AE65)</f>
        <v>#VALUE!</v>
      </c>
      <c r="AL65" s="482" t="e">
        <f>INDEX(Reference!$T$23:$AB$33,AC65,AD65)</f>
        <v>#VALUE!</v>
      </c>
      <c r="AM65" s="482" t="e">
        <f>INDEX(Reference!$T$23:$AB$33,AC65,AE65)</f>
        <v>#VALUE!</v>
      </c>
      <c r="AN65" s="483" t="e">
        <f>INDEX(Reference!$S$7:$S$17,AB65,1)</f>
        <v>#VALUE!</v>
      </c>
      <c r="AO65" s="483" t="e">
        <f>INDEX(Reference!$S$7:$S$17,AC65,1)</f>
        <v>#VALUE!</v>
      </c>
      <c r="AP65" s="484" t="e">
        <f>INDEX(Reference!$T$6:$AB$6,1,AD65)</f>
        <v>#VALUE!</v>
      </c>
      <c r="AQ65" s="484" t="e">
        <f>INDEX(Reference!$T$6:$AB$6,1,AE65)</f>
        <v>#VALUE!</v>
      </c>
      <c r="AR65" s="629" t="e">
        <f t="shared" si="30"/>
        <v>#VALUE!</v>
      </c>
      <c r="AS65" s="629" t="e">
        <f t="shared" si="31"/>
        <v>#VALUE!</v>
      </c>
      <c r="AT65" s="629" t="e">
        <f t="shared" si="32"/>
        <v>#VALUE!</v>
      </c>
      <c r="AU65" s="629" t="e">
        <f t="shared" si="33"/>
        <v>#VALUE!</v>
      </c>
      <c r="AV65" s="629" t="e">
        <f t="shared" si="34"/>
        <v>#VALUE!</v>
      </c>
      <c r="AW65" s="630" t="e">
        <f t="shared" si="35"/>
        <v>#VALUE!</v>
      </c>
      <c r="AZ65" s="489" t="str">
        <f t="shared" si="36"/>
        <v/>
      </c>
      <c r="BA65" s="631" t="e">
        <f t="shared" si="12"/>
        <v>#VALUE!</v>
      </c>
      <c r="BB65" s="491" t="e">
        <f t="shared" si="12"/>
        <v>#VALUE!</v>
      </c>
      <c r="BC65" s="491" t="e">
        <f t="shared" si="12"/>
        <v>#VALUE!</v>
      </c>
      <c r="BD65" s="491" t="e">
        <f t="shared" si="12"/>
        <v>#VALUE!</v>
      </c>
      <c r="BE65" s="491" t="e">
        <f t="shared" si="12"/>
        <v>#VALUE!</v>
      </c>
      <c r="BF65" s="491" t="e">
        <f t="shared" si="12"/>
        <v>#VALUE!</v>
      </c>
      <c r="BG65" s="491" t="e">
        <f t="shared" si="12"/>
        <v>#VALUE!</v>
      </c>
      <c r="BH65" s="491" t="e">
        <f t="shared" si="12"/>
        <v>#VALUE!</v>
      </c>
      <c r="BI65" s="491" t="e">
        <f t="shared" si="12"/>
        <v>#VALUE!</v>
      </c>
      <c r="BJ65" s="491" t="e">
        <f t="shared" si="12"/>
        <v>#VALUE!</v>
      </c>
      <c r="BK65" s="400">
        <f t="shared" si="37"/>
        <v>15</v>
      </c>
      <c r="BL65" s="491" t="e">
        <f t="shared" si="38"/>
        <v>#VALUE!</v>
      </c>
      <c r="BM65" s="491" t="e">
        <f t="shared" si="38"/>
        <v>#VALUE!</v>
      </c>
      <c r="BN65" s="491" t="e">
        <f t="shared" si="38"/>
        <v>#VALUE!</v>
      </c>
      <c r="BO65" s="491" t="e">
        <f t="shared" si="38"/>
        <v>#VALUE!</v>
      </c>
      <c r="BP65" s="622" t="e">
        <f t="shared" si="39"/>
        <v>#VALUE!</v>
      </c>
      <c r="BQ65" s="274" t="e">
        <f>IF(L65="","Column",IF(OR(C65&lt;MAX(ColSpa1,Geometry!$J$107),C65&gt;MAX(MAX(Geometry!$I$107:$I$116),MAX(Geometry!$J$107:$J$116))),MIN(6,INDEX($O$45:$O$48,MATCH(L65,$O$45:$O$48,1),1)),INDEX($O$45:$O$48,MATCH(L65,$O$45:$O$48,1),1)))</f>
        <v>#VALUE!</v>
      </c>
    </row>
    <row r="66" spans="1:69">
      <c r="A66" s="339"/>
      <c r="B66" s="96" t="e">
        <f>IF(MIN(ABS(C66-INDEX(Geometry!$Q$104:$Q$113,IF(ISERROR(MATCH(C66,Geometry!$Q$104:$Q$113,1)),1,MATCH(C66,Geometry!$Q$104:$Q$113,1)),1)),ABS(C66-INDEX(Geometry!$Q$104:$Q$113,IF(ISERROR(MAX(11-MATCH(C66,Geometry!$R$104:$R$113,-1),1)),1,MAX(11-MATCH(C66,Geometry!$R$104:$R$113,-1),1)),1)))&lt;(halfeffectiveface/12),"#","")</f>
        <v>#VALUE!</v>
      </c>
      <c r="C66" s="96" t="str">
        <f>'CAP18 Out(1)'!D24</f>
        <v/>
      </c>
      <c r="D66" s="184" t="str">
        <f>'CAP18 Out(1)'!M24</f>
        <v/>
      </c>
      <c r="E66" s="179" t="e">
        <f t="shared" si="13"/>
        <v>#VALUE!</v>
      </c>
      <c r="F66" s="87" t="e">
        <f t="shared" si="14"/>
        <v>#VALUE!</v>
      </c>
      <c r="G66" s="87" t="e">
        <f t="shared" si="15"/>
        <v>#VALUE!</v>
      </c>
      <c r="H66" s="185" t="e">
        <f t="shared" si="16"/>
        <v>#VALUE!</v>
      </c>
      <c r="I66" s="184" t="e">
        <f t="shared" si="17"/>
        <v>#VALUE!</v>
      </c>
      <c r="J66" s="184">
        <f t="shared" si="18"/>
        <v>0</v>
      </c>
      <c r="K66" s="184">
        <f t="shared" si="19"/>
        <v>0</v>
      </c>
      <c r="L66" s="296" t="e">
        <f t="shared" si="20"/>
        <v>#VALUE!</v>
      </c>
      <c r="M66" s="294" t="e">
        <f>IF(L66="Column","",IF(OR(C66&lt;MAX(ColSpa1,Geometry!$J$107),C66&gt;MAX(MAX(Geometry!$I$107:$I$116),MAX(Geometry!$J$107:$J$116))),"OH - 6''",""))</f>
        <v>#VALUE!</v>
      </c>
      <c r="N66" s="1053">
        <v>35.683749902537279</v>
      </c>
      <c r="O66" s="489">
        <f t="shared" si="21"/>
        <v>0</v>
      </c>
      <c r="P66" s="489">
        <f t="shared" si="22"/>
        <v>0</v>
      </c>
      <c r="Q66" s="400" t="e">
        <f>'CAP18 Out(1)'!I24</f>
        <v>#VALUE!</v>
      </c>
      <c r="R66" s="400" t="e">
        <f>'CAP18 Out(1)'!J24</f>
        <v>#VALUE!</v>
      </c>
      <c r="S66" s="400" t="e">
        <f>IF(E66=ABS(Q66),VLOOKUP('Bars B'!$F$10,BarTable,4,FALSE)/12,1.3*VLOOKUP('Bars A'!$F$10,BarTable,4,FALSE)/12)</f>
        <v>#VALUE!</v>
      </c>
      <c r="T66" s="626" t="e">
        <f t="shared" si="23"/>
        <v>#VALUE!</v>
      </c>
      <c r="U66" s="489" t="e">
        <f>IF(T66&gt;S66,IF(E66=ABS(R66),'Bars A'!$I$13,'Bars B'!$I$13),0.0000000001)</f>
        <v>#VALUE!</v>
      </c>
      <c r="V66" s="483" t="e">
        <f t="shared" si="24"/>
        <v>#VALUE!</v>
      </c>
      <c r="W66" s="627" t="e">
        <f t="shared" si="25"/>
        <v>#VALUE!</v>
      </c>
      <c r="X66" s="628" t="e">
        <f t="shared" si="26"/>
        <v>#VALUE!</v>
      </c>
      <c r="Y66" s="489" t="e">
        <f t="shared" si="27"/>
        <v>#VALUE!</v>
      </c>
      <c r="Z66" s="629" t="e">
        <f t="shared" si="28"/>
        <v>#VALUE!</v>
      </c>
      <c r="AA66" s="626" t="e">
        <f t="shared" si="29"/>
        <v>#VALUE!</v>
      </c>
      <c r="AB66" s="481" t="e">
        <f>MATCH(V66,Reference!$S$7:$S$17,1)</f>
        <v>#VALUE!</v>
      </c>
      <c r="AC66" s="1388" t="e">
        <f>12-MATCH(V66,Reference!$AD$6:$AD$16,-1)</f>
        <v>#VALUE!</v>
      </c>
      <c r="AD66" s="482" t="e">
        <f>MATCH(X66,Reference!$T$6:$AB$6,1)</f>
        <v>#VALUE!</v>
      </c>
      <c r="AE66" s="482" t="e">
        <f>10-MATCH(X66,Reference!$AD$18:$AL$18,-1)</f>
        <v>#VALUE!</v>
      </c>
      <c r="AF66" s="482" t="e">
        <f>INDEX(Reference!$T$7:$AB$17,AB66,AD66)</f>
        <v>#VALUE!</v>
      </c>
      <c r="AG66" s="482" t="e">
        <f>INDEX(Reference!$T$7:$AB$17,AB66,AE66)</f>
        <v>#VALUE!</v>
      </c>
      <c r="AH66" s="482" t="e">
        <f>INDEX(Reference!$T$7:$AB$17,AC66,AD66)</f>
        <v>#VALUE!</v>
      </c>
      <c r="AI66" s="482" t="e">
        <f>INDEX(Reference!$T$7:$AB$17,AC66,AE66)</f>
        <v>#VALUE!</v>
      </c>
      <c r="AJ66" s="482" t="e">
        <f>INDEX(Reference!$T$23:$AB$33,AB66,AD66)</f>
        <v>#VALUE!</v>
      </c>
      <c r="AK66" s="482" t="e">
        <f>INDEX(Reference!$T$23:$AB$33,AB66,AE66)</f>
        <v>#VALUE!</v>
      </c>
      <c r="AL66" s="482" t="e">
        <f>INDEX(Reference!$T$23:$AB$33,AC66,AD66)</f>
        <v>#VALUE!</v>
      </c>
      <c r="AM66" s="482" t="e">
        <f>INDEX(Reference!$T$23:$AB$33,AC66,AE66)</f>
        <v>#VALUE!</v>
      </c>
      <c r="AN66" s="483" t="e">
        <f>INDEX(Reference!$S$7:$S$17,AB66,1)</f>
        <v>#VALUE!</v>
      </c>
      <c r="AO66" s="483" t="e">
        <f>INDEX(Reference!$S$7:$S$17,AC66,1)</f>
        <v>#VALUE!</v>
      </c>
      <c r="AP66" s="484" t="e">
        <f>INDEX(Reference!$T$6:$AB$6,1,AD66)</f>
        <v>#VALUE!</v>
      </c>
      <c r="AQ66" s="484" t="e">
        <f>INDEX(Reference!$T$6:$AB$6,1,AE66)</f>
        <v>#VALUE!</v>
      </c>
      <c r="AR66" s="629" t="e">
        <f t="shared" si="30"/>
        <v>#VALUE!</v>
      </c>
      <c r="AS66" s="629" t="e">
        <f t="shared" si="31"/>
        <v>#VALUE!</v>
      </c>
      <c r="AT66" s="629" t="e">
        <f t="shared" si="32"/>
        <v>#VALUE!</v>
      </c>
      <c r="AU66" s="629" t="e">
        <f t="shared" si="33"/>
        <v>#VALUE!</v>
      </c>
      <c r="AV66" s="629" t="e">
        <f t="shared" si="34"/>
        <v>#VALUE!</v>
      </c>
      <c r="AW66" s="630" t="e">
        <f t="shared" si="35"/>
        <v>#VALUE!</v>
      </c>
      <c r="AZ66" s="489" t="str">
        <f t="shared" si="36"/>
        <v/>
      </c>
      <c r="BA66" s="631" t="e">
        <f t="shared" si="12"/>
        <v>#VALUE!</v>
      </c>
      <c r="BB66" s="491" t="e">
        <f t="shared" si="12"/>
        <v>#VALUE!</v>
      </c>
      <c r="BC66" s="491" t="e">
        <f t="shared" si="12"/>
        <v>#VALUE!</v>
      </c>
      <c r="BD66" s="491" t="e">
        <f t="shared" si="12"/>
        <v>#VALUE!</v>
      </c>
      <c r="BE66" s="491" t="e">
        <f t="shared" si="12"/>
        <v>#VALUE!</v>
      </c>
      <c r="BF66" s="491" t="e">
        <f t="shared" si="12"/>
        <v>#VALUE!</v>
      </c>
      <c r="BG66" s="491" t="e">
        <f t="shared" si="12"/>
        <v>#VALUE!</v>
      </c>
      <c r="BH66" s="491" t="e">
        <f t="shared" si="12"/>
        <v>#VALUE!</v>
      </c>
      <c r="BI66" s="491" t="e">
        <f t="shared" si="12"/>
        <v>#VALUE!</v>
      </c>
      <c r="BJ66" s="491" t="e">
        <f t="shared" si="12"/>
        <v>#VALUE!</v>
      </c>
      <c r="BK66" s="400">
        <f t="shared" si="37"/>
        <v>16</v>
      </c>
      <c r="BL66" s="491" t="e">
        <f t="shared" si="38"/>
        <v>#VALUE!</v>
      </c>
      <c r="BM66" s="491" t="e">
        <f t="shared" si="38"/>
        <v>#VALUE!</v>
      </c>
      <c r="BN66" s="491" t="e">
        <f t="shared" si="38"/>
        <v>#VALUE!</v>
      </c>
      <c r="BO66" s="491" t="e">
        <f t="shared" si="38"/>
        <v>#VALUE!</v>
      </c>
      <c r="BP66" s="622" t="e">
        <f t="shared" si="39"/>
        <v>#VALUE!</v>
      </c>
      <c r="BQ66" s="274" t="e">
        <f>IF(L66="","Column",IF(OR(C66&lt;MAX(ColSpa1,Geometry!$J$107),C66&gt;MAX(MAX(Geometry!$I$107:$I$116),MAX(Geometry!$J$107:$J$116))),MIN(6,INDEX($O$45:$O$48,MATCH(L66,$O$45:$O$48,1),1)),INDEX($O$45:$O$48,MATCH(L66,$O$45:$O$48,1),1)))</f>
        <v>#VALUE!</v>
      </c>
    </row>
    <row r="67" spans="1:69">
      <c r="A67" s="339"/>
      <c r="B67" s="96" t="e">
        <f>IF(MIN(ABS(C67-INDEX(Geometry!$Q$104:$Q$113,IF(ISERROR(MATCH(C67,Geometry!$Q$104:$Q$113,1)),1,MATCH(C67,Geometry!$Q$104:$Q$113,1)),1)),ABS(C67-INDEX(Geometry!$Q$104:$Q$113,IF(ISERROR(MAX(11-MATCH(C67,Geometry!$R$104:$R$113,-1),1)),1,MAX(11-MATCH(C67,Geometry!$R$104:$R$113,-1),1)),1)))&lt;(halfeffectiveface/12),"#","")</f>
        <v>#VALUE!</v>
      </c>
      <c r="C67" s="96" t="str">
        <f>'CAP18 Out(1)'!D25</f>
        <v/>
      </c>
      <c r="D67" s="184" t="str">
        <f>'CAP18 Out(1)'!M25</f>
        <v/>
      </c>
      <c r="E67" s="179" t="e">
        <f t="shared" si="13"/>
        <v>#VALUE!</v>
      </c>
      <c r="F67" s="87" t="e">
        <f t="shared" si="14"/>
        <v>#VALUE!</v>
      </c>
      <c r="G67" s="87" t="e">
        <f t="shared" si="15"/>
        <v>#VALUE!</v>
      </c>
      <c r="H67" s="185" t="e">
        <f t="shared" si="16"/>
        <v>#VALUE!</v>
      </c>
      <c r="I67" s="184" t="e">
        <f t="shared" si="17"/>
        <v>#VALUE!</v>
      </c>
      <c r="J67" s="184">
        <f t="shared" si="18"/>
        <v>0</v>
      </c>
      <c r="K67" s="184">
        <f t="shared" si="19"/>
        <v>0</v>
      </c>
      <c r="L67" s="296" t="e">
        <f t="shared" si="20"/>
        <v>#VALUE!</v>
      </c>
      <c r="M67" s="294" t="e">
        <f>IF(L67="Column","",IF(OR(C67&lt;MAX(ColSpa1,Geometry!$J$107),C67&gt;MAX(MAX(Geometry!$I$107:$I$116),MAX(Geometry!$J$107:$J$116))),"OH - 6''",""))</f>
        <v>#VALUE!</v>
      </c>
      <c r="N67" s="1053">
        <v>35.722357770939624</v>
      </c>
      <c r="O67" s="489">
        <f t="shared" si="21"/>
        <v>0</v>
      </c>
      <c r="P67" s="489">
        <f t="shared" si="22"/>
        <v>0</v>
      </c>
      <c r="Q67" s="400" t="e">
        <f>'CAP18 Out(1)'!I25</f>
        <v>#VALUE!</v>
      </c>
      <c r="R67" s="400" t="e">
        <f>'CAP18 Out(1)'!J25</f>
        <v>#VALUE!</v>
      </c>
      <c r="S67" s="400" t="e">
        <f>IF(E67=ABS(Q67),VLOOKUP('Bars B'!$F$10,BarTable,4,FALSE)/12,1.3*VLOOKUP('Bars A'!$F$10,BarTable,4,FALSE)/12)</f>
        <v>#VALUE!</v>
      </c>
      <c r="T67" s="626" t="e">
        <f t="shared" si="23"/>
        <v>#VALUE!</v>
      </c>
      <c r="U67" s="489" t="e">
        <f>IF(T67&gt;S67,IF(E67=ABS(R67),'Bars A'!$I$13,'Bars B'!$I$13),0.0000000001)</f>
        <v>#VALUE!</v>
      </c>
      <c r="V67" s="483" t="e">
        <f t="shared" si="24"/>
        <v>#VALUE!</v>
      </c>
      <c r="W67" s="627" t="e">
        <f t="shared" si="25"/>
        <v>#VALUE!</v>
      </c>
      <c r="X67" s="628" t="e">
        <f t="shared" si="26"/>
        <v>#VALUE!</v>
      </c>
      <c r="Y67" s="489" t="e">
        <f t="shared" si="27"/>
        <v>#VALUE!</v>
      </c>
      <c r="Z67" s="629" t="e">
        <f t="shared" si="28"/>
        <v>#VALUE!</v>
      </c>
      <c r="AA67" s="626" t="e">
        <f t="shared" si="29"/>
        <v>#VALUE!</v>
      </c>
      <c r="AB67" s="481" t="e">
        <f>MATCH(V67,Reference!$S$7:$S$17,1)</f>
        <v>#VALUE!</v>
      </c>
      <c r="AC67" s="1388" t="e">
        <f>12-MATCH(V67,Reference!$AD$6:$AD$16,-1)</f>
        <v>#VALUE!</v>
      </c>
      <c r="AD67" s="482" t="e">
        <f>MATCH(X67,Reference!$T$6:$AB$6,1)</f>
        <v>#VALUE!</v>
      </c>
      <c r="AE67" s="482" t="e">
        <f>10-MATCH(X67,Reference!$AD$18:$AL$18,-1)</f>
        <v>#VALUE!</v>
      </c>
      <c r="AF67" s="482" t="e">
        <f>INDEX(Reference!$T$7:$AB$17,AB67,AD67)</f>
        <v>#VALUE!</v>
      </c>
      <c r="AG67" s="482" t="e">
        <f>INDEX(Reference!$T$7:$AB$17,AB67,AE67)</f>
        <v>#VALUE!</v>
      </c>
      <c r="AH67" s="482" t="e">
        <f>INDEX(Reference!$T$7:$AB$17,AC67,AD67)</f>
        <v>#VALUE!</v>
      </c>
      <c r="AI67" s="482" t="e">
        <f>INDEX(Reference!$T$7:$AB$17,AC67,AE67)</f>
        <v>#VALUE!</v>
      </c>
      <c r="AJ67" s="482" t="e">
        <f>INDEX(Reference!$T$23:$AB$33,AB67,AD67)</f>
        <v>#VALUE!</v>
      </c>
      <c r="AK67" s="482" t="e">
        <f>INDEX(Reference!$T$23:$AB$33,AB67,AE67)</f>
        <v>#VALUE!</v>
      </c>
      <c r="AL67" s="482" t="e">
        <f>INDEX(Reference!$T$23:$AB$33,AC67,AD67)</f>
        <v>#VALUE!</v>
      </c>
      <c r="AM67" s="482" t="e">
        <f>INDEX(Reference!$T$23:$AB$33,AC67,AE67)</f>
        <v>#VALUE!</v>
      </c>
      <c r="AN67" s="483" t="e">
        <f>INDEX(Reference!$S$7:$S$17,AB67,1)</f>
        <v>#VALUE!</v>
      </c>
      <c r="AO67" s="483" t="e">
        <f>INDEX(Reference!$S$7:$S$17,AC67,1)</f>
        <v>#VALUE!</v>
      </c>
      <c r="AP67" s="484" t="e">
        <f>INDEX(Reference!$T$6:$AB$6,1,AD67)</f>
        <v>#VALUE!</v>
      </c>
      <c r="AQ67" s="484" t="e">
        <f>INDEX(Reference!$T$6:$AB$6,1,AE67)</f>
        <v>#VALUE!</v>
      </c>
      <c r="AR67" s="629" t="e">
        <f t="shared" si="30"/>
        <v>#VALUE!</v>
      </c>
      <c r="AS67" s="629" t="e">
        <f t="shared" si="31"/>
        <v>#VALUE!</v>
      </c>
      <c r="AT67" s="629" t="e">
        <f t="shared" si="32"/>
        <v>#VALUE!</v>
      </c>
      <c r="AU67" s="629" t="e">
        <f t="shared" si="33"/>
        <v>#VALUE!</v>
      </c>
      <c r="AV67" s="629" t="e">
        <f t="shared" si="34"/>
        <v>#VALUE!</v>
      </c>
      <c r="AW67" s="630" t="e">
        <f t="shared" si="35"/>
        <v>#VALUE!</v>
      </c>
      <c r="AZ67" s="489" t="str">
        <f t="shared" si="36"/>
        <v/>
      </c>
      <c r="BA67" s="631" t="e">
        <f t="shared" si="12"/>
        <v>#VALUE!</v>
      </c>
      <c r="BB67" s="491" t="e">
        <f t="shared" si="12"/>
        <v>#VALUE!</v>
      </c>
      <c r="BC67" s="491" t="e">
        <f t="shared" si="12"/>
        <v>#VALUE!</v>
      </c>
      <c r="BD67" s="491" t="e">
        <f t="shared" si="12"/>
        <v>#VALUE!</v>
      </c>
      <c r="BE67" s="491" t="e">
        <f t="shared" si="12"/>
        <v>#VALUE!</v>
      </c>
      <c r="BF67" s="491" t="e">
        <f t="shared" si="12"/>
        <v>#VALUE!</v>
      </c>
      <c r="BG67" s="491" t="e">
        <f t="shared" si="12"/>
        <v>#VALUE!</v>
      </c>
      <c r="BH67" s="491" t="e">
        <f t="shared" si="12"/>
        <v>#VALUE!</v>
      </c>
      <c r="BI67" s="491" t="e">
        <f t="shared" si="12"/>
        <v>#VALUE!</v>
      </c>
      <c r="BJ67" s="491" t="e">
        <f t="shared" si="12"/>
        <v>#VALUE!</v>
      </c>
      <c r="BK67" s="400">
        <f t="shared" si="37"/>
        <v>17</v>
      </c>
      <c r="BL67" s="491" t="e">
        <f t="shared" si="38"/>
        <v>#VALUE!</v>
      </c>
      <c r="BM67" s="491" t="e">
        <f t="shared" si="38"/>
        <v>#VALUE!</v>
      </c>
      <c r="BN67" s="491" t="e">
        <f t="shared" si="38"/>
        <v>#VALUE!</v>
      </c>
      <c r="BO67" s="491" t="e">
        <f t="shared" si="38"/>
        <v>#VALUE!</v>
      </c>
      <c r="BP67" s="622" t="e">
        <f t="shared" si="39"/>
        <v>#VALUE!</v>
      </c>
      <c r="BQ67" s="274" t="e">
        <f>IF(L67="","Column",IF(OR(C67&lt;MAX(ColSpa1,Geometry!$J$107),C67&gt;MAX(MAX(Geometry!$I$107:$I$116),MAX(Geometry!$J$107:$J$116))),MIN(6,INDEX($O$45:$O$48,MATCH(L67,$O$45:$O$48,1),1)),INDEX($O$45:$O$48,MATCH(L67,$O$45:$O$48,1),1)))</f>
        <v>#VALUE!</v>
      </c>
    </row>
    <row r="68" spans="1:69">
      <c r="A68" s="339"/>
      <c r="B68" s="96" t="e">
        <f>IF(MIN(ABS(C68-INDEX(Geometry!$Q$104:$Q$113,IF(ISERROR(MATCH(C68,Geometry!$Q$104:$Q$113,1)),1,MATCH(C68,Geometry!$Q$104:$Q$113,1)),1)),ABS(C68-INDEX(Geometry!$Q$104:$Q$113,IF(ISERROR(MAX(11-MATCH(C68,Geometry!$R$104:$R$113,-1),1)),1,MAX(11-MATCH(C68,Geometry!$R$104:$R$113,-1),1)),1)))&lt;(halfeffectiveface/12),"#","")</f>
        <v>#VALUE!</v>
      </c>
      <c r="C68" s="96" t="str">
        <f>'CAP18 Out(1)'!D26</f>
        <v/>
      </c>
      <c r="D68" s="184" t="str">
        <f>'CAP18 Out(1)'!M26</f>
        <v/>
      </c>
      <c r="E68" s="179" t="e">
        <f t="shared" si="13"/>
        <v>#VALUE!</v>
      </c>
      <c r="F68" s="87" t="e">
        <f t="shared" si="14"/>
        <v>#VALUE!</v>
      </c>
      <c r="G68" s="87" t="e">
        <f t="shared" si="15"/>
        <v>#VALUE!</v>
      </c>
      <c r="H68" s="185" t="e">
        <f t="shared" si="16"/>
        <v>#VALUE!</v>
      </c>
      <c r="I68" s="184" t="e">
        <f t="shared" si="17"/>
        <v>#VALUE!</v>
      </c>
      <c r="J68" s="184">
        <f t="shared" si="18"/>
        <v>0</v>
      </c>
      <c r="K68" s="184">
        <f t="shared" si="19"/>
        <v>0</v>
      </c>
      <c r="L68" s="296" t="e">
        <f t="shared" si="20"/>
        <v>#VALUE!</v>
      </c>
      <c r="M68" s="294" t="e">
        <f>IF(L68="Column","",IF(OR(C68&lt;MAX(ColSpa1,Geometry!$J$107),C68&gt;MAX(MAX(Geometry!$I$107:$I$116),MAX(Geometry!$J$107:$J$116))),"OH - 6''",""))</f>
        <v>#VALUE!</v>
      </c>
      <c r="N68" s="1053">
        <v>35.760924529724981</v>
      </c>
      <c r="O68" s="489">
        <f t="shared" si="21"/>
        <v>0</v>
      </c>
      <c r="P68" s="489">
        <f t="shared" si="22"/>
        <v>0</v>
      </c>
      <c r="Q68" s="400" t="e">
        <f>'CAP18 Out(1)'!I26</f>
        <v>#VALUE!</v>
      </c>
      <c r="R68" s="400" t="e">
        <f>'CAP18 Out(1)'!J26</f>
        <v>#VALUE!</v>
      </c>
      <c r="S68" s="400" t="e">
        <f>IF(E68=ABS(Q68),VLOOKUP('Bars B'!$F$10,BarTable,4,FALSE)/12,1.3*VLOOKUP('Bars A'!$F$10,BarTable,4,FALSE)/12)</f>
        <v>#VALUE!</v>
      </c>
      <c r="T68" s="626" t="e">
        <f t="shared" si="23"/>
        <v>#VALUE!</v>
      </c>
      <c r="U68" s="489" t="e">
        <f>IF(T68&gt;S68,IF(E68=ABS(R68),'Bars A'!$I$13,'Bars B'!$I$13),0.0000000001)</f>
        <v>#VALUE!</v>
      </c>
      <c r="V68" s="483" t="e">
        <f t="shared" si="24"/>
        <v>#VALUE!</v>
      </c>
      <c r="W68" s="627" t="e">
        <f t="shared" si="25"/>
        <v>#VALUE!</v>
      </c>
      <c r="X68" s="628" t="e">
        <f t="shared" si="26"/>
        <v>#VALUE!</v>
      </c>
      <c r="Y68" s="489" t="e">
        <f t="shared" si="27"/>
        <v>#VALUE!</v>
      </c>
      <c r="Z68" s="629" t="e">
        <f t="shared" si="28"/>
        <v>#VALUE!</v>
      </c>
      <c r="AA68" s="626" t="e">
        <f t="shared" si="29"/>
        <v>#VALUE!</v>
      </c>
      <c r="AB68" s="481" t="e">
        <f>MATCH(V68,Reference!$S$7:$S$17,1)</f>
        <v>#VALUE!</v>
      </c>
      <c r="AC68" s="1388" t="e">
        <f>12-MATCH(V68,Reference!$AD$6:$AD$16,-1)</f>
        <v>#VALUE!</v>
      </c>
      <c r="AD68" s="482" t="e">
        <f>MATCH(X68,Reference!$T$6:$AB$6,1)</f>
        <v>#VALUE!</v>
      </c>
      <c r="AE68" s="482" t="e">
        <f>10-MATCH(X68,Reference!$AD$18:$AL$18,-1)</f>
        <v>#VALUE!</v>
      </c>
      <c r="AF68" s="482" t="e">
        <f>INDEX(Reference!$T$7:$AB$17,AB68,AD68)</f>
        <v>#VALUE!</v>
      </c>
      <c r="AG68" s="482" t="e">
        <f>INDEX(Reference!$T$7:$AB$17,AB68,AE68)</f>
        <v>#VALUE!</v>
      </c>
      <c r="AH68" s="482" t="e">
        <f>INDEX(Reference!$T$7:$AB$17,AC68,AD68)</f>
        <v>#VALUE!</v>
      </c>
      <c r="AI68" s="482" t="e">
        <f>INDEX(Reference!$T$7:$AB$17,AC68,AE68)</f>
        <v>#VALUE!</v>
      </c>
      <c r="AJ68" s="482" t="e">
        <f>INDEX(Reference!$T$23:$AB$33,AB68,AD68)</f>
        <v>#VALUE!</v>
      </c>
      <c r="AK68" s="482" t="e">
        <f>INDEX(Reference!$T$23:$AB$33,AB68,AE68)</f>
        <v>#VALUE!</v>
      </c>
      <c r="AL68" s="482" t="e">
        <f>INDEX(Reference!$T$23:$AB$33,AC68,AD68)</f>
        <v>#VALUE!</v>
      </c>
      <c r="AM68" s="482" t="e">
        <f>INDEX(Reference!$T$23:$AB$33,AC68,AE68)</f>
        <v>#VALUE!</v>
      </c>
      <c r="AN68" s="483" t="e">
        <f>INDEX(Reference!$S$7:$S$17,AB68,1)</f>
        <v>#VALUE!</v>
      </c>
      <c r="AO68" s="483" t="e">
        <f>INDEX(Reference!$S$7:$S$17,AC68,1)</f>
        <v>#VALUE!</v>
      </c>
      <c r="AP68" s="484" t="e">
        <f>INDEX(Reference!$T$6:$AB$6,1,AD68)</f>
        <v>#VALUE!</v>
      </c>
      <c r="AQ68" s="484" t="e">
        <f>INDEX(Reference!$T$6:$AB$6,1,AE68)</f>
        <v>#VALUE!</v>
      </c>
      <c r="AR68" s="629" t="e">
        <f t="shared" si="30"/>
        <v>#VALUE!</v>
      </c>
      <c r="AS68" s="629" t="e">
        <f t="shared" si="31"/>
        <v>#VALUE!</v>
      </c>
      <c r="AT68" s="629" t="e">
        <f t="shared" si="32"/>
        <v>#VALUE!</v>
      </c>
      <c r="AU68" s="629" t="e">
        <f t="shared" si="33"/>
        <v>#VALUE!</v>
      </c>
      <c r="AV68" s="629" t="e">
        <f t="shared" si="34"/>
        <v>#VALUE!</v>
      </c>
      <c r="AW68" s="630" t="e">
        <f t="shared" si="35"/>
        <v>#VALUE!</v>
      </c>
      <c r="AZ68" s="489" t="str">
        <f t="shared" si="36"/>
        <v/>
      </c>
      <c r="BA68" s="631" t="e">
        <f t="shared" si="12"/>
        <v>#VALUE!</v>
      </c>
      <c r="BB68" s="491" t="e">
        <f t="shared" si="12"/>
        <v>#VALUE!</v>
      </c>
      <c r="BC68" s="491" t="e">
        <f t="shared" si="12"/>
        <v>#VALUE!</v>
      </c>
      <c r="BD68" s="491" t="e">
        <f t="shared" si="12"/>
        <v>#VALUE!</v>
      </c>
      <c r="BE68" s="491" t="e">
        <f t="shared" si="12"/>
        <v>#VALUE!</v>
      </c>
      <c r="BF68" s="491" t="e">
        <f t="shared" si="12"/>
        <v>#VALUE!</v>
      </c>
      <c r="BG68" s="491" t="e">
        <f t="shared" si="12"/>
        <v>#VALUE!</v>
      </c>
      <c r="BH68" s="491" t="e">
        <f t="shared" si="12"/>
        <v>#VALUE!</v>
      </c>
      <c r="BI68" s="491" t="e">
        <f t="shared" si="12"/>
        <v>#VALUE!</v>
      </c>
      <c r="BJ68" s="491" t="e">
        <f t="shared" si="12"/>
        <v>#VALUE!</v>
      </c>
      <c r="BK68" s="400">
        <f t="shared" si="37"/>
        <v>18</v>
      </c>
      <c r="BL68" s="491" t="e">
        <f t="shared" si="38"/>
        <v>#VALUE!</v>
      </c>
      <c r="BM68" s="491" t="e">
        <f t="shared" si="38"/>
        <v>#VALUE!</v>
      </c>
      <c r="BN68" s="491" t="e">
        <f t="shared" si="38"/>
        <v>#VALUE!</v>
      </c>
      <c r="BO68" s="491" t="e">
        <f t="shared" si="38"/>
        <v>#VALUE!</v>
      </c>
      <c r="BP68" s="622" t="e">
        <f t="shared" si="39"/>
        <v>#VALUE!</v>
      </c>
      <c r="BQ68" s="274" t="e">
        <f>IF(L68="","Column",IF(OR(C68&lt;MAX(ColSpa1,Geometry!$J$107),C68&gt;MAX(MAX(Geometry!$I$107:$I$116),MAX(Geometry!$J$107:$J$116))),MIN(6,INDEX($O$45:$O$48,MATCH(L68,$O$45:$O$48,1),1)),INDEX($O$45:$O$48,MATCH(L68,$O$45:$O$48,1),1)))</f>
        <v>#VALUE!</v>
      </c>
    </row>
    <row r="69" spans="1:69">
      <c r="A69" s="339"/>
      <c r="B69" s="96" t="e">
        <f>IF(MIN(ABS(C69-INDEX(Geometry!$Q$104:$Q$113,IF(ISERROR(MATCH(C69,Geometry!$Q$104:$Q$113,1)),1,MATCH(C69,Geometry!$Q$104:$Q$113,1)),1)),ABS(C69-INDEX(Geometry!$Q$104:$Q$113,IF(ISERROR(MAX(11-MATCH(C69,Geometry!$R$104:$R$113,-1),1)),1,MAX(11-MATCH(C69,Geometry!$R$104:$R$113,-1),1)),1)))&lt;(halfeffectiveface/12),"#","")</f>
        <v>#VALUE!</v>
      </c>
      <c r="C69" s="96" t="str">
        <f>'CAP18 Out(1)'!D27</f>
        <v/>
      </c>
      <c r="D69" s="184" t="str">
        <f>'CAP18 Out(1)'!M27</f>
        <v/>
      </c>
      <c r="E69" s="179" t="e">
        <f t="shared" si="13"/>
        <v>#VALUE!</v>
      </c>
      <c r="F69" s="87" t="e">
        <f t="shared" si="14"/>
        <v>#VALUE!</v>
      </c>
      <c r="G69" s="87" t="e">
        <f t="shared" si="15"/>
        <v>#VALUE!</v>
      </c>
      <c r="H69" s="185" t="e">
        <f t="shared" si="16"/>
        <v>#VALUE!</v>
      </c>
      <c r="I69" s="184" t="e">
        <f t="shared" si="17"/>
        <v>#VALUE!</v>
      </c>
      <c r="J69" s="184">
        <f t="shared" si="18"/>
        <v>0</v>
      </c>
      <c r="K69" s="184">
        <f t="shared" si="19"/>
        <v>0</v>
      </c>
      <c r="L69" s="296" t="e">
        <f t="shared" si="20"/>
        <v>#VALUE!</v>
      </c>
      <c r="M69" s="294" t="e">
        <f>IF(L69="Column","",IF(OR(C69&lt;MAX(ColSpa1,Geometry!$J$107),C69&gt;MAX(MAX(Geometry!$I$107:$I$116),MAX(Geometry!$J$107:$J$116))),"OH - 6''",""))</f>
        <v>#VALUE!</v>
      </c>
      <c r="N69" s="1053">
        <v>35.80112440501064</v>
      </c>
      <c r="O69" s="489">
        <f t="shared" si="21"/>
        <v>0</v>
      </c>
      <c r="P69" s="489">
        <f t="shared" si="22"/>
        <v>0</v>
      </c>
      <c r="Q69" s="400" t="e">
        <f>'CAP18 Out(1)'!I27</f>
        <v>#VALUE!</v>
      </c>
      <c r="R69" s="400" t="e">
        <f>'CAP18 Out(1)'!J27</f>
        <v>#VALUE!</v>
      </c>
      <c r="S69" s="400" t="e">
        <f>IF(E69=ABS(Q69),VLOOKUP('Bars B'!$F$10,BarTable,4,FALSE)/12,1.3*VLOOKUP('Bars A'!$F$10,BarTable,4,FALSE)/12)</f>
        <v>#VALUE!</v>
      </c>
      <c r="T69" s="626" t="e">
        <f t="shared" si="23"/>
        <v>#VALUE!</v>
      </c>
      <c r="U69" s="489" t="e">
        <f>IF(T69&gt;S69,IF(E69=ABS(R69),'Bars A'!$I$13,'Bars B'!$I$13),0.0000000001)</f>
        <v>#VALUE!</v>
      </c>
      <c r="V69" s="483" t="e">
        <f t="shared" si="24"/>
        <v>#VALUE!</v>
      </c>
      <c r="W69" s="627" t="e">
        <f t="shared" si="25"/>
        <v>#VALUE!</v>
      </c>
      <c r="X69" s="628" t="e">
        <f t="shared" si="26"/>
        <v>#VALUE!</v>
      </c>
      <c r="Y69" s="489" t="e">
        <f t="shared" si="27"/>
        <v>#VALUE!</v>
      </c>
      <c r="Z69" s="629" t="e">
        <f t="shared" si="28"/>
        <v>#VALUE!</v>
      </c>
      <c r="AA69" s="626" t="e">
        <f t="shared" si="29"/>
        <v>#VALUE!</v>
      </c>
      <c r="AB69" s="481" t="e">
        <f>MATCH(V69,Reference!$S$7:$S$17,1)</f>
        <v>#VALUE!</v>
      </c>
      <c r="AC69" s="1388" t="e">
        <f>12-MATCH(V69,Reference!$AD$6:$AD$16,-1)</f>
        <v>#VALUE!</v>
      </c>
      <c r="AD69" s="482" t="e">
        <f>MATCH(X69,Reference!$T$6:$AB$6,1)</f>
        <v>#VALUE!</v>
      </c>
      <c r="AE69" s="482" t="e">
        <f>10-MATCH(X69,Reference!$AD$18:$AL$18,-1)</f>
        <v>#VALUE!</v>
      </c>
      <c r="AF69" s="482" t="e">
        <f>INDEX(Reference!$T$7:$AB$17,AB69,AD69)</f>
        <v>#VALUE!</v>
      </c>
      <c r="AG69" s="482" t="e">
        <f>INDEX(Reference!$T$7:$AB$17,AB69,AE69)</f>
        <v>#VALUE!</v>
      </c>
      <c r="AH69" s="482" t="e">
        <f>INDEX(Reference!$T$7:$AB$17,AC69,AD69)</f>
        <v>#VALUE!</v>
      </c>
      <c r="AI69" s="482" t="e">
        <f>INDEX(Reference!$T$7:$AB$17,AC69,AE69)</f>
        <v>#VALUE!</v>
      </c>
      <c r="AJ69" s="482" t="e">
        <f>INDEX(Reference!$T$23:$AB$33,AB69,AD69)</f>
        <v>#VALUE!</v>
      </c>
      <c r="AK69" s="482" t="e">
        <f>INDEX(Reference!$T$23:$AB$33,AB69,AE69)</f>
        <v>#VALUE!</v>
      </c>
      <c r="AL69" s="482" t="e">
        <f>INDEX(Reference!$T$23:$AB$33,AC69,AD69)</f>
        <v>#VALUE!</v>
      </c>
      <c r="AM69" s="482" t="e">
        <f>INDEX(Reference!$T$23:$AB$33,AC69,AE69)</f>
        <v>#VALUE!</v>
      </c>
      <c r="AN69" s="483" t="e">
        <f>INDEX(Reference!$S$7:$S$17,AB69,1)</f>
        <v>#VALUE!</v>
      </c>
      <c r="AO69" s="483" t="e">
        <f>INDEX(Reference!$S$7:$S$17,AC69,1)</f>
        <v>#VALUE!</v>
      </c>
      <c r="AP69" s="484" t="e">
        <f>INDEX(Reference!$T$6:$AB$6,1,AD69)</f>
        <v>#VALUE!</v>
      </c>
      <c r="AQ69" s="484" t="e">
        <f>INDEX(Reference!$T$6:$AB$6,1,AE69)</f>
        <v>#VALUE!</v>
      </c>
      <c r="AR69" s="629" t="e">
        <f t="shared" si="30"/>
        <v>#VALUE!</v>
      </c>
      <c r="AS69" s="629" t="e">
        <f t="shared" si="31"/>
        <v>#VALUE!</v>
      </c>
      <c r="AT69" s="629" t="e">
        <f t="shared" si="32"/>
        <v>#VALUE!</v>
      </c>
      <c r="AU69" s="629" t="e">
        <f t="shared" si="33"/>
        <v>#VALUE!</v>
      </c>
      <c r="AV69" s="629" t="e">
        <f t="shared" si="34"/>
        <v>#VALUE!</v>
      </c>
      <c r="AW69" s="630" t="e">
        <f t="shared" si="35"/>
        <v>#VALUE!</v>
      </c>
      <c r="AZ69" s="489" t="str">
        <f t="shared" si="36"/>
        <v/>
      </c>
      <c r="BA69" s="631" t="e">
        <f t="shared" si="12"/>
        <v>#VALUE!</v>
      </c>
      <c r="BB69" s="491" t="e">
        <f t="shared" si="12"/>
        <v>#VALUE!</v>
      </c>
      <c r="BC69" s="491" t="e">
        <f t="shared" si="12"/>
        <v>#VALUE!</v>
      </c>
      <c r="BD69" s="491" t="e">
        <f t="shared" si="12"/>
        <v>#VALUE!</v>
      </c>
      <c r="BE69" s="491" t="e">
        <f t="shared" si="12"/>
        <v>#VALUE!</v>
      </c>
      <c r="BF69" s="491" t="e">
        <f t="shared" si="12"/>
        <v>#VALUE!</v>
      </c>
      <c r="BG69" s="491" t="e">
        <f t="shared" si="12"/>
        <v>#VALUE!</v>
      </c>
      <c r="BH69" s="491" t="e">
        <f t="shared" si="12"/>
        <v>#VALUE!</v>
      </c>
      <c r="BI69" s="491" t="e">
        <f t="shared" si="12"/>
        <v>#VALUE!</v>
      </c>
      <c r="BJ69" s="491" t="e">
        <f t="shared" si="12"/>
        <v>#VALUE!</v>
      </c>
      <c r="BK69" s="400">
        <f t="shared" si="37"/>
        <v>19</v>
      </c>
      <c r="BL69" s="491" t="e">
        <f t="shared" si="38"/>
        <v>#VALUE!</v>
      </c>
      <c r="BM69" s="491" t="e">
        <f t="shared" si="38"/>
        <v>#VALUE!</v>
      </c>
      <c r="BN69" s="491" t="e">
        <f t="shared" si="38"/>
        <v>#VALUE!</v>
      </c>
      <c r="BO69" s="491" t="e">
        <f t="shared" si="38"/>
        <v>#VALUE!</v>
      </c>
      <c r="BP69" s="622" t="e">
        <f t="shared" si="39"/>
        <v>#VALUE!</v>
      </c>
      <c r="BQ69" s="274" t="e">
        <f>IF(L69="","Column",IF(OR(C69&lt;MAX(ColSpa1,Geometry!$J$107),C69&gt;MAX(MAX(Geometry!$I$107:$I$116),MAX(Geometry!$J$107:$J$116))),MIN(6,INDEX($O$45:$O$48,MATCH(L69,$O$45:$O$48,1),1)),INDEX($O$45:$O$48,MATCH(L69,$O$45:$O$48,1),1)))</f>
        <v>#VALUE!</v>
      </c>
    </row>
    <row r="70" spans="1:69">
      <c r="A70" s="339"/>
      <c r="B70" s="96" t="e">
        <f>IF(MIN(ABS(C70-INDEX(Geometry!$Q$104:$Q$113,IF(ISERROR(MATCH(C70,Geometry!$Q$104:$Q$113,1)),1,MATCH(C70,Geometry!$Q$104:$Q$113,1)),1)),ABS(C70-INDEX(Geometry!$Q$104:$Q$113,IF(ISERROR(MAX(11-MATCH(C70,Geometry!$R$104:$R$113,-1),1)),1,MAX(11-MATCH(C70,Geometry!$R$104:$R$113,-1),1)),1)))&lt;(halfeffectiveface/12),"#","")</f>
        <v>#VALUE!</v>
      </c>
      <c r="C70" s="96" t="str">
        <f>'CAP18 Out(1)'!D28</f>
        <v/>
      </c>
      <c r="D70" s="184" t="str">
        <f>'CAP18 Out(1)'!M28</f>
        <v/>
      </c>
      <c r="E70" s="179" t="e">
        <f t="shared" si="13"/>
        <v>#VALUE!</v>
      </c>
      <c r="F70" s="87" t="e">
        <f t="shared" si="14"/>
        <v>#VALUE!</v>
      </c>
      <c r="G70" s="87" t="e">
        <f t="shared" si="15"/>
        <v>#VALUE!</v>
      </c>
      <c r="H70" s="185" t="e">
        <f t="shared" si="16"/>
        <v>#VALUE!</v>
      </c>
      <c r="I70" s="184" t="e">
        <f t="shared" si="17"/>
        <v>#VALUE!</v>
      </c>
      <c r="J70" s="184">
        <f t="shared" si="18"/>
        <v>0</v>
      </c>
      <c r="K70" s="184">
        <f t="shared" si="19"/>
        <v>0</v>
      </c>
      <c r="L70" s="296" t="e">
        <f t="shared" si="20"/>
        <v>#VALUE!</v>
      </c>
      <c r="M70" s="294" t="e">
        <f>IF(L70="Column","",IF(OR(C70&lt;MAX(ColSpa1,Geometry!$J$107),C70&gt;MAX(MAX(Geometry!$I$107:$I$116),MAX(Geometry!$J$107:$J$116))),"OH - 6''",""))</f>
        <v>#VALUE!</v>
      </c>
      <c r="N70" s="1053">
        <v>35.839616682006131</v>
      </c>
      <c r="O70" s="489">
        <f t="shared" si="21"/>
        <v>0</v>
      </c>
      <c r="P70" s="489">
        <f t="shared" si="22"/>
        <v>0</v>
      </c>
      <c r="Q70" s="400" t="e">
        <f>'CAP18 Out(1)'!I28</f>
        <v>#VALUE!</v>
      </c>
      <c r="R70" s="400" t="e">
        <f>'CAP18 Out(1)'!J28</f>
        <v>#VALUE!</v>
      </c>
      <c r="S70" s="400" t="e">
        <f>IF(E70=ABS(Q70),VLOOKUP('Bars B'!$F$10,BarTable,4,FALSE)/12,1.3*VLOOKUP('Bars A'!$F$10,BarTable,4,FALSE)/12)</f>
        <v>#VALUE!</v>
      </c>
      <c r="T70" s="626" t="e">
        <f t="shared" si="23"/>
        <v>#VALUE!</v>
      </c>
      <c r="U70" s="489" t="e">
        <f>IF(T70&gt;S70,IF(E70=ABS(R70),'Bars A'!$I$13,'Bars B'!$I$13),0.0000000001)</f>
        <v>#VALUE!</v>
      </c>
      <c r="V70" s="483" t="e">
        <f t="shared" si="24"/>
        <v>#VALUE!</v>
      </c>
      <c r="W70" s="627" t="e">
        <f t="shared" si="25"/>
        <v>#VALUE!</v>
      </c>
      <c r="X70" s="628" t="e">
        <f t="shared" si="26"/>
        <v>#VALUE!</v>
      </c>
      <c r="Y70" s="489" t="e">
        <f t="shared" si="27"/>
        <v>#VALUE!</v>
      </c>
      <c r="Z70" s="629" t="e">
        <f t="shared" si="28"/>
        <v>#VALUE!</v>
      </c>
      <c r="AA70" s="626" t="e">
        <f t="shared" si="29"/>
        <v>#VALUE!</v>
      </c>
      <c r="AB70" s="481" t="e">
        <f>MATCH(V70,Reference!$S$7:$S$17,1)</f>
        <v>#VALUE!</v>
      </c>
      <c r="AC70" s="1388" t="e">
        <f>12-MATCH(V70,Reference!$AD$6:$AD$16,-1)</f>
        <v>#VALUE!</v>
      </c>
      <c r="AD70" s="482" t="e">
        <f>MATCH(X70,Reference!$T$6:$AB$6,1)</f>
        <v>#VALUE!</v>
      </c>
      <c r="AE70" s="482" t="e">
        <f>10-MATCH(X70,Reference!$AD$18:$AL$18,-1)</f>
        <v>#VALUE!</v>
      </c>
      <c r="AF70" s="482" t="e">
        <f>INDEX(Reference!$T$7:$AB$17,AB70,AD70)</f>
        <v>#VALUE!</v>
      </c>
      <c r="AG70" s="482" t="e">
        <f>INDEX(Reference!$T$7:$AB$17,AB70,AE70)</f>
        <v>#VALUE!</v>
      </c>
      <c r="AH70" s="482" t="e">
        <f>INDEX(Reference!$T$7:$AB$17,AC70,AD70)</f>
        <v>#VALUE!</v>
      </c>
      <c r="AI70" s="482" t="e">
        <f>INDEX(Reference!$T$7:$AB$17,AC70,AE70)</f>
        <v>#VALUE!</v>
      </c>
      <c r="AJ70" s="482" t="e">
        <f>INDEX(Reference!$T$23:$AB$33,AB70,AD70)</f>
        <v>#VALUE!</v>
      </c>
      <c r="AK70" s="482" t="e">
        <f>INDEX(Reference!$T$23:$AB$33,AB70,AE70)</f>
        <v>#VALUE!</v>
      </c>
      <c r="AL70" s="482" t="e">
        <f>INDEX(Reference!$T$23:$AB$33,AC70,AD70)</f>
        <v>#VALUE!</v>
      </c>
      <c r="AM70" s="482" t="e">
        <f>INDEX(Reference!$T$23:$AB$33,AC70,AE70)</f>
        <v>#VALUE!</v>
      </c>
      <c r="AN70" s="483" t="e">
        <f>INDEX(Reference!$S$7:$S$17,AB70,1)</f>
        <v>#VALUE!</v>
      </c>
      <c r="AO70" s="483" t="e">
        <f>INDEX(Reference!$S$7:$S$17,AC70,1)</f>
        <v>#VALUE!</v>
      </c>
      <c r="AP70" s="484" t="e">
        <f>INDEX(Reference!$T$6:$AB$6,1,AD70)</f>
        <v>#VALUE!</v>
      </c>
      <c r="AQ70" s="484" t="e">
        <f>INDEX(Reference!$T$6:$AB$6,1,AE70)</f>
        <v>#VALUE!</v>
      </c>
      <c r="AR70" s="629" t="e">
        <f t="shared" si="30"/>
        <v>#VALUE!</v>
      </c>
      <c r="AS70" s="629" t="e">
        <f t="shared" si="31"/>
        <v>#VALUE!</v>
      </c>
      <c r="AT70" s="629" t="e">
        <f t="shared" si="32"/>
        <v>#VALUE!</v>
      </c>
      <c r="AU70" s="629" t="e">
        <f t="shared" si="33"/>
        <v>#VALUE!</v>
      </c>
      <c r="AV70" s="629" t="e">
        <f t="shared" si="34"/>
        <v>#VALUE!</v>
      </c>
      <c r="AW70" s="630" t="e">
        <f t="shared" si="35"/>
        <v>#VALUE!</v>
      </c>
      <c r="AZ70" s="489" t="str">
        <f t="shared" si="36"/>
        <v/>
      </c>
      <c r="BA70" s="631" t="e">
        <f t="shared" ref="BA70:BJ95" si="40">$E$13*MIN(Vnmax,$AA70+$K70/BA$51)</f>
        <v>#VALUE!</v>
      </c>
      <c r="BB70" s="491" t="e">
        <f t="shared" si="40"/>
        <v>#VALUE!</v>
      </c>
      <c r="BC70" s="491" t="e">
        <f t="shared" si="40"/>
        <v>#VALUE!</v>
      </c>
      <c r="BD70" s="491" t="e">
        <f t="shared" si="40"/>
        <v>#VALUE!</v>
      </c>
      <c r="BE70" s="491" t="e">
        <f t="shared" si="40"/>
        <v>#VALUE!</v>
      </c>
      <c r="BF70" s="491" t="e">
        <f t="shared" si="40"/>
        <v>#VALUE!</v>
      </c>
      <c r="BG70" s="491" t="e">
        <f t="shared" si="40"/>
        <v>#VALUE!</v>
      </c>
      <c r="BH70" s="491" t="e">
        <f t="shared" si="40"/>
        <v>#VALUE!</v>
      </c>
      <c r="BI70" s="491" t="e">
        <f t="shared" si="40"/>
        <v>#VALUE!</v>
      </c>
      <c r="BJ70" s="491" t="e">
        <f t="shared" si="40"/>
        <v>#VALUE!</v>
      </c>
      <c r="BK70" s="400">
        <f t="shared" si="37"/>
        <v>20</v>
      </c>
      <c r="BL70" s="491" t="e">
        <f t="shared" si="38"/>
        <v>#VALUE!</v>
      </c>
      <c r="BM70" s="491" t="e">
        <f t="shared" si="38"/>
        <v>#VALUE!</v>
      </c>
      <c r="BN70" s="491" t="e">
        <f t="shared" si="38"/>
        <v>#VALUE!</v>
      </c>
      <c r="BO70" s="491" t="e">
        <f t="shared" si="38"/>
        <v>#VALUE!</v>
      </c>
      <c r="BP70" s="622" t="e">
        <f t="shared" si="39"/>
        <v>#VALUE!</v>
      </c>
      <c r="BQ70" s="274" t="e">
        <f>IF(L70="","Column",IF(OR(C70&lt;MAX(ColSpa1,Geometry!$J$107),C70&gt;MAX(MAX(Geometry!$I$107:$I$116),MAX(Geometry!$J$107:$J$116))),MIN(6,INDEX($O$45:$O$48,MATCH(L70,$O$45:$O$48,1),1)),INDEX($O$45:$O$48,MATCH(L70,$O$45:$O$48,1),1)))</f>
        <v>#VALUE!</v>
      </c>
    </row>
    <row r="71" spans="1:69">
      <c r="A71" s="339"/>
      <c r="B71" s="96" t="e">
        <f>IF(MIN(ABS(C71-INDEX(Geometry!$Q$104:$Q$113,IF(ISERROR(MATCH(C71,Geometry!$Q$104:$Q$113,1)),1,MATCH(C71,Geometry!$Q$104:$Q$113,1)),1)),ABS(C71-INDEX(Geometry!$Q$104:$Q$113,IF(ISERROR(MAX(11-MATCH(C71,Geometry!$R$104:$R$113,-1),1)),1,MAX(11-MATCH(C71,Geometry!$R$104:$R$113,-1),1)),1)))&lt;(halfeffectiveface/12),"#","")</f>
        <v>#VALUE!</v>
      </c>
      <c r="C71" s="96" t="str">
        <f>'CAP18 Out(1)'!D29</f>
        <v/>
      </c>
      <c r="D71" s="184" t="str">
        <f>'CAP18 Out(1)'!M29</f>
        <v/>
      </c>
      <c r="E71" s="179" t="e">
        <f t="shared" si="13"/>
        <v>#VALUE!</v>
      </c>
      <c r="F71" s="87" t="e">
        <f t="shared" si="14"/>
        <v>#VALUE!</v>
      </c>
      <c r="G71" s="87" t="e">
        <f t="shared" si="15"/>
        <v>#VALUE!</v>
      </c>
      <c r="H71" s="185" t="e">
        <f t="shared" si="16"/>
        <v>#VALUE!</v>
      </c>
      <c r="I71" s="184" t="e">
        <f t="shared" si="17"/>
        <v>#VALUE!</v>
      </c>
      <c r="J71" s="184">
        <f t="shared" si="18"/>
        <v>0</v>
      </c>
      <c r="K71" s="184">
        <f t="shared" si="19"/>
        <v>0</v>
      </c>
      <c r="L71" s="296" t="e">
        <f t="shared" si="20"/>
        <v>#VALUE!</v>
      </c>
      <c r="M71" s="294" t="e">
        <f>IF(L71="Column","",IF(OR(C71&lt;MAX(ColSpa1,Geometry!$J$107),C71&gt;MAX(MAX(Geometry!$I$107:$I$116),MAX(Geometry!$J$107:$J$116))),"OH - 6''",""))</f>
        <v>#VALUE!</v>
      </c>
      <c r="N71" s="1053">
        <v>36.4</v>
      </c>
      <c r="O71" s="489">
        <f t="shared" si="21"/>
        <v>0</v>
      </c>
      <c r="P71" s="489">
        <f t="shared" si="22"/>
        <v>0</v>
      </c>
      <c r="Q71" s="400" t="e">
        <f>'CAP18 Out(1)'!I29</f>
        <v>#VALUE!</v>
      </c>
      <c r="R71" s="400" t="e">
        <f>'CAP18 Out(1)'!J29</f>
        <v>#VALUE!</v>
      </c>
      <c r="S71" s="400" t="e">
        <f>IF(E71=ABS(Q71),VLOOKUP('Bars B'!$F$10,BarTable,4,FALSE)/12,1.3*VLOOKUP('Bars A'!$F$10,BarTable,4,FALSE)/12)</f>
        <v>#VALUE!</v>
      </c>
      <c r="T71" s="626" t="e">
        <f t="shared" si="23"/>
        <v>#VALUE!</v>
      </c>
      <c r="U71" s="489" t="e">
        <f>IF(T71&gt;S71,IF(E71=ABS(R71),'Bars A'!$I$13,'Bars B'!$I$13),0.0000000001)</f>
        <v>#VALUE!</v>
      </c>
      <c r="V71" s="483" t="e">
        <f t="shared" si="24"/>
        <v>#VALUE!</v>
      </c>
      <c r="W71" s="627" t="e">
        <f t="shared" si="25"/>
        <v>#VALUE!</v>
      </c>
      <c r="X71" s="628" t="e">
        <f t="shared" si="26"/>
        <v>#VALUE!</v>
      </c>
      <c r="Y71" s="489" t="e">
        <f t="shared" si="27"/>
        <v>#VALUE!</v>
      </c>
      <c r="Z71" s="629" t="e">
        <f t="shared" si="28"/>
        <v>#VALUE!</v>
      </c>
      <c r="AA71" s="626" t="e">
        <f t="shared" si="29"/>
        <v>#VALUE!</v>
      </c>
      <c r="AB71" s="481" t="e">
        <f>MATCH(V71,Reference!$S$7:$S$17,1)</f>
        <v>#VALUE!</v>
      </c>
      <c r="AC71" s="1388" t="e">
        <f>12-MATCH(V71,Reference!$AD$6:$AD$16,-1)</f>
        <v>#VALUE!</v>
      </c>
      <c r="AD71" s="482" t="e">
        <f>MATCH(X71,Reference!$T$6:$AB$6,1)</f>
        <v>#VALUE!</v>
      </c>
      <c r="AE71" s="482" t="e">
        <f>10-MATCH(X71,Reference!$AD$18:$AL$18,-1)</f>
        <v>#VALUE!</v>
      </c>
      <c r="AF71" s="482" t="e">
        <f>INDEX(Reference!$T$7:$AB$17,AB71,AD71)</f>
        <v>#VALUE!</v>
      </c>
      <c r="AG71" s="482" t="e">
        <f>INDEX(Reference!$T$7:$AB$17,AB71,AE71)</f>
        <v>#VALUE!</v>
      </c>
      <c r="AH71" s="482" t="e">
        <f>INDEX(Reference!$T$7:$AB$17,AC71,AD71)</f>
        <v>#VALUE!</v>
      </c>
      <c r="AI71" s="482" t="e">
        <f>INDEX(Reference!$T$7:$AB$17,AC71,AE71)</f>
        <v>#VALUE!</v>
      </c>
      <c r="AJ71" s="482" t="e">
        <f>INDEX(Reference!$T$23:$AB$33,AB71,AD71)</f>
        <v>#VALUE!</v>
      </c>
      <c r="AK71" s="482" t="e">
        <f>INDEX(Reference!$T$23:$AB$33,AB71,AE71)</f>
        <v>#VALUE!</v>
      </c>
      <c r="AL71" s="482" t="e">
        <f>INDEX(Reference!$T$23:$AB$33,AC71,AD71)</f>
        <v>#VALUE!</v>
      </c>
      <c r="AM71" s="482" t="e">
        <f>INDEX(Reference!$T$23:$AB$33,AC71,AE71)</f>
        <v>#VALUE!</v>
      </c>
      <c r="AN71" s="483" t="e">
        <f>INDEX(Reference!$S$7:$S$17,AB71,1)</f>
        <v>#VALUE!</v>
      </c>
      <c r="AO71" s="483" t="e">
        <f>INDEX(Reference!$S$7:$S$17,AC71,1)</f>
        <v>#VALUE!</v>
      </c>
      <c r="AP71" s="484" t="e">
        <f>INDEX(Reference!$T$6:$AB$6,1,AD71)</f>
        <v>#VALUE!</v>
      </c>
      <c r="AQ71" s="484" t="e">
        <f>INDEX(Reference!$T$6:$AB$6,1,AE71)</f>
        <v>#VALUE!</v>
      </c>
      <c r="AR71" s="629" t="e">
        <f t="shared" si="30"/>
        <v>#VALUE!</v>
      </c>
      <c r="AS71" s="629" t="e">
        <f t="shared" si="31"/>
        <v>#VALUE!</v>
      </c>
      <c r="AT71" s="629" t="e">
        <f t="shared" si="32"/>
        <v>#VALUE!</v>
      </c>
      <c r="AU71" s="629" t="e">
        <f t="shared" si="33"/>
        <v>#VALUE!</v>
      </c>
      <c r="AV71" s="629" t="e">
        <f t="shared" si="34"/>
        <v>#VALUE!</v>
      </c>
      <c r="AW71" s="630" t="e">
        <f t="shared" si="35"/>
        <v>#VALUE!</v>
      </c>
      <c r="AZ71" s="489" t="str">
        <f t="shared" si="36"/>
        <v/>
      </c>
      <c r="BA71" s="631" t="e">
        <f t="shared" si="40"/>
        <v>#VALUE!</v>
      </c>
      <c r="BB71" s="491" t="e">
        <f t="shared" si="40"/>
        <v>#VALUE!</v>
      </c>
      <c r="BC71" s="491" t="e">
        <f t="shared" si="40"/>
        <v>#VALUE!</v>
      </c>
      <c r="BD71" s="491" t="e">
        <f t="shared" si="40"/>
        <v>#VALUE!</v>
      </c>
      <c r="BE71" s="491" t="e">
        <f t="shared" si="40"/>
        <v>#VALUE!</v>
      </c>
      <c r="BF71" s="491" t="e">
        <f t="shared" si="40"/>
        <v>#VALUE!</v>
      </c>
      <c r="BG71" s="491" t="e">
        <f t="shared" si="40"/>
        <v>#VALUE!</v>
      </c>
      <c r="BH71" s="491" t="e">
        <f t="shared" si="40"/>
        <v>#VALUE!</v>
      </c>
      <c r="BI71" s="491" t="e">
        <f t="shared" si="40"/>
        <v>#VALUE!</v>
      </c>
      <c r="BJ71" s="491" t="e">
        <f t="shared" si="40"/>
        <v>#VALUE!</v>
      </c>
      <c r="BK71" s="400">
        <f t="shared" si="37"/>
        <v>21</v>
      </c>
      <c r="BL71" s="491" t="e">
        <f t="shared" si="38"/>
        <v>#VALUE!</v>
      </c>
      <c r="BM71" s="491" t="e">
        <f t="shared" si="38"/>
        <v>#VALUE!</v>
      </c>
      <c r="BN71" s="491" t="e">
        <f t="shared" si="38"/>
        <v>#VALUE!</v>
      </c>
      <c r="BO71" s="491" t="e">
        <f t="shared" si="38"/>
        <v>#VALUE!</v>
      </c>
      <c r="BP71" s="622" t="e">
        <f t="shared" si="39"/>
        <v>#VALUE!</v>
      </c>
      <c r="BQ71" s="274" t="e">
        <f>IF(L71="","Column",IF(OR(C71&lt;MAX(ColSpa1,Geometry!$J$107),C71&gt;MAX(MAX(Geometry!$I$107:$I$116),MAX(Geometry!$J$107:$J$116))),MIN(6,INDEX($O$45:$O$48,MATCH(L71,$O$45:$O$48,1),1)),INDEX($O$45:$O$48,MATCH(L71,$O$45:$O$48,1),1)))</f>
        <v>#VALUE!</v>
      </c>
    </row>
    <row r="72" spans="1:69">
      <c r="A72" s="339"/>
      <c r="B72" s="96" t="e">
        <f>IF(MIN(ABS(C72-INDEX(Geometry!$Q$104:$Q$113,IF(ISERROR(MATCH(C72,Geometry!$Q$104:$Q$113,1)),1,MATCH(C72,Geometry!$Q$104:$Q$113,1)),1)),ABS(C72-INDEX(Geometry!$Q$104:$Q$113,IF(ISERROR(MAX(11-MATCH(C72,Geometry!$R$104:$R$113,-1),1)),1,MAX(11-MATCH(C72,Geometry!$R$104:$R$113,-1),1)),1)))&lt;(halfeffectiveface/12),"#","")</f>
        <v>#VALUE!</v>
      </c>
      <c r="C72" s="96" t="str">
        <f>'CAP18 Out(1)'!D30</f>
        <v/>
      </c>
      <c r="D72" s="184" t="str">
        <f>'CAP18 Out(1)'!M30</f>
        <v/>
      </c>
      <c r="E72" s="179" t="e">
        <f t="shared" si="13"/>
        <v>#VALUE!</v>
      </c>
      <c r="F72" s="87" t="e">
        <f t="shared" si="14"/>
        <v>#VALUE!</v>
      </c>
      <c r="G72" s="87" t="e">
        <f t="shared" si="15"/>
        <v>#VALUE!</v>
      </c>
      <c r="H72" s="185" t="e">
        <f t="shared" si="16"/>
        <v>#VALUE!</v>
      </c>
      <c r="I72" s="184" t="e">
        <f t="shared" si="17"/>
        <v>#VALUE!</v>
      </c>
      <c r="J72" s="184">
        <f t="shared" si="18"/>
        <v>0</v>
      </c>
      <c r="K72" s="184">
        <f t="shared" si="19"/>
        <v>0</v>
      </c>
      <c r="L72" s="296" t="e">
        <f t="shared" si="20"/>
        <v>#VALUE!</v>
      </c>
      <c r="M72" s="294" t="e">
        <f>IF(L72="Column","",IF(OR(C72&lt;MAX(ColSpa1,Geometry!$J$107),C72&gt;MAX(MAX(Geometry!$I$107:$I$116),MAX(Geometry!$J$107:$J$116))),"OH - 6''",""))</f>
        <v>#VALUE!</v>
      </c>
      <c r="N72" s="1053">
        <v>36.4</v>
      </c>
      <c r="O72" s="489">
        <f t="shared" si="21"/>
        <v>0</v>
      </c>
      <c r="P72" s="489">
        <f t="shared" si="22"/>
        <v>0</v>
      </c>
      <c r="Q72" s="400" t="e">
        <f>'CAP18 Out(1)'!I30</f>
        <v>#VALUE!</v>
      </c>
      <c r="R72" s="400" t="e">
        <f>'CAP18 Out(1)'!J30</f>
        <v>#VALUE!</v>
      </c>
      <c r="S72" s="400" t="e">
        <f>IF(E72=ABS(Q72),VLOOKUP('Bars B'!$F$10,BarTable,4,FALSE)/12,1.3*VLOOKUP('Bars A'!$F$10,BarTable,4,FALSE)/12)</f>
        <v>#VALUE!</v>
      </c>
      <c r="T72" s="626" t="e">
        <f t="shared" si="23"/>
        <v>#VALUE!</v>
      </c>
      <c r="U72" s="489" t="e">
        <f>IF(T72&gt;S72,IF(E72=ABS(R72),'Bars A'!$I$13,'Bars B'!$I$13),0.0000000001)</f>
        <v>#VALUE!</v>
      </c>
      <c r="V72" s="483" t="e">
        <f t="shared" si="24"/>
        <v>#VALUE!</v>
      </c>
      <c r="W72" s="627" t="e">
        <f t="shared" si="25"/>
        <v>#VALUE!</v>
      </c>
      <c r="X72" s="628" t="e">
        <f t="shared" si="26"/>
        <v>#VALUE!</v>
      </c>
      <c r="Y72" s="489" t="e">
        <f t="shared" si="27"/>
        <v>#VALUE!</v>
      </c>
      <c r="Z72" s="629" t="e">
        <f t="shared" si="28"/>
        <v>#VALUE!</v>
      </c>
      <c r="AA72" s="626" t="e">
        <f t="shared" si="29"/>
        <v>#VALUE!</v>
      </c>
      <c r="AB72" s="481" t="e">
        <f>MATCH(V72,Reference!$S$7:$S$17,1)</f>
        <v>#VALUE!</v>
      </c>
      <c r="AC72" s="1388" t="e">
        <f>12-MATCH(V72,Reference!$AD$6:$AD$16,-1)</f>
        <v>#VALUE!</v>
      </c>
      <c r="AD72" s="482" t="e">
        <f>MATCH(X72,Reference!$T$6:$AB$6,1)</f>
        <v>#VALUE!</v>
      </c>
      <c r="AE72" s="482" t="e">
        <f>10-MATCH(X72,Reference!$AD$18:$AL$18,-1)</f>
        <v>#VALUE!</v>
      </c>
      <c r="AF72" s="482" t="e">
        <f>INDEX(Reference!$T$7:$AB$17,AB72,AD72)</f>
        <v>#VALUE!</v>
      </c>
      <c r="AG72" s="482" t="e">
        <f>INDEX(Reference!$T$7:$AB$17,AB72,AE72)</f>
        <v>#VALUE!</v>
      </c>
      <c r="AH72" s="482" t="e">
        <f>INDEX(Reference!$T$7:$AB$17,AC72,AD72)</f>
        <v>#VALUE!</v>
      </c>
      <c r="AI72" s="482" t="e">
        <f>INDEX(Reference!$T$7:$AB$17,AC72,AE72)</f>
        <v>#VALUE!</v>
      </c>
      <c r="AJ72" s="482" t="e">
        <f>INDEX(Reference!$T$23:$AB$33,AB72,AD72)</f>
        <v>#VALUE!</v>
      </c>
      <c r="AK72" s="482" t="e">
        <f>INDEX(Reference!$T$23:$AB$33,AB72,AE72)</f>
        <v>#VALUE!</v>
      </c>
      <c r="AL72" s="482" t="e">
        <f>INDEX(Reference!$T$23:$AB$33,AC72,AD72)</f>
        <v>#VALUE!</v>
      </c>
      <c r="AM72" s="482" t="e">
        <f>INDEX(Reference!$T$23:$AB$33,AC72,AE72)</f>
        <v>#VALUE!</v>
      </c>
      <c r="AN72" s="483" t="e">
        <f>INDEX(Reference!$S$7:$S$17,AB72,1)</f>
        <v>#VALUE!</v>
      </c>
      <c r="AO72" s="483" t="e">
        <f>INDEX(Reference!$S$7:$S$17,AC72,1)</f>
        <v>#VALUE!</v>
      </c>
      <c r="AP72" s="484" t="e">
        <f>INDEX(Reference!$T$6:$AB$6,1,AD72)</f>
        <v>#VALUE!</v>
      </c>
      <c r="AQ72" s="484" t="e">
        <f>INDEX(Reference!$T$6:$AB$6,1,AE72)</f>
        <v>#VALUE!</v>
      </c>
      <c r="AR72" s="629" t="e">
        <f t="shared" si="30"/>
        <v>#VALUE!</v>
      </c>
      <c r="AS72" s="629" t="e">
        <f t="shared" si="31"/>
        <v>#VALUE!</v>
      </c>
      <c r="AT72" s="629" t="e">
        <f t="shared" si="32"/>
        <v>#VALUE!</v>
      </c>
      <c r="AU72" s="629" t="e">
        <f t="shared" si="33"/>
        <v>#VALUE!</v>
      </c>
      <c r="AV72" s="629" t="e">
        <f t="shared" si="34"/>
        <v>#VALUE!</v>
      </c>
      <c r="AW72" s="630" t="e">
        <f t="shared" si="35"/>
        <v>#VALUE!</v>
      </c>
      <c r="AZ72" s="489" t="str">
        <f t="shared" si="36"/>
        <v/>
      </c>
      <c r="BA72" s="631" t="e">
        <f t="shared" si="40"/>
        <v>#VALUE!</v>
      </c>
      <c r="BB72" s="491" t="e">
        <f t="shared" si="40"/>
        <v>#VALUE!</v>
      </c>
      <c r="BC72" s="491" t="e">
        <f t="shared" si="40"/>
        <v>#VALUE!</v>
      </c>
      <c r="BD72" s="491" t="e">
        <f t="shared" si="40"/>
        <v>#VALUE!</v>
      </c>
      <c r="BE72" s="491" t="e">
        <f t="shared" si="40"/>
        <v>#VALUE!</v>
      </c>
      <c r="BF72" s="491" t="e">
        <f t="shared" si="40"/>
        <v>#VALUE!</v>
      </c>
      <c r="BG72" s="491" t="e">
        <f t="shared" si="40"/>
        <v>#VALUE!</v>
      </c>
      <c r="BH72" s="491" t="e">
        <f t="shared" si="40"/>
        <v>#VALUE!</v>
      </c>
      <c r="BI72" s="491" t="e">
        <f t="shared" si="40"/>
        <v>#VALUE!</v>
      </c>
      <c r="BJ72" s="491" t="e">
        <f t="shared" si="40"/>
        <v>#VALUE!</v>
      </c>
      <c r="BK72" s="400">
        <f t="shared" si="37"/>
        <v>22</v>
      </c>
      <c r="BL72" s="491" t="e">
        <f t="shared" si="38"/>
        <v>#VALUE!</v>
      </c>
      <c r="BM72" s="491" t="e">
        <f t="shared" si="38"/>
        <v>#VALUE!</v>
      </c>
      <c r="BN72" s="491" t="e">
        <f t="shared" si="38"/>
        <v>#VALUE!</v>
      </c>
      <c r="BO72" s="491" t="e">
        <f t="shared" si="38"/>
        <v>#VALUE!</v>
      </c>
      <c r="BP72" s="622" t="e">
        <f t="shared" si="39"/>
        <v>#VALUE!</v>
      </c>
      <c r="BQ72" s="274" t="e">
        <f>IF(L72="","Column",IF(OR(C72&lt;MAX(ColSpa1,Geometry!$J$107),C72&gt;MAX(MAX(Geometry!$I$107:$I$116),MAX(Geometry!$J$107:$J$116))),MIN(6,INDEX($O$45:$O$48,MATCH(L72,$O$45:$O$48,1),1)),INDEX($O$45:$O$48,MATCH(L72,$O$45:$O$48,1),1)))</f>
        <v>#VALUE!</v>
      </c>
    </row>
    <row r="73" spans="1:69">
      <c r="A73" s="339"/>
      <c r="B73" s="96" t="e">
        <f>IF(MIN(ABS(C73-INDEX(Geometry!$Q$104:$Q$113,IF(ISERROR(MATCH(C73,Geometry!$Q$104:$Q$113,1)),1,MATCH(C73,Geometry!$Q$104:$Q$113,1)),1)),ABS(C73-INDEX(Geometry!$Q$104:$Q$113,IF(ISERROR(MAX(11-MATCH(C73,Geometry!$R$104:$R$113,-1),1)),1,MAX(11-MATCH(C73,Geometry!$R$104:$R$113,-1),1)),1)))&lt;(halfeffectiveface/12),"#","")</f>
        <v>#VALUE!</v>
      </c>
      <c r="C73" s="96" t="str">
        <f>'CAP18 Out(1)'!D31</f>
        <v/>
      </c>
      <c r="D73" s="184" t="str">
        <f>'CAP18 Out(1)'!M31</f>
        <v/>
      </c>
      <c r="E73" s="179" t="e">
        <f t="shared" si="13"/>
        <v>#VALUE!</v>
      </c>
      <c r="F73" s="87" t="e">
        <f t="shared" si="14"/>
        <v>#VALUE!</v>
      </c>
      <c r="G73" s="87" t="e">
        <f t="shared" si="15"/>
        <v>#VALUE!</v>
      </c>
      <c r="H73" s="185" t="e">
        <f t="shared" si="16"/>
        <v>#VALUE!</v>
      </c>
      <c r="I73" s="184" t="e">
        <f t="shared" si="17"/>
        <v>#VALUE!</v>
      </c>
      <c r="J73" s="184">
        <f t="shared" si="18"/>
        <v>0</v>
      </c>
      <c r="K73" s="184">
        <f t="shared" si="19"/>
        <v>0</v>
      </c>
      <c r="L73" s="296" t="e">
        <f t="shared" si="20"/>
        <v>#VALUE!</v>
      </c>
      <c r="M73" s="294" t="e">
        <f>IF(L73="Column","",IF(OR(C73&lt;MAX(ColSpa1,Geometry!$J$107),C73&gt;MAX(MAX(Geometry!$I$107:$I$116),MAX(Geometry!$J$107:$J$116))),"OH - 6''",""))</f>
        <v>#VALUE!</v>
      </c>
      <c r="N73" s="1053">
        <v>36.4</v>
      </c>
      <c r="O73" s="489">
        <f t="shared" si="21"/>
        <v>0</v>
      </c>
      <c r="P73" s="489">
        <f t="shared" si="22"/>
        <v>0</v>
      </c>
      <c r="Q73" s="400" t="e">
        <f>'CAP18 Out(1)'!I31</f>
        <v>#VALUE!</v>
      </c>
      <c r="R73" s="400" t="e">
        <f>'CAP18 Out(1)'!J31</f>
        <v>#VALUE!</v>
      </c>
      <c r="S73" s="400" t="e">
        <f>IF(E73=ABS(Q73),VLOOKUP('Bars B'!$F$10,BarTable,4,FALSE)/12,1.3*VLOOKUP('Bars A'!$F$10,BarTable,4,FALSE)/12)</f>
        <v>#VALUE!</v>
      </c>
      <c r="T73" s="626" t="e">
        <f t="shared" si="23"/>
        <v>#VALUE!</v>
      </c>
      <c r="U73" s="489" t="e">
        <f>IF(T73&gt;S73,IF(E73=ABS(R73),'Bars A'!$I$13,'Bars B'!$I$13),0.0000000001)</f>
        <v>#VALUE!</v>
      </c>
      <c r="V73" s="483" t="e">
        <f t="shared" si="24"/>
        <v>#VALUE!</v>
      </c>
      <c r="W73" s="627" t="e">
        <f t="shared" si="25"/>
        <v>#VALUE!</v>
      </c>
      <c r="X73" s="628" t="e">
        <f t="shared" si="26"/>
        <v>#VALUE!</v>
      </c>
      <c r="Y73" s="489" t="e">
        <f t="shared" si="27"/>
        <v>#VALUE!</v>
      </c>
      <c r="Z73" s="629" t="e">
        <f t="shared" si="28"/>
        <v>#VALUE!</v>
      </c>
      <c r="AA73" s="626" t="e">
        <f t="shared" si="29"/>
        <v>#VALUE!</v>
      </c>
      <c r="AB73" s="481" t="e">
        <f>MATCH(V73,Reference!$S$7:$S$17,1)</f>
        <v>#VALUE!</v>
      </c>
      <c r="AC73" s="1388" t="e">
        <f>12-MATCH(V73,Reference!$AD$6:$AD$16,-1)</f>
        <v>#VALUE!</v>
      </c>
      <c r="AD73" s="482" t="e">
        <f>MATCH(X73,Reference!$T$6:$AB$6,1)</f>
        <v>#VALUE!</v>
      </c>
      <c r="AE73" s="482" t="e">
        <f>10-MATCH(X73,Reference!$AD$18:$AL$18,-1)</f>
        <v>#VALUE!</v>
      </c>
      <c r="AF73" s="482" t="e">
        <f>INDEX(Reference!$T$7:$AB$17,AB73,AD73)</f>
        <v>#VALUE!</v>
      </c>
      <c r="AG73" s="482" t="e">
        <f>INDEX(Reference!$T$7:$AB$17,AB73,AE73)</f>
        <v>#VALUE!</v>
      </c>
      <c r="AH73" s="482" t="e">
        <f>INDEX(Reference!$T$7:$AB$17,AC73,AD73)</f>
        <v>#VALUE!</v>
      </c>
      <c r="AI73" s="482" t="e">
        <f>INDEX(Reference!$T$7:$AB$17,AC73,AE73)</f>
        <v>#VALUE!</v>
      </c>
      <c r="AJ73" s="482" t="e">
        <f>INDEX(Reference!$T$23:$AB$33,AB73,AD73)</f>
        <v>#VALUE!</v>
      </c>
      <c r="AK73" s="482" t="e">
        <f>INDEX(Reference!$T$23:$AB$33,AB73,AE73)</f>
        <v>#VALUE!</v>
      </c>
      <c r="AL73" s="482" t="e">
        <f>INDEX(Reference!$T$23:$AB$33,AC73,AD73)</f>
        <v>#VALUE!</v>
      </c>
      <c r="AM73" s="482" t="e">
        <f>INDEX(Reference!$T$23:$AB$33,AC73,AE73)</f>
        <v>#VALUE!</v>
      </c>
      <c r="AN73" s="483" t="e">
        <f>INDEX(Reference!$S$7:$S$17,AB73,1)</f>
        <v>#VALUE!</v>
      </c>
      <c r="AO73" s="483" t="e">
        <f>INDEX(Reference!$S$7:$S$17,AC73,1)</f>
        <v>#VALUE!</v>
      </c>
      <c r="AP73" s="484" t="e">
        <f>INDEX(Reference!$T$6:$AB$6,1,AD73)</f>
        <v>#VALUE!</v>
      </c>
      <c r="AQ73" s="484" t="e">
        <f>INDEX(Reference!$T$6:$AB$6,1,AE73)</f>
        <v>#VALUE!</v>
      </c>
      <c r="AR73" s="629" t="e">
        <f t="shared" si="30"/>
        <v>#VALUE!</v>
      </c>
      <c r="AS73" s="629" t="e">
        <f t="shared" si="31"/>
        <v>#VALUE!</v>
      </c>
      <c r="AT73" s="629" t="e">
        <f t="shared" si="32"/>
        <v>#VALUE!</v>
      </c>
      <c r="AU73" s="629" t="e">
        <f t="shared" si="33"/>
        <v>#VALUE!</v>
      </c>
      <c r="AV73" s="629" t="e">
        <f t="shared" si="34"/>
        <v>#VALUE!</v>
      </c>
      <c r="AW73" s="630" t="e">
        <f t="shared" si="35"/>
        <v>#VALUE!</v>
      </c>
      <c r="AZ73" s="489" t="str">
        <f t="shared" si="36"/>
        <v/>
      </c>
      <c r="BA73" s="631" t="e">
        <f t="shared" si="40"/>
        <v>#VALUE!</v>
      </c>
      <c r="BB73" s="491" t="e">
        <f t="shared" si="40"/>
        <v>#VALUE!</v>
      </c>
      <c r="BC73" s="491" t="e">
        <f t="shared" si="40"/>
        <v>#VALUE!</v>
      </c>
      <c r="BD73" s="491" t="e">
        <f t="shared" si="40"/>
        <v>#VALUE!</v>
      </c>
      <c r="BE73" s="491" t="e">
        <f t="shared" si="40"/>
        <v>#VALUE!</v>
      </c>
      <c r="BF73" s="491" t="e">
        <f t="shared" si="40"/>
        <v>#VALUE!</v>
      </c>
      <c r="BG73" s="491" t="e">
        <f t="shared" si="40"/>
        <v>#VALUE!</v>
      </c>
      <c r="BH73" s="491" t="e">
        <f t="shared" si="40"/>
        <v>#VALUE!</v>
      </c>
      <c r="BI73" s="491" t="e">
        <f t="shared" si="40"/>
        <v>#VALUE!</v>
      </c>
      <c r="BJ73" s="491" t="e">
        <f t="shared" si="40"/>
        <v>#VALUE!</v>
      </c>
      <c r="BK73" s="400">
        <f t="shared" si="37"/>
        <v>23</v>
      </c>
      <c r="BL73" s="491" t="e">
        <f t="shared" si="38"/>
        <v>#VALUE!</v>
      </c>
      <c r="BM73" s="491" t="e">
        <f t="shared" si="38"/>
        <v>#VALUE!</v>
      </c>
      <c r="BN73" s="491" t="e">
        <f t="shared" si="38"/>
        <v>#VALUE!</v>
      </c>
      <c r="BO73" s="491" t="e">
        <f t="shared" si="38"/>
        <v>#VALUE!</v>
      </c>
      <c r="BP73" s="622" t="e">
        <f t="shared" si="39"/>
        <v>#VALUE!</v>
      </c>
      <c r="BQ73" s="274" t="e">
        <f>IF(L73="","Column",IF(OR(C73&lt;MAX(ColSpa1,Geometry!$J$107),C73&gt;MAX(MAX(Geometry!$I$107:$I$116),MAX(Geometry!$J$107:$J$116))),MIN(6,INDEX($O$45:$O$48,MATCH(L73,$O$45:$O$48,1),1)),INDEX($O$45:$O$48,MATCH(L73,$O$45:$O$48,1),1)))</f>
        <v>#VALUE!</v>
      </c>
    </row>
    <row r="74" spans="1:69">
      <c r="A74" s="339"/>
      <c r="B74" s="96" t="e">
        <f>IF(MIN(ABS(C74-INDEX(Geometry!$Q$104:$Q$113,IF(ISERROR(MATCH(C74,Geometry!$Q$104:$Q$113,1)),1,MATCH(C74,Geometry!$Q$104:$Q$113,1)),1)),ABS(C74-INDEX(Geometry!$Q$104:$Q$113,IF(ISERROR(MAX(11-MATCH(C74,Geometry!$R$104:$R$113,-1),1)),1,MAX(11-MATCH(C74,Geometry!$R$104:$R$113,-1),1)),1)))&lt;(halfeffectiveface/12),"#","")</f>
        <v>#VALUE!</v>
      </c>
      <c r="C74" s="96" t="str">
        <f>'CAP18 Out(1)'!D32</f>
        <v/>
      </c>
      <c r="D74" s="184" t="str">
        <f>'CAP18 Out(1)'!M32</f>
        <v/>
      </c>
      <c r="E74" s="179" t="e">
        <f t="shared" si="13"/>
        <v>#VALUE!</v>
      </c>
      <c r="F74" s="87" t="e">
        <f t="shared" si="14"/>
        <v>#VALUE!</v>
      </c>
      <c r="G74" s="87" t="e">
        <f t="shared" si="15"/>
        <v>#VALUE!</v>
      </c>
      <c r="H74" s="185" t="e">
        <f t="shared" si="16"/>
        <v>#VALUE!</v>
      </c>
      <c r="I74" s="184" t="e">
        <f t="shared" si="17"/>
        <v>#VALUE!</v>
      </c>
      <c r="J74" s="184">
        <f t="shared" si="18"/>
        <v>0</v>
      </c>
      <c r="K74" s="184">
        <f t="shared" si="19"/>
        <v>0</v>
      </c>
      <c r="L74" s="296" t="e">
        <f t="shared" si="20"/>
        <v>#VALUE!</v>
      </c>
      <c r="M74" s="294" t="e">
        <f>IF(L74="Column","",IF(OR(C74&lt;MAX(ColSpa1,Geometry!$J$107),C74&gt;MAX(MAX(Geometry!$I$107:$I$116),MAX(Geometry!$J$107:$J$116))),"OH - 6''",""))</f>
        <v>#VALUE!</v>
      </c>
      <c r="N74" s="1053">
        <v>36.4</v>
      </c>
      <c r="O74" s="489">
        <f t="shared" si="21"/>
        <v>0</v>
      </c>
      <c r="P74" s="489">
        <f t="shared" si="22"/>
        <v>0</v>
      </c>
      <c r="Q74" s="400" t="e">
        <f>'CAP18 Out(1)'!I32</f>
        <v>#VALUE!</v>
      </c>
      <c r="R74" s="400" t="e">
        <f>'CAP18 Out(1)'!J32</f>
        <v>#VALUE!</v>
      </c>
      <c r="S74" s="400" t="e">
        <f>IF(E74=ABS(Q74),VLOOKUP('Bars B'!$F$10,BarTable,4,FALSE)/12,1.3*VLOOKUP('Bars A'!$F$10,BarTable,4,FALSE)/12)</f>
        <v>#VALUE!</v>
      </c>
      <c r="T74" s="626" t="e">
        <f t="shared" si="23"/>
        <v>#VALUE!</v>
      </c>
      <c r="U74" s="489" t="e">
        <f>IF(T74&gt;S74,IF(E74=ABS(R74),'Bars A'!$I$13,'Bars B'!$I$13),0.0000000001)</f>
        <v>#VALUE!</v>
      </c>
      <c r="V74" s="483" t="e">
        <f t="shared" si="24"/>
        <v>#VALUE!</v>
      </c>
      <c r="W74" s="627" t="e">
        <f t="shared" si="25"/>
        <v>#VALUE!</v>
      </c>
      <c r="X74" s="628" t="e">
        <f t="shared" si="26"/>
        <v>#VALUE!</v>
      </c>
      <c r="Y74" s="489" t="e">
        <f t="shared" si="27"/>
        <v>#VALUE!</v>
      </c>
      <c r="Z74" s="629" t="e">
        <f t="shared" si="28"/>
        <v>#VALUE!</v>
      </c>
      <c r="AA74" s="626" t="e">
        <f t="shared" si="29"/>
        <v>#VALUE!</v>
      </c>
      <c r="AB74" s="481" t="e">
        <f>MATCH(V74,Reference!$S$7:$S$17,1)</f>
        <v>#VALUE!</v>
      </c>
      <c r="AC74" s="1388" t="e">
        <f>12-MATCH(V74,Reference!$AD$6:$AD$16,-1)</f>
        <v>#VALUE!</v>
      </c>
      <c r="AD74" s="482" t="e">
        <f>MATCH(X74,Reference!$T$6:$AB$6,1)</f>
        <v>#VALUE!</v>
      </c>
      <c r="AE74" s="482" t="e">
        <f>10-MATCH(X74,Reference!$AD$18:$AL$18,-1)</f>
        <v>#VALUE!</v>
      </c>
      <c r="AF74" s="482" t="e">
        <f>INDEX(Reference!$T$7:$AB$17,AB74,AD74)</f>
        <v>#VALUE!</v>
      </c>
      <c r="AG74" s="482" t="e">
        <f>INDEX(Reference!$T$7:$AB$17,AB74,AE74)</f>
        <v>#VALUE!</v>
      </c>
      <c r="AH74" s="482" t="e">
        <f>INDEX(Reference!$T$7:$AB$17,AC74,AD74)</f>
        <v>#VALUE!</v>
      </c>
      <c r="AI74" s="482" t="e">
        <f>INDEX(Reference!$T$7:$AB$17,AC74,AE74)</f>
        <v>#VALUE!</v>
      </c>
      <c r="AJ74" s="482" t="e">
        <f>INDEX(Reference!$T$23:$AB$33,AB74,AD74)</f>
        <v>#VALUE!</v>
      </c>
      <c r="AK74" s="482" t="e">
        <f>INDEX(Reference!$T$23:$AB$33,AB74,AE74)</f>
        <v>#VALUE!</v>
      </c>
      <c r="AL74" s="482" t="e">
        <f>INDEX(Reference!$T$23:$AB$33,AC74,AD74)</f>
        <v>#VALUE!</v>
      </c>
      <c r="AM74" s="482" t="e">
        <f>INDEX(Reference!$T$23:$AB$33,AC74,AE74)</f>
        <v>#VALUE!</v>
      </c>
      <c r="AN74" s="483" t="e">
        <f>INDEX(Reference!$S$7:$S$17,AB74,1)</f>
        <v>#VALUE!</v>
      </c>
      <c r="AO74" s="483" t="e">
        <f>INDEX(Reference!$S$7:$S$17,AC74,1)</f>
        <v>#VALUE!</v>
      </c>
      <c r="AP74" s="484" t="e">
        <f>INDEX(Reference!$T$6:$AB$6,1,AD74)</f>
        <v>#VALUE!</v>
      </c>
      <c r="AQ74" s="484" t="e">
        <f>INDEX(Reference!$T$6:$AB$6,1,AE74)</f>
        <v>#VALUE!</v>
      </c>
      <c r="AR74" s="629" t="e">
        <f t="shared" si="30"/>
        <v>#VALUE!</v>
      </c>
      <c r="AS74" s="629" t="e">
        <f t="shared" si="31"/>
        <v>#VALUE!</v>
      </c>
      <c r="AT74" s="629" t="e">
        <f t="shared" si="32"/>
        <v>#VALUE!</v>
      </c>
      <c r="AU74" s="629" t="e">
        <f t="shared" si="33"/>
        <v>#VALUE!</v>
      </c>
      <c r="AV74" s="629" t="e">
        <f t="shared" si="34"/>
        <v>#VALUE!</v>
      </c>
      <c r="AW74" s="630" t="e">
        <f t="shared" si="35"/>
        <v>#VALUE!</v>
      </c>
      <c r="AZ74" s="489" t="str">
        <f t="shared" si="36"/>
        <v/>
      </c>
      <c r="BA74" s="631" t="e">
        <f t="shared" si="40"/>
        <v>#VALUE!</v>
      </c>
      <c r="BB74" s="491" t="e">
        <f t="shared" si="40"/>
        <v>#VALUE!</v>
      </c>
      <c r="BC74" s="491" t="e">
        <f t="shared" si="40"/>
        <v>#VALUE!</v>
      </c>
      <c r="BD74" s="491" t="e">
        <f t="shared" si="40"/>
        <v>#VALUE!</v>
      </c>
      <c r="BE74" s="491" t="e">
        <f t="shared" si="40"/>
        <v>#VALUE!</v>
      </c>
      <c r="BF74" s="491" t="e">
        <f t="shared" si="40"/>
        <v>#VALUE!</v>
      </c>
      <c r="BG74" s="491" t="e">
        <f t="shared" si="40"/>
        <v>#VALUE!</v>
      </c>
      <c r="BH74" s="491" t="e">
        <f t="shared" si="40"/>
        <v>#VALUE!</v>
      </c>
      <c r="BI74" s="491" t="e">
        <f t="shared" si="40"/>
        <v>#VALUE!</v>
      </c>
      <c r="BJ74" s="491" t="e">
        <f t="shared" si="40"/>
        <v>#VALUE!</v>
      </c>
      <c r="BK74" s="400">
        <f t="shared" si="37"/>
        <v>24</v>
      </c>
      <c r="BL74" s="491" t="e">
        <f t="shared" si="38"/>
        <v>#VALUE!</v>
      </c>
      <c r="BM74" s="491" t="e">
        <f t="shared" si="38"/>
        <v>#VALUE!</v>
      </c>
      <c r="BN74" s="491" t="e">
        <f t="shared" si="38"/>
        <v>#VALUE!</v>
      </c>
      <c r="BO74" s="491" t="e">
        <f t="shared" si="38"/>
        <v>#VALUE!</v>
      </c>
      <c r="BP74" s="622" t="e">
        <f t="shared" si="39"/>
        <v>#VALUE!</v>
      </c>
      <c r="BQ74" s="274" t="e">
        <f>IF(L74="","Column",IF(OR(C74&lt;MAX(ColSpa1,Geometry!$J$107),C74&gt;MAX(MAX(Geometry!$I$107:$I$116),MAX(Geometry!$J$107:$J$116))),MIN(6,INDEX($O$45:$O$48,MATCH(L74,$O$45:$O$48,1),1)),INDEX($O$45:$O$48,MATCH(L74,$O$45:$O$48,1),1)))</f>
        <v>#VALUE!</v>
      </c>
    </row>
    <row r="75" spans="1:69">
      <c r="A75" s="339"/>
      <c r="B75" s="96" t="e">
        <f>IF(MIN(ABS(C75-INDEX(Geometry!$Q$104:$Q$113,IF(ISERROR(MATCH(C75,Geometry!$Q$104:$Q$113,1)),1,MATCH(C75,Geometry!$Q$104:$Q$113,1)),1)),ABS(C75-INDEX(Geometry!$Q$104:$Q$113,IF(ISERROR(MAX(11-MATCH(C75,Geometry!$R$104:$R$113,-1),1)),1,MAX(11-MATCH(C75,Geometry!$R$104:$R$113,-1),1)),1)))&lt;(halfeffectiveface/12),"#","")</f>
        <v>#VALUE!</v>
      </c>
      <c r="C75" s="96" t="str">
        <f>'CAP18 Out(1)'!D33</f>
        <v/>
      </c>
      <c r="D75" s="184" t="str">
        <f>'CAP18 Out(1)'!M33</f>
        <v/>
      </c>
      <c r="E75" s="179" t="e">
        <f t="shared" si="13"/>
        <v>#VALUE!</v>
      </c>
      <c r="F75" s="87" t="e">
        <f t="shared" si="14"/>
        <v>#VALUE!</v>
      </c>
      <c r="G75" s="87" t="e">
        <f t="shared" si="15"/>
        <v>#VALUE!</v>
      </c>
      <c r="H75" s="185" t="e">
        <f t="shared" si="16"/>
        <v>#VALUE!</v>
      </c>
      <c r="I75" s="184" t="e">
        <f t="shared" si="17"/>
        <v>#VALUE!</v>
      </c>
      <c r="J75" s="184">
        <f t="shared" si="18"/>
        <v>0</v>
      </c>
      <c r="K75" s="184">
        <f t="shared" si="19"/>
        <v>0</v>
      </c>
      <c r="L75" s="296" t="e">
        <f t="shared" si="20"/>
        <v>#VALUE!</v>
      </c>
      <c r="M75" s="294" t="e">
        <f>IF(L75="Column","",IF(OR(C75&lt;MAX(ColSpa1,Geometry!$J$107),C75&gt;MAX(MAX(Geometry!$I$107:$I$116),MAX(Geometry!$J$107:$J$116))),"OH - 6''",""))</f>
        <v>#VALUE!</v>
      </c>
      <c r="N75" s="1053">
        <v>36.4</v>
      </c>
      <c r="O75" s="489">
        <f t="shared" si="21"/>
        <v>0</v>
      </c>
      <c r="P75" s="489">
        <f t="shared" si="22"/>
        <v>0</v>
      </c>
      <c r="Q75" s="400" t="e">
        <f>'CAP18 Out(1)'!I33</f>
        <v>#VALUE!</v>
      </c>
      <c r="R75" s="400" t="e">
        <f>'CAP18 Out(1)'!J33</f>
        <v>#VALUE!</v>
      </c>
      <c r="S75" s="400" t="e">
        <f>IF(E75=ABS(Q75),VLOOKUP('Bars B'!$F$10,BarTable,4,FALSE)/12,1.3*VLOOKUP('Bars A'!$F$10,BarTable,4,FALSE)/12)</f>
        <v>#VALUE!</v>
      </c>
      <c r="T75" s="626" t="e">
        <f t="shared" si="23"/>
        <v>#VALUE!</v>
      </c>
      <c r="U75" s="489" t="e">
        <f>IF(T75&gt;S75,IF(E75=ABS(R75),'Bars A'!$I$13,'Bars B'!$I$13),0.0000000001)</f>
        <v>#VALUE!</v>
      </c>
      <c r="V75" s="483" t="e">
        <f t="shared" si="24"/>
        <v>#VALUE!</v>
      </c>
      <c r="W75" s="627" t="e">
        <f t="shared" si="25"/>
        <v>#VALUE!</v>
      </c>
      <c r="X75" s="628" t="e">
        <f t="shared" si="26"/>
        <v>#VALUE!</v>
      </c>
      <c r="Y75" s="489" t="e">
        <f t="shared" si="27"/>
        <v>#VALUE!</v>
      </c>
      <c r="Z75" s="629" t="e">
        <f t="shared" si="28"/>
        <v>#VALUE!</v>
      </c>
      <c r="AA75" s="626" t="e">
        <f t="shared" si="29"/>
        <v>#VALUE!</v>
      </c>
      <c r="AB75" s="481" t="e">
        <f>MATCH(V75,Reference!$S$7:$S$17,1)</f>
        <v>#VALUE!</v>
      </c>
      <c r="AC75" s="1388" t="e">
        <f>12-MATCH(V75,Reference!$AD$6:$AD$16,-1)</f>
        <v>#VALUE!</v>
      </c>
      <c r="AD75" s="482" t="e">
        <f>MATCH(X75,Reference!$T$6:$AB$6,1)</f>
        <v>#VALUE!</v>
      </c>
      <c r="AE75" s="482" t="e">
        <f>10-MATCH(X75,Reference!$AD$18:$AL$18,-1)</f>
        <v>#VALUE!</v>
      </c>
      <c r="AF75" s="482" t="e">
        <f>INDEX(Reference!$T$7:$AB$17,AB75,AD75)</f>
        <v>#VALUE!</v>
      </c>
      <c r="AG75" s="482" t="e">
        <f>INDEX(Reference!$T$7:$AB$17,AB75,AE75)</f>
        <v>#VALUE!</v>
      </c>
      <c r="AH75" s="482" t="e">
        <f>INDEX(Reference!$T$7:$AB$17,AC75,AD75)</f>
        <v>#VALUE!</v>
      </c>
      <c r="AI75" s="482" t="e">
        <f>INDEX(Reference!$T$7:$AB$17,AC75,AE75)</f>
        <v>#VALUE!</v>
      </c>
      <c r="AJ75" s="482" t="e">
        <f>INDEX(Reference!$T$23:$AB$33,AB75,AD75)</f>
        <v>#VALUE!</v>
      </c>
      <c r="AK75" s="482" t="e">
        <f>INDEX(Reference!$T$23:$AB$33,AB75,AE75)</f>
        <v>#VALUE!</v>
      </c>
      <c r="AL75" s="482" t="e">
        <f>INDEX(Reference!$T$23:$AB$33,AC75,AD75)</f>
        <v>#VALUE!</v>
      </c>
      <c r="AM75" s="482" t="e">
        <f>INDEX(Reference!$T$23:$AB$33,AC75,AE75)</f>
        <v>#VALUE!</v>
      </c>
      <c r="AN75" s="483" t="e">
        <f>INDEX(Reference!$S$7:$S$17,AB75,1)</f>
        <v>#VALUE!</v>
      </c>
      <c r="AO75" s="483" t="e">
        <f>INDEX(Reference!$S$7:$S$17,AC75,1)</f>
        <v>#VALUE!</v>
      </c>
      <c r="AP75" s="484" t="e">
        <f>INDEX(Reference!$T$6:$AB$6,1,AD75)</f>
        <v>#VALUE!</v>
      </c>
      <c r="AQ75" s="484" t="e">
        <f>INDEX(Reference!$T$6:$AB$6,1,AE75)</f>
        <v>#VALUE!</v>
      </c>
      <c r="AR75" s="629" t="e">
        <f t="shared" si="30"/>
        <v>#VALUE!</v>
      </c>
      <c r="AS75" s="629" t="e">
        <f t="shared" si="31"/>
        <v>#VALUE!</v>
      </c>
      <c r="AT75" s="629" t="e">
        <f t="shared" si="32"/>
        <v>#VALUE!</v>
      </c>
      <c r="AU75" s="629" t="e">
        <f t="shared" si="33"/>
        <v>#VALUE!</v>
      </c>
      <c r="AV75" s="629" t="e">
        <f t="shared" si="34"/>
        <v>#VALUE!</v>
      </c>
      <c r="AW75" s="630" t="e">
        <f t="shared" si="35"/>
        <v>#VALUE!</v>
      </c>
      <c r="AZ75" s="489" t="str">
        <f t="shared" si="36"/>
        <v/>
      </c>
      <c r="BA75" s="631" t="e">
        <f t="shared" si="40"/>
        <v>#VALUE!</v>
      </c>
      <c r="BB75" s="491" t="e">
        <f t="shared" si="40"/>
        <v>#VALUE!</v>
      </c>
      <c r="BC75" s="491" t="e">
        <f t="shared" si="40"/>
        <v>#VALUE!</v>
      </c>
      <c r="BD75" s="491" t="e">
        <f t="shared" si="40"/>
        <v>#VALUE!</v>
      </c>
      <c r="BE75" s="491" t="e">
        <f t="shared" si="40"/>
        <v>#VALUE!</v>
      </c>
      <c r="BF75" s="491" t="e">
        <f t="shared" si="40"/>
        <v>#VALUE!</v>
      </c>
      <c r="BG75" s="491" t="e">
        <f t="shared" si="40"/>
        <v>#VALUE!</v>
      </c>
      <c r="BH75" s="491" t="e">
        <f t="shared" si="40"/>
        <v>#VALUE!</v>
      </c>
      <c r="BI75" s="491" t="e">
        <f t="shared" si="40"/>
        <v>#VALUE!</v>
      </c>
      <c r="BJ75" s="491" t="e">
        <f t="shared" si="40"/>
        <v>#VALUE!</v>
      </c>
      <c r="BK75" s="400">
        <f t="shared" si="37"/>
        <v>25</v>
      </c>
      <c r="BL75" s="491" t="e">
        <f t="shared" si="38"/>
        <v>#VALUE!</v>
      </c>
      <c r="BM75" s="491" t="e">
        <f t="shared" si="38"/>
        <v>#VALUE!</v>
      </c>
      <c r="BN75" s="491" t="e">
        <f t="shared" si="38"/>
        <v>#VALUE!</v>
      </c>
      <c r="BO75" s="491" t="e">
        <f t="shared" si="38"/>
        <v>#VALUE!</v>
      </c>
      <c r="BP75" s="622" t="e">
        <f t="shared" si="39"/>
        <v>#VALUE!</v>
      </c>
      <c r="BQ75" s="274" t="e">
        <f>IF(L75="","Column",IF(OR(C75&lt;MAX(ColSpa1,Geometry!$J$107),C75&gt;MAX(MAX(Geometry!$I$107:$I$116),MAX(Geometry!$J$107:$J$116))),MIN(6,INDEX($O$45:$O$48,MATCH(L75,$O$45:$O$48,1),1)),INDEX($O$45:$O$48,MATCH(L75,$O$45:$O$48,1),1)))</f>
        <v>#VALUE!</v>
      </c>
    </row>
    <row r="76" spans="1:69">
      <c r="A76" s="339"/>
      <c r="B76" s="96" t="e">
        <f>IF(MIN(ABS(C76-INDEX(Geometry!$Q$104:$Q$113,IF(ISERROR(MATCH(C76,Geometry!$Q$104:$Q$113,1)),1,MATCH(C76,Geometry!$Q$104:$Q$113,1)),1)),ABS(C76-INDEX(Geometry!$Q$104:$Q$113,IF(ISERROR(MAX(11-MATCH(C76,Geometry!$R$104:$R$113,-1),1)),1,MAX(11-MATCH(C76,Geometry!$R$104:$R$113,-1),1)),1)))&lt;(halfeffectiveface/12),"#","")</f>
        <v>#VALUE!</v>
      </c>
      <c r="C76" s="96" t="str">
        <f>'CAP18 Out(1)'!D34</f>
        <v/>
      </c>
      <c r="D76" s="184" t="str">
        <f>'CAP18 Out(1)'!M34</f>
        <v/>
      </c>
      <c r="E76" s="179" t="e">
        <f t="shared" si="13"/>
        <v>#VALUE!</v>
      </c>
      <c r="F76" s="87" t="e">
        <f t="shared" si="14"/>
        <v>#VALUE!</v>
      </c>
      <c r="G76" s="87" t="e">
        <f t="shared" si="15"/>
        <v>#VALUE!</v>
      </c>
      <c r="H76" s="185" t="e">
        <f t="shared" si="16"/>
        <v>#VALUE!</v>
      </c>
      <c r="I76" s="184" t="e">
        <f t="shared" si="17"/>
        <v>#VALUE!</v>
      </c>
      <c r="J76" s="184">
        <f t="shared" si="18"/>
        <v>0</v>
      </c>
      <c r="K76" s="184">
        <f t="shared" si="19"/>
        <v>0</v>
      </c>
      <c r="L76" s="296" t="e">
        <f t="shared" si="20"/>
        <v>#VALUE!</v>
      </c>
      <c r="M76" s="294" t="e">
        <f>IF(L76="Column","",IF(OR(C76&lt;MAX(ColSpa1,Geometry!$J$107),C76&gt;MAX(MAX(Geometry!$I$107:$I$116),MAX(Geometry!$J$107:$J$116))),"OH - 6''",""))</f>
        <v>#VALUE!</v>
      </c>
      <c r="N76" s="1053">
        <v>36.4</v>
      </c>
      <c r="O76" s="489">
        <f t="shared" si="21"/>
        <v>0</v>
      </c>
      <c r="P76" s="489">
        <f t="shared" si="22"/>
        <v>0</v>
      </c>
      <c r="Q76" s="400" t="e">
        <f>'CAP18 Out(1)'!I34</f>
        <v>#VALUE!</v>
      </c>
      <c r="R76" s="400" t="e">
        <f>'CAP18 Out(1)'!J34</f>
        <v>#VALUE!</v>
      </c>
      <c r="S76" s="400" t="e">
        <f>IF(E76=ABS(Q76),VLOOKUP('Bars B'!$F$10,BarTable,4,FALSE)/12,1.3*VLOOKUP('Bars A'!$F$10,BarTable,4,FALSE)/12)</f>
        <v>#VALUE!</v>
      </c>
      <c r="T76" s="626" t="e">
        <f t="shared" si="23"/>
        <v>#VALUE!</v>
      </c>
      <c r="U76" s="489" t="e">
        <f>IF(T76&gt;S76,IF(E76=ABS(R76),'Bars A'!$I$13,'Bars B'!$I$13),0.0000000001)</f>
        <v>#VALUE!</v>
      </c>
      <c r="V76" s="483" t="e">
        <f t="shared" si="24"/>
        <v>#VALUE!</v>
      </c>
      <c r="W76" s="627" t="e">
        <f t="shared" si="25"/>
        <v>#VALUE!</v>
      </c>
      <c r="X76" s="628" t="e">
        <f t="shared" si="26"/>
        <v>#VALUE!</v>
      </c>
      <c r="Y76" s="489" t="e">
        <f t="shared" si="27"/>
        <v>#VALUE!</v>
      </c>
      <c r="Z76" s="629" t="e">
        <f t="shared" si="28"/>
        <v>#VALUE!</v>
      </c>
      <c r="AA76" s="626" t="e">
        <f t="shared" si="29"/>
        <v>#VALUE!</v>
      </c>
      <c r="AB76" s="481" t="e">
        <f>MATCH(V76,Reference!$S$7:$S$17,1)</f>
        <v>#VALUE!</v>
      </c>
      <c r="AC76" s="1388" t="e">
        <f>12-MATCH(V76,Reference!$AD$6:$AD$16,-1)</f>
        <v>#VALUE!</v>
      </c>
      <c r="AD76" s="482" t="e">
        <f>MATCH(X76,Reference!$T$6:$AB$6,1)</f>
        <v>#VALUE!</v>
      </c>
      <c r="AE76" s="482" t="e">
        <f>10-MATCH(X76,Reference!$AD$18:$AL$18,-1)</f>
        <v>#VALUE!</v>
      </c>
      <c r="AF76" s="482" t="e">
        <f>INDEX(Reference!$T$7:$AB$17,AB76,AD76)</f>
        <v>#VALUE!</v>
      </c>
      <c r="AG76" s="482" t="e">
        <f>INDEX(Reference!$T$7:$AB$17,AB76,AE76)</f>
        <v>#VALUE!</v>
      </c>
      <c r="AH76" s="482" t="e">
        <f>INDEX(Reference!$T$7:$AB$17,AC76,AD76)</f>
        <v>#VALUE!</v>
      </c>
      <c r="AI76" s="482" t="e">
        <f>INDEX(Reference!$T$7:$AB$17,AC76,AE76)</f>
        <v>#VALUE!</v>
      </c>
      <c r="AJ76" s="482" t="e">
        <f>INDEX(Reference!$T$23:$AB$33,AB76,AD76)</f>
        <v>#VALUE!</v>
      </c>
      <c r="AK76" s="482" t="e">
        <f>INDEX(Reference!$T$23:$AB$33,AB76,AE76)</f>
        <v>#VALUE!</v>
      </c>
      <c r="AL76" s="482" t="e">
        <f>INDEX(Reference!$T$23:$AB$33,AC76,AD76)</f>
        <v>#VALUE!</v>
      </c>
      <c r="AM76" s="482" t="e">
        <f>INDEX(Reference!$T$23:$AB$33,AC76,AE76)</f>
        <v>#VALUE!</v>
      </c>
      <c r="AN76" s="483" t="e">
        <f>INDEX(Reference!$S$7:$S$17,AB76,1)</f>
        <v>#VALUE!</v>
      </c>
      <c r="AO76" s="483" t="e">
        <f>INDEX(Reference!$S$7:$S$17,AC76,1)</f>
        <v>#VALUE!</v>
      </c>
      <c r="AP76" s="484" t="e">
        <f>INDEX(Reference!$T$6:$AB$6,1,AD76)</f>
        <v>#VALUE!</v>
      </c>
      <c r="AQ76" s="484" t="e">
        <f>INDEX(Reference!$T$6:$AB$6,1,AE76)</f>
        <v>#VALUE!</v>
      </c>
      <c r="AR76" s="629" t="e">
        <f t="shared" si="30"/>
        <v>#VALUE!</v>
      </c>
      <c r="AS76" s="629" t="e">
        <f t="shared" si="31"/>
        <v>#VALUE!</v>
      </c>
      <c r="AT76" s="629" t="e">
        <f t="shared" si="32"/>
        <v>#VALUE!</v>
      </c>
      <c r="AU76" s="629" t="e">
        <f t="shared" si="33"/>
        <v>#VALUE!</v>
      </c>
      <c r="AV76" s="629" t="e">
        <f t="shared" si="34"/>
        <v>#VALUE!</v>
      </c>
      <c r="AW76" s="630" t="e">
        <f t="shared" si="35"/>
        <v>#VALUE!</v>
      </c>
      <c r="AZ76" s="489" t="str">
        <f t="shared" si="36"/>
        <v/>
      </c>
      <c r="BA76" s="631" t="e">
        <f t="shared" si="40"/>
        <v>#VALUE!</v>
      </c>
      <c r="BB76" s="491" t="e">
        <f t="shared" si="40"/>
        <v>#VALUE!</v>
      </c>
      <c r="BC76" s="491" t="e">
        <f t="shared" si="40"/>
        <v>#VALUE!</v>
      </c>
      <c r="BD76" s="491" t="e">
        <f t="shared" si="40"/>
        <v>#VALUE!</v>
      </c>
      <c r="BE76" s="491" t="e">
        <f t="shared" si="40"/>
        <v>#VALUE!</v>
      </c>
      <c r="BF76" s="491" t="e">
        <f t="shared" si="40"/>
        <v>#VALUE!</v>
      </c>
      <c r="BG76" s="491" t="e">
        <f t="shared" si="40"/>
        <v>#VALUE!</v>
      </c>
      <c r="BH76" s="491" t="e">
        <f t="shared" si="40"/>
        <v>#VALUE!</v>
      </c>
      <c r="BI76" s="491" t="e">
        <f t="shared" si="40"/>
        <v>#VALUE!</v>
      </c>
      <c r="BJ76" s="491" t="e">
        <f t="shared" si="40"/>
        <v>#VALUE!</v>
      </c>
      <c r="BK76" s="400">
        <f t="shared" si="37"/>
        <v>26</v>
      </c>
      <c r="BL76" s="491" t="e">
        <f t="shared" si="38"/>
        <v>#VALUE!</v>
      </c>
      <c r="BM76" s="491" t="e">
        <f t="shared" si="38"/>
        <v>#VALUE!</v>
      </c>
      <c r="BN76" s="491" t="e">
        <f t="shared" si="38"/>
        <v>#VALUE!</v>
      </c>
      <c r="BO76" s="491" t="e">
        <f t="shared" si="38"/>
        <v>#VALUE!</v>
      </c>
      <c r="BP76" s="622" t="e">
        <f t="shared" si="39"/>
        <v>#VALUE!</v>
      </c>
      <c r="BQ76" s="274" t="e">
        <f>IF(L76="","Column",IF(OR(C76&lt;MAX(ColSpa1,Geometry!$J$107),C76&gt;MAX(MAX(Geometry!$I$107:$I$116),MAX(Geometry!$J$107:$J$116))),MIN(6,INDEX($O$45:$O$48,MATCH(L76,$O$45:$O$48,1),1)),INDEX($O$45:$O$48,MATCH(L76,$O$45:$O$48,1),1)))</f>
        <v>#VALUE!</v>
      </c>
    </row>
    <row r="77" spans="1:69">
      <c r="A77" s="339"/>
      <c r="B77" s="96" t="e">
        <f>IF(MIN(ABS(C77-INDEX(Geometry!$Q$104:$Q$113,IF(ISERROR(MATCH(C77,Geometry!$Q$104:$Q$113,1)),1,MATCH(C77,Geometry!$Q$104:$Q$113,1)),1)),ABS(C77-INDEX(Geometry!$Q$104:$Q$113,IF(ISERROR(MAX(11-MATCH(C77,Geometry!$R$104:$R$113,-1),1)),1,MAX(11-MATCH(C77,Geometry!$R$104:$R$113,-1),1)),1)))&lt;(halfeffectiveface/12),"#","")</f>
        <v>#VALUE!</v>
      </c>
      <c r="C77" s="96" t="str">
        <f>'CAP18 Out(1)'!D35</f>
        <v/>
      </c>
      <c r="D77" s="184" t="str">
        <f>'CAP18 Out(1)'!M35</f>
        <v/>
      </c>
      <c r="E77" s="179" t="e">
        <f t="shared" si="13"/>
        <v>#VALUE!</v>
      </c>
      <c r="F77" s="87" t="e">
        <f t="shared" si="14"/>
        <v>#VALUE!</v>
      </c>
      <c r="G77" s="87" t="e">
        <f t="shared" si="15"/>
        <v>#VALUE!</v>
      </c>
      <c r="H77" s="185" t="e">
        <f t="shared" si="16"/>
        <v>#VALUE!</v>
      </c>
      <c r="I77" s="184" t="e">
        <f t="shared" si="17"/>
        <v>#VALUE!</v>
      </c>
      <c r="J77" s="184">
        <f t="shared" si="18"/>
        <v>0</v>
      </c>
      <c r="K77" s="184">
        <f t="shared" si="19"/>
        <v>0</v>
      </c>
      <c r="L77" s="296" t="e">
        <f t="shared" si="20"/>
        <v>#VALUE!</v>
      </c>
      <c r="M77" s="294" t="e">
        <f>IF(L77="Column","",IF(OR(C77&lt;MAX(ColSpa1,Geometry!$J$107),C77&gt;MAX(MAX(Geometry!$I$107:$I$116),MAX(Geometry!$J$107:$J$116))),"OH - 6''",""))</f>
        <v>#VALUE!</v>
      </c>
      <c r="N77" s="1053">
        <v>36.4</v>
      </c>
      <c r="O77" s="489">
        <f t="shared" si="21"/>
        <v>0</v>
      </c>
      <c r="P77" s="489">
        <f t="shared" si="22"/>
        <v>0</v>
      </c>
      <c r="Q77" s="400" t="e">
        <f>'CAP18 Out(1)'!I35</f>
        <v>#VALUE!</v>
      </c>
      <c r="R77" s="400" t="e">
        <f>'CAP18 Out(1)'!J35</f>
        <v>#VALUE!</v>
      </c>
      <c r="S77" s="400" t="e">
        <f>IF(E77=ABS(Q77),VLOOKUP('Bars B'!$F$10,BarTable,4,FALSE)/12,1.3*VLOOKUP('Bars A'!$F$10,BarTable,4,FALSE)/12)</f>
        <v>#VALUE!</v>
      </c>
      <c r="T77" s="626" t="e">
        <f t="shared" si="23"/>
        <v>#VALUE!</v>
      </c>
      <c r="U77" s="489" t="e">
        <f>IF(T77&gt;S77,IF(E77=ABS(R77),'Bars A'!$I$13,'Bars B'!$I$13),0.0000000001)</f>
        <v>#VALUE!</v>
      </c>
      <c r="V77" s="483" t="e">
        <f t="shared" si="24"/>
        <v>#VALUE!</v>
      </c>
      <c r="W77" s="627" t="e">
        <f t="shared" si="25"/>
        <v>#VALUE!</v>
      </c>
      <c r="X77" s="628" t="e">
        <f t="shared" si="26"/>
        <v>#VALUE!</v>
      </c>
      <c r="Y77" s="489" t="e">
        <f t="shared" si="27"/>
        <v>#VALUE!</v>
      </c>
      <c r="Z77" s="629" t="e">
        <f t="shared" si="28"/>
        <v>#VALUE!</v>
      </c>
      <c r="AA77" s="626" t="e">
        <f t="shared" si="29"/>
        <v>#VALUE!</v>
      </c>
      <c r="AB77" s="481" t="e">
        <f>MATCH(V77,Reference!$S$7:$S$17,1)</f>
        <v>#VALUE!</v>
      </c>
      <c r="AC77" s="1388" t="e">
        <f>12-MATCH(V77,Reference!$AD$6:$AD$16,-1)</f>
        <v>#VALUE!</v>
      </c>
      <c r="AD77" s="482" t="e">
        <f>MATCH(X77,Reference!$T$6:$AB$6,1)</f>
        <v>#VALUE!</v>
      </c>
      <c r="AE77" s="482" t="e">
        <f>10-MATCH(X77,Reference!$AD$18:$AL$18,-1)</f>
        <v>#VALUE!</v>
      </c>
      <c r="AF77" s="482" t="e">
        <f>INDEX(Reference!$T$7:$AB$17,AB77,AD77)</f>
        <v>#VALUE!</v>
      </c>
      <c r="AG77" s="482" t="e">
        <f>INDEX(Reference!$T$7:$AB$17,AB77,AE77)</f>
        <v>#VALUE!</v>
      </c>
      <c r="AH77" s="482" t="e">
        <f>INDEX(Reference!$T$7:$AB$17,AC77,AD77)</f>
        <v>#VALUE!</v>
      </c>
      <c r="AI77" s="482" t="e">
        <f>INDEX(Reference!$T$7:$AB$17,AC77,AE77)</f>
        <v>#VALUE!</v>
      </c>
      <c r="AJ77" s="482" t="e">
        <f>INDEX(Reference!$T$23:$AB$33,AB77,AD77)</f>
        <v>#VALUE!</v>
      </c>
      <c r="AK77" s="482" t="e">
        <f>INDEX(Reference!$T$23:$AB$33,AB77,AE77)</f>
        <v>#VALUE!</v>
      </c>
      <c r="AL77" s="482" t="e">
        <f>INDEX(Reference!$T$23:$AB$33,AC77,AD77)</f>
        <v>#VALUE!</v>
      </c>
      <c r="AM77" s="482" t="e">
        <f>INDEX(Reference!$T$23:$AB$33,AC77,AE77)</f>
        <v>#VALUE!</v>
      </c>
      <c r="AN77" s="483" t="e">
        <f>INDEX(Reference!$S$7:$S$17,AB77,1)</f>
        <v>#VALUE!</v>
      </c>
      <c r="AO77" s="483" t="e">
        <f>INDEX(Reference!$S$7:$S$17,AC77,1)</f>
        <v>#VALUE!</v>
      </c>
      <c r="AP77" s="484" t="e">
        <f>INDEX(Reference!$T$6:$AB$6,1,AD77)</f>
        <v>#VALUE!</v>
      </c>
      <c r="AQ77" s="484" t="e">
        <f>INDEX(Reference!$T$6:$AB$6,1,AE77)</f>
        <v>#VALUE!</v>
      </c>
      <c r="AR77" s="629" t="e">
        <f t="shared" si="30"/>
        <v>#VALUE!</v>
      </c>
      <c r="AS77" s="629" t="e">
        <f t="shared" si="31"/>
        <v>#VALUE!</v>
      </c>
      <c r="AT77" s="629" t="e">
        <f t="shared" si="32"/>
        <v>#VALUE!</v>
      </c>
      <c r="AU77" s="629" t="e">
        <f t="shared" si="33"/>
        <v>#VALUE!</v>
      </c>
      <c r="AV77" s="629" t="e">
        <f t="shared" si="34"/>
        <v>#VALUE!</v>
      </c>
      <c r="AW77" s="630" t="e">
        <f t="shared" si="35"/>
        <v>#VALUE!</v>
      </c>
      <c r="AZ77" s="489" t="str">
        <f t="shared" si="36"/>
        <v/>
      </c>
      <c r="BA77" s="631" t="e">
        <f t="shared" si="40"/>
        <v>#VALUE!</v>
      </c>
      <c r="BB77" s="491" t="e">
        <f t="shared" si="40"/>
        <v>#VALUE!</v>
      </c>
      <c r="BC77" s="491" t="e">
        <f t="shared" si="40"/>
        <v>#VALUE!</v>
      </c>
      <c r="BD77" s="491" t="e">
        <f t="shared" si="40"/>
        <v>#VALUE!</v>
      </c>
      <c r="BE77" s="491" t="e">
        <f t="shared" si="40"/>
        <v>#VALUE!</v>
      </c>
      <c r="BF77" s="491" t="e">
        <f t="shared" si="40"/>
        <v>#VALUE!</v>
      </c>
      <c r="BG77" s="491" t="e">
        <f t="shared" si="40"/>
        <v>#VALUE!</v>
      </c>
      <c r="BH77" s="491" t="e">
        <f t="shared" si="40"/>
        <v>#VALUE!</v>
      </c>
      <c r="BI77" s="491" t="e">
        <f t="shared" si="40"/>
        <v>#VALUE!</v>
      </c>
      <c r="BJ77" s="491" t="e">
        <f t="shared" si="40"/>
        <v>#VALUE!</v>
      </c>
      <c r="BK77" s="400">
        <f t="shared" si="37"/>
        <v>27</v>
      </c>
      <c r="BL77" s="491" t="e">
        <f t="shared" si="38"/>
        <v>#VALUE!</v>
      </c>
      <c r="BM77" s="491" t="e">
        <f t="shared" si="38"/>
        <v>#VALUE!</v>
      </c>
      <c r="BN77" s="491" t="e">
        <f t="shared" si="38"/>
        <v>#VALUE!</v>
      </c>
      <c r="BO77" s="491" t="e">
        <f t="shared" si="38"/>
        <v>#VALUE!</v>
      </c>
      <c r="BP77" s="622" t="e">
        <f t="shared" si="39"/>
        <v>#VALUE!</v>
      </c>
      <c r="BQ77" s="274" t="e">
        <f>IF(L77="","Column",IF(OR(C77&lt;MAX(ColSpa1,Geometry!$J$107),C77&gt;MAX(MAX(Geometry!$I$107:$I$116),MAX(Geometry!$J$107:$J$116))),MIN(6,INDEX($O$45:$O$48,MATCH(L77,$O$45:$O$48,1),1)),INDEX($O$45:$O$48,MATCH(L77,$O$45:$O$48,1),1)))</f>
        <v>#VALUE!</v>
      </c>
    </row>
    <row r="78" spans="1:69">
      <c r="A78" s="339"/>
      <c r="B78" s="96" t="e">
        <f>IF(MIN(ABS(C78-INDEX(Geometry!$Q$104:$Q$113,IF(ISERROR(MATCH(C78,Geometry!$Q$104:$Q$113,1)),1,MATCH(C78,Geometry!$Q$104:$Q$113,1)),1)),ABS(C78-INDEX(Geometry!$Q$104:$Q$113,IF(ISERROR(MAX(11-MATCH(C78,Geometry!$R$104:$R$113,-1),1)),1,MAX(11-MATCH(C78,Geometry!$R$104:$R$113,-1),1)),1)))&lt;(halfeffectiveface/12),"#","")</f>
        <v>#VALUE!</v>
      </c>
      <c r="C78" s="96" t="str">
        <f>'CAP18 Out(1)'!D36</f>
        <v/>
      </c>
      <c r="D78" s="184" t="str">
        <f>'CAP18 Out(1)'!M36</f>
        <v/>
      </c>
      <c r="E78" s="179" t="e">
        <f t="shared" si="13"/>
        <v>#VALUE!</v>
      </c>
      <c r="F78" s="87" t="e">
        <f t="shared" si="14"/>
        <v>#VALUE!</v>
      </c>
      <c r="G78" s="87" t="e">
        <f t="shared" si="15"/>
        <v>#VALUE!</v>
      </c>
      <c r="H78" s="185" t="e">
        <f t="shared" si="16"/>
        <v>#VALUE!</v>
      </c>
      <c r="I78" s="184" t="e">
        <f t="shared" si="17"/>
        <v>#VALUE!</v>
      </c>
      <c r="J78" s="184">
        <f t="shared" si="18"/>
        <v>0</v>
      </c>
      <c r="K78" s="184">
        <f t="shared" si="19"/>
        <v>0</v>
      </c>
      <c r="L78" s="296" t="e">
        <f t="shared" si="20"/>
        <v>#VALUE!</v>
      </c>
      <c r="M78" s="294" t="e">
        <f>IF(L78="Column","",IF(OR(C78&lt;MAX(ColSpa1,Geometry!$J$107),C78&gt;MAX(MAX(Geometry!$I$107:$I$116),MAX(Geometry!$J$107:$J$116))),"OH - 6''",""))</f>
        <v>#VALUE!</v>
      </c>
      <c r="N78" s="1053">
        <v>36.811673715446751</v>
      </c>
      <c r="O78" s="489">
        <f t="shared" si="21"/>
        <v>0</v>
      </c>
      <c r="P78" s="489">
        <f t="shared" si="22"/>
        <v>0</v>
      </c>
      <c r="Q78" s="400" t="e">
        <f>'CAP18 Out(1)'!I36</f>
        <v>#VALUE!</v>
      </c>
      <c r="R78" s="400" t="e">
        <f>'CAP18 Out(1)'!J36</f>
        <v>#VALUE!</v>
      </c>
      <c r="S78" s="400" t="e">
        <f>IF(E78=ABS(Q78),VLOOKUP('Bars B'!$F$10,BarTable,4,FALSE)/12,1.3*VLOOKUP('Bars A'!$F$10,BarTable,4,FALSE)/12)</f>
        <v>#VALUE!</v>
      </c>
      <c r="T78" s="626" t="e">
        <f t="shared" si="23"/>
        <v>#VALUE!</v>
      </c>
      <c r="U78" s="489" t="e">
        <f>IF(T78&gt;S78,IF(E78=ABS(R78),'Bars A'!$I$13,'Bars B'!$I$13),0.0000000001)</f>
        <v>#VALUE!</v>
      </c>
      <c r="V78" s="483" t="e">
        <f t="shared" si="24"/>
        <v>#VALUE!</v>
      </c>
      <c r="W78" s="627" t="e">
        <f t="shared" si="25"/>
        <v>#VALUE!</v>
      </c>
      <c r="X78" s="628" t="e">
        <f t="shared" si="26"/>
        <v>#VALUE!</v>
      </c>
      <c r="Y78" s="489" t="e">
        <f t="shared" si="27"/>
        <v>#VALUE!</v>
      </c>
      <c r="Z78" s="629" t="e">
        <f t="shared" si="28"/>
        <v>#VALUE!</v>
      </c>
      <c r="AA78" s="626" t="e">
        <f t="shared" si="29"/>
        <v>#VALUE!</v>
      </c>
      <c r="AB78" s="481" t="e">
        <f>MATCH(V78,Reference!$S$7:$S$17,1)</f>
        <v>#VALUE!</v>
      </c>
      <c r="AC78" s="1388" t="e">
        <f>12-MATCH(V78,Reference!$AD$6:$AD$16,-1)</f>
        <v>#VALUE!</v>
      </c>
      <c r="AD78" s="482" t="e">
        <f>MATCH(X78,Reference!$T$6:$AB$6,1)</f>
        <v>#VALUE!</v>
      </c>
      <c r="AE78" s="482" t="e">
        <f>10-MATCH(X78,Reference!$AD$18:$AL$18,-1)</f>
        <v>#VALUE!</v>
      </c>
      <c r="AF78" s="482" t="e">
        <f>INDEX(Reference!$T$7:$AB$17,AB78,AD78)</f>
        <v>#VALUE!</v>
      </c>
      <c r="AG78" s="482" t="e">
        <f>INDEX(Reference!$T$7:$AB$17,AB78,AE78)</f>
        <v>#VALUE!</v>
      </c>
      <c r="AH78" s="482" t="e">
        <f>INDEX(Reference!$T$7:$AB$17,AC78,AD78)</f>
        <v>#VALUE!</v>
      </c>
      <c r="AI78" s="482" t="e">
        <f>INDEX(Reference!$T$7:$AB$17,AC78,AE78)</f>
        <v>#VALUE!</v>
      </c>
      <c r="AJ78" s="482" t="e">
        <f>INDEX(Reference!$T$23:$AB$33,AB78,AD78)</f>
        <v>#VALUE!</v>
      </c>
      <c r="AK78" s="482" t="e">
        <f>INDEX(Reference!$T$23:$AB$33,AB78,AE78)</f>
        <v>#VALUE!</v>
      </c>
      <c r="AL78" s="482" t="e">
        <f>INDEX(Reference!$T$23:$AB$33,AC78,AD78)</f>
        <v>#VALUE!</v>
      </c>
      <c r="AM78" s="482" t="e">
        <f>INDEX(Reference!$T$23:$AB$33,AC78,AE78)</f>
        <v>#VALUE!</v>
      </c>
      <c r="AN78" s="483" t="e">
        <f>INDEX(Reference!$S$7:$S$17,AB78,1)</f>
        <v>#VALUE!</v>
      </c>
      <c r="AO78" s="483" t="e">
        <f>INDEX(Reference!$S$7:$S$17,AC78,1)</f>
        <v>#VALUE!</v>
      </c>
      <c r="AP78" s="484" t="e">
        <f>INDEX(Reference!$T$6:$AB$6,1,AD78)</f>
        <v>#VALUE!</v>
      </c>
      <c r="AQ78" s="484" t="e">
        <f>INDEX(Reference!$T$6:$AB$6,1,AE78)</f>
        <v>#VALUE!</v>
      </c>
      <c r="AR78" s="629" t="e">
        <f t="shared" si="30"/>
        <v>#VALUE!</v>
      </c>
      <c r="AS78" s="629" t="e">
        <f t="shared" si="31"/>
        <v>#VALUE!</v>
      </c>
      <c r="AT78" s="629" t="e">
        <f t="shared" si="32"/>
        <v>#VALUE!</v>
      </c>
      <c r="AU78" s="629" t="e">
        <f t="shared" si="33"/>
        <v>#VALUE!</v>
      </c>
      <c r="AV78" s="629" t="e">
        <f t="shared" si="34"/>
        <v>#VALUE!</v>
      </c>
      <c r="AW78" s="630" t="e">
        <f t="shared" si="35"/>
        <v>#VALUE!</v>
      </c>
      <c r="AZ78" s="489" t="str">
        <f t="shared" si="36"/>
        <v/>
      </c>
      <c r="BA78" s="631" t="e">
        <f t="shared" si="40"/>
        <v>#VALUE!</v>
      </c>
      <c r="BB78" s="491" t="e">
        <f t="shared" si="40"/>
        <v>#VALUE!</v>
      </c>
      <c r="BC78" s="491" t="e">
        <f t="shared" si="40"/>
        <v>#VALUE!</v>
      </c>
      <c r="BD78" s="491" t="e">
        <f t="shared" si="40"/>
        <v>#VALUE!</v>
      </c>
      <c r="BE78" s="491" t="e">
        <f t="shared" si="40"/>
        <v>#VALUE!</v>
      </c>
      <c r="BF78" s="491" t="e">
        <f t="shared" si="40"/>
        <v>#VALUE!</v>
      </c>
      <c r="BG78" s="491" t="e">
        <f t="shared" si="40"/>
        <v>#VALUE!</v>
      </c>
      <c r="BH78" s="491" t="e">
        <f t="shared" si="40"/>
        <v>#VALUE!</v>
      </c>
      <c r="BI78" s="491" t="e">
        <f t="shared" si="40"/>
        <v>#VALUE!</v>
      </c>
      <c r="BJ78" s="491" t="e">
        <f t="shared" si="40"/>
        <v>#VALUE!</v>
      </c>
      <c r="BK78" s="400">
        <f t="shared" si="37"/>
        <v>28</v>
      </c>
      <c r="BL78" s="491" t="e">
        <f t="shared" si="38"/>
        <v>#VALUE!</v>
      </c>
      <c r="BM78" s="491" t="e">
        <f t="shared" si="38"/>
        <v>#VALUE!</v>
      </c>
      <c r="BN78" s="491" t="e">
        <f t="shared" si="38"/>
        <v>#VALUE!</v>
      </c>
      <c r="BO78" s="491" t="e">
        <f t="shared" si="38"/>
        <v>#VALUE!</v>
      </c>
      <c r="BP78" s="622" t="e">
        <f t="shared" si="39"/>
        <v>#VALUE!</v>
      </c>
      <c r="BQ78" s="274" t="e">
        <f>IF(L78="","Column",IF(OR(C78&lt;MAX(ColSpa1,Geometry!$J$107),C78&gt;MAX(MAX(Geometry!$I$107:$I$116),MAX(Geometry!$J$107:$J$116))),MIN(6,INDEX($O$45:$O$48,MATCH(L78,$O$45:$O$48,1),1)),INDEX($O$45:$O$48,MATCH(L78,$O$45:$O$48,1),1)))</f>
        <v>#VALUE!</v>
      </c>
    </row>
    <row r="79" spans="1:69">
      <c r="A79" s="339"/>
      <c r="B79" s="96" t="e">
        <f>IF(MIN(ABS(C79-INDEX(Geometry!$Q$104:$Q$113,IF(ISERROR(MATCH(C79,Geometry!$Q$104:$Q$113,1)),1,MATCH(C79,Geometry!$Q$104:$Q$113,1)),1)),ABS(C79-INDEX(Geometry!$Q$104:$Q$113,IF(ISERROR(MAX(11-MATCH(C79,Geometry!$R$104:$R$113,-1),1)),1,MAX(11-MATCH(C79,Geometry!$R$104:$R$113,-1),1)),1)))&lt;(halfeffectiveface/12),"#","")</f>
        <v>#VALUE!</v>
      </c>
      <c r="C79" s="96" t="str">
        <f>'CAP18 Out(1)'!D37</f>
        <v/>
      </c>
      <c r="D79" s="184" t="str">
        <f>'CAP18 Out(1)'!M37</f>
        <v/>
      </c>
      <c r="E79" s="179" t="e">
        <f t="shared" si="13"/>
        <v>#VALUE!</v>
      </c>
      <c r="F79" s="87" t="e">
        <f t="shared" si="14"/>
        <v>#VALUE!</v>
      </c>
      <c r="G79" s="87" t="e">
        <f t="shared" si="15"/>
        <v>#VALUE!</v>
      </c>
      <c r="H79" s="185" t="e">
        <f t="shared" si="16"/>
        <v>#VALUE!</v>
      </c>
      <c r="I79" s="184" t="e">
        <f t="shared" si="17"/>
        <v>#VALUE!</v>
      </c>
      <c r="J79" s="184">
        <f t="shared" si="18"/>
        <v>0</v>
      </c>
      <c r="K79" s="184">
        <f t="shared" si="19"/>
        <v>0</v>
      </c>
      <c r="L79" s="296" t="e">
        <f t="shared" si="20"/>
        <v>#VALUE!</v>
      </c>
      <c r="M79" s="294" t="e">
        <f>IF(L79="Column","",IF(OR(C79&lt;MAX(ColSpa1,Geometry!$J$107),C79&gt;MAX(MAX(Geometry!$I$107:$I$116),MAX(Geometry!$J$107:$J$116))),"OH - 6''",""))</f>
        <v>#VALUE!</v>
      </c>
      <c r="N79" s="1053">
        <v>36.535833638327546</v>
      </c>
      <c r="O79" s="489">
        <f t="shared" si="21"/>
        <v>0</v>
      </c>
      <c r="P79" s="489">
        <f t="shared" si="22"/>
        <v>0</v>
      </c>
      <c r="Q79" s="400" t="e">
        <f>'CAP18 Out(1)'!I37</f>
        <v>#VALUE!</v>
      </c>
      <c r="R79" s="400" t="e">
        <f>'CAP18 Out(1)'!J37</f>
        <v>#VALUE!</v>
      </c>
      <c r="S79" s="400" t="e">
        <f>IF(E79=ABS(Q79),VLOOKUP('Bars B'!$F$10,BarTable,4,FALSE)/12,1.3*VLOOKUP('Bars A'!$F$10,BarTable,4,FALSE)/12)</f>
        <v>#VALUE!</v>
      </c>
      <c r="T79" s="626" t="e">
        <f t="shared" si="23"/>
        <v>#VALUE!</v>
      </c>
      <c r="U79" s="489" t="e">
        <f>IF(T79&gt;S79,IF(E79=ABS(R79),'Bars A'!$I$13,'Bars B'!$I$13),0.0000000001)</f>
        <v>#VALUE!</v>
      </c>
      <c r="V79" s="483" t="e">
        <f t="shared" si="24"/>
        <v>#VALUE!</v>
      </c>
      <c r="W79" s="627" t="e">
        <f t="shared" si="25"/>
        <v>#VALUE!</v>
      </c>
      <c r="X79" s="628" t="e">
        <f t="shared" si="26"/>
        <v>#VALUE!</v>
      </c>
      <c r="Y79" s="489" t="e">
        <f t="shared" si="27"/>
        <v>#VALUE!</v>
      </c>
      <c r="Z79" s="629" t="e">
        <f t="shared" si="28"/>
        <v>#VALUE!</v>
      </c>
      <c r="AA79" s="626" t="e">
        <f t="shared" si="29"/>
        <v>#VALUE!</v>
      </c>
      <c r="AB79" s="481" t="e">
        <f>MATCH(V79,Reference!$S$7:$S$17,1)</f>
        <v>#VALUE!</v>
      </c>
      <c r="AC79" s="1388" t="e">
        <f>12-MATCH(V79,Reference!$AD$6:$AD$16,-1)</f>
        <v>#VALUE!</v>
      </c>
      <c r="AD79" s="482" t="e">
        <f>MATCH(X79,Reference!$T$6:$AB$6,1)</f>
        <v>#VALUE!</v>
      </c>
      <c r="AE79" s="482" t="e">
        <f>10-MATCH(X79,Reference!$AD$18:$AL$18,-1)</f>
        <v>#VALUE!</v>
      </c>
      <c r="AF79" s="482" t="e">
        <f>INDEX(Reference!$T$7:$AB$17,AB79,AD79)</f>
        <v>#VALUE!</v>
      </c>
      <c r="AG79" s="482" t="e">
        <f>INDEX(Reference!$T$7:$AB$17,AB79,AE79)</f>
        <v>#VALUE!</v>
      </c>
      <c r="AH79" s="482" t="e">
        <f>INDEX(Reference!$T$7:$AB$17,AC79,AD79)</f>
        <v>#VALUE!</v>
      </c>
      <c r="AI79" s="482" t="e">
        <f>INDEX(Reference!$T$7:$AB$17,AC79,AE79)</f>
        <v>#VALUE!</v>
      </c>
      <c r="AJ79" s="482" t="e">
        <f>INDEX(Reference!$T$23:$AB$33,AB79,AD79)</f>
        <v>#VALUE!</v>
      </c>
      <c r="AK79" s="482" t="e">
        <f>INDEX(Reference!$T$23:$AB$33,AB79,AE79)</f>
        <v>#VALUE!</v>
      </c>
      <c r="AL79" s="482" t="e">
        <f>INDEX(Reference!$T$23:$AB$33,AC79,AD79)</f>
        <v>#VALUE!</v>
      </c>
      <c r="AM79" s="482" t="e">
        <f>INDEX(Reference!$T$23:$AB$33,AC79,AE79)</f>
        <v>#VALUE!</v>
      </c>
      <c r="AN79" s="483" t="e">
        <f>INDEX(Reference!$S$7:$S$17,AB79,1)</f>
        <v>#VALUE!</v>
      </c>
      <c r="AO79" s="483" t="e">
        <f>INDEX(Reference!$S$7:$S$17,AC79,1)</f>
        <v>#VALUE!</v>
      </c>
      <c r="AP79" s="484" t="e">
        <f>INDEX(Reference!$T$6:$AB$6,1,AD79)</f>
        <v>#VALUE!</v>
      </c>
      <c r="AQ79" s="484" t="e">
        <f>INDEX(Reference!$T$6:$AB$6,1,AE79)</f>
        <v>#VALUE!</v>
      </c>
      <c r="AR79" s="629" t="e">
        <f t="shared" si="30"/>
        <v>#VALUE!</v>
      </c>
      <c r="AS79" s="629" t="e">
        <f t="shared" si="31"/>
        <v>#VALUE!</v>
      </c>
      <c r="AT79" s="629" t="e">
        <f t="shared" si="32"/>
        <v>#VALUE!</v>
      </c>
      <c r="AU79" s="629" t="e">
        <f t="shared" si="33"/>
        <v>#VALUE!</v>
      </c>
      <c r="AV79" s="629" t="e">
        <f t="shared" si="34"/>
        <v>#VALUE!</v>
      </c>
      <c r="AW79" s="630" t="e">
        <f t="shared" si="35"/>
        <v>#VALUE!</v>
      </c>
      <c r="AZ79" s="489" t="str">
        <f t="shared" si="36"/>
        <v/>
      </c>
      <c r="BA79" s="631" t="e">
        <f t="shared" si="40"/>
        <v>#VALUE!</v>
      </c>
      <c r="BB79" s="491" t="e">
        <f t="shared" si="40"/>
        <v>#VALUE!</v>
      </c>
      <c r="BC79" s="491" t="e">
        <f t="shared" si="40"/>
        <v>#VALUE!</v>
      </c>
      <c r="BD79" s="491" t="e">
        <f t="shared" si="40"/>
        <v>#VALUE!</v>
      </c>
      <c r="BE79" s="491" t="e">
        <f t="shared" si="40"/>
        <v>#VALUE!</v>
      </c>
      <c r="BF79" s="491" t="e">
        <f t="shared" si="40"/>
        <v>#VALUE!</v>
      </c>
      <c r="BG79" s="491" t="e">
        <f t="shared" si="40"/>
        <v>#VALUE!</v>
      </c>
      <c r="BH79" s="491" t="e">
        <f t="shared" si="40"/>
        <v>#VALUE!</v>
      </c>
      <c r="BI79" s="491" t="e">
        <f t="shared" si="40"/>
        <v>#VALUE!</v>
      </c>
      <c r="BJ79" s="491" t="e">
        <f t="shared" si="40"/>
        <v>#VALUE!</v>
      </c>
      <c r="BK79" s="400">
        <f t="shared" si="37"/>
        <v>29</v>
      </c>
      <c r="BL79" s="491" t="e">
        <f t="shared" si="38"/>
        <v>#VALUE!</v>
      </c>
      <c r="BM79" s="491" t="e">
        <f t="shared" si="38"/>
        <v>#VALUE!</v>
      </c>
      <c r="BN79" s="491" t="e">
        <f t="shared" si="38"/>
        <v>#VALUE!</v>
      </c>
      <c r="BO79" s="491" t="e">
        <f t="shared" si="38"/>
        <v>#VALUE!</v>
      </c>
      <c r="BP79" s="622" t="e">
        <f t="shared" si="39"/>
        <v>#VALUE!</v>
      </c>
      <c r="BQ79" s="274" t="e">
        <f>IF(L79="","Column",IF(OR(C79&lt;MAX(ColSpa1,Geometry!$J$107),C79&gt;MAX(MAX(Geometry!$I$107:$I$116),MAX(Geometry!$J$107:$J$116))),MIN(6,INDEX($O$45:$O$48,MATCH(L79,$O$45:$O$48,1),1)),INDEX($O$45:$O$48,MATCH(L79,$O$45:$O$48,1),1)))</f>
        <v>#VALUE!</v>
      </c>
    </row>
    <row r="80" spans="1:69">
      <c r="A80" s="339"/>
      <c r="B80" s="96" t="e">
        <f>IF(MIN(ABS(C80-INDEX(Geometry!$Q$104:$Q$113,IF(ISERROR(MATCH(C80,Geometry!$Q$104:$Q$113,1)),1,MATCH(C80,Geometry!$Q$104:$Q$113,1)),1)),ABS(C80-INDEX(Geometry!$Q$104:$Q$113,IF(ISERROR(MAX(11-MATCH(C80,Geometry!$R$104:$R$113,-1),1)),1,MAX(11-MATCH(C80,Geometry!$R$104:$R$113,-1),1)),1)))&lt;(halfeffectiveface/12),"#","")</f>
        <v>#VALUE!</v>
      </c>
      <c r="C80" s="96" t="str">
        <f>'CAP18 Out(1)'!D38</f>
        <v/>
      </c>
      <c r="D80" s="184" t="str">
        <f>'CAP18 Out(1)'!M38</f>
        <v/>
      </c>
      <c r="E80" s="179" t="e">
        <f t="shared" si="13"/>
        <v>#VALUE!</v>
      </c>
      <c r="F80" s="87" t="e">
        <f t="shared" si="14"/>
        <v>#VALUE!</v>
      </c>
      <c r="G80" s="87" t="e">
        <f t="shared" si="15"/>
        <v>#VALUE!</v>
      </c>
      <c r="H80" s="185" t="e">
        <f t="shared" si="16"/>
        <v>#VALUE!</v>
      </c>
      <c r="I80" s="184" t="e">
        <f t="shared" si="17"/>
        <v>#VALUE!</v>
      </c>
      <c r="J80" s="184">
        <f t="shared" si="18"/>
        <v>0</v>
      </c>
      <c r="K80" s="184">
        <f t="shared" si="19"/>
        <v>0</v>
      </c>
      <c r="L80" s="296" t="e">
        <f t="shared" si="20"/>
        <v>#VALUE!</v>
      </c>
      <c r="M80" s="294" t="e">
        <f>IF(L80="Column","",IF(OR(C80&lt;MAX(ColSpa1,Geometry!$J$107),C80&gt;MAX(MAX(Geometry!$I$107:$I$116),MAX(Geometry!$J$107:$J$116))),"OH - 6''",""))</f>
        <v>#VALUE!</v>
      </c>
      <c r="N80" s="1053">
        <v>36.4</v>
      </c>
      <c r="O80" s="489">
        <f t="shared" si="21"/>
        <v>0</v>
      </c>
      <c r="P80" s="489">
        <f t="shared" si="22"/>
        <v>0</v>
      </c>
      <c r="Q80" s="400" t="e">
        <f>'CAP18 Out(1)'!I38</f>
        <v>#VALUE!</v>
      </c>
      <c r="R80" s="400" t="e">
        <f>'CAP18 Out(1)'!J38</f>
        <v>#VALUE!</v>
      </c>
      <c r="S80" s="400" t="e">
        <f>IF(E80=ABS(Q80),VLOOKUP('Bars B'!$F$10,BarTable,4,FALSE)/12,1.3*VLOOKUP('Bars A'!$F$10,BarTable,4,FALSE)/12)</f>
        <v>#VALUE!</v>
      </c>
      <c r="T80" s="626" t="e">
        <f t="shared" si="23"/>
        <v>#VALUE!</v>
      </c>
      <c r="U80" s="489" t="e">
        <f>IF(T80&gt;S80,IF(E80=ABS(R80),'Bars A'!$I$13,'Bars B'!$I$13),0.0000000001)</f>
        <v>#VALUE!</v>
      </c>
      <c r="V80" s="483" t="e">
        <f t="shared" si="24"/>
        <v>#VALUE!</v>
      </c>
      <c r="W80" s="627" t="e">
        <f t="shared" si="25"/>
        <v>#VALUE!</v>
      </c>
      <c r="X80" s="628" t="e">
        <f t="shared" si="26"/>
        <v>#VALUE!</v>
      </c>
      <c r="Y80" s="489" t="e">
        <f t="shared" si="27"/>
        <v>#VALUE!</v>
      </c>
      <c r="Z80" s="629" t="e">
        <f t="shared" si="28"/>
        <v>#VALUE!</v>
      </c>
      <c r="AA80" s="626" t="e">
        <f t="shared" si="29"/>
        <v>#VALUE!</v>
      </c>
      <c r="AB80" s="481" t="e">
        <f>MATCH(V80,Reference!$S$7:$S$17,1)</f>
        <v>#VALUE!</v>
      </c>
      <c r="AC80" s="1388" t="e">
        <f>12-MATCH(V80,Reference!$AD$6:$AD$16,-1)</f>
        <v>#VALUE!</v>
      </c>
      <c r="AD80" s="482" t="e">
        <f>MATCH(X80,Reference!$T$6:$AB$6,1)</f>
        <v>#VALUE!</v>
      </c>
      <c r="AE80" s="482" t="e">
        <f>10-MATCH(X80,Reference!$AD$18:$AL$18,-1)</f>
        <v>#VALUE!</v>
      </c>
      <c r="AF80" s="482" t="e">
        <f>INDEX(Reference!$T$7:$AB$17,AB80,AD80)</f>
        <v>#VALUE!</v>
      </c>
      <c r="AG80" s="482" t="e">
        <f>INDEX(Reference!$T$7:$AB$17,AB80,AE80)</f>
        <v>#VALUE!</v>
      </c>
      <c r="AH80" s="482" t="e">
        <f>INDEX(Reference!$T$7:$AB$17,AC80,AD80)</f>
        <v>#VALUE!</v>
      </c>
      <c r="AI80" s="482" t="e">
        <f>INDEX(Reference!$T$7:$AB$17,AC80,AE80)</f>
        <v>#VALUE!</v>
      </c>
      <c r="AJ80" s="482" t="e">
        <f>INDEX(Reference!$T$23:$AB$33,AB80,AD80)</f>
        <v>#VALUE!</v>
      </c>
      <c r="AK80" s="482" t="e">
        <f>INDEX(Reference!$T$23:$AB$33,AB80,AE80)</f>
        <v>#VALUE!</v>
      </c>
      <c r="AL80" s="482" t="e">
        <f>INDEX(Reference!$T$23:$AB$33,AC80,AD80)</f>
        <v>#VALUE!</v>
      </c>
      <c r="AM80" s="482" t="e">
        <f>INDEX(Reference!$T$23:$AB$33,AC80,AE80)</f>
        <v>#VALUE!</v>
      </c>
      <c r="AN80" s="483" t="e">
        <f>INDEX(Reference!$S$7:$S$17,AB80,1)</f>
        <v>#VALUE!</v>
      </c>
      <c r="AO80" s="483" t="e">
        <f>INDEX(Reference!$S$7:$S$17,AC80,1)</f>
        <v>#VALUE!</v>
      </c>
      <c r="AP80" s="484" t="e">
        <f>INDEX(Reference!$T$6:$AB$6,1,AD80)</f>
        <v>#VALUE!</v>
      </c>
      <c r="AQ80" s="484" t="e">
        <f>INDEX(Reference!$T$6:$AB$6,1,AE80)</f>
        <v>#VALUE!</v>
      </c>
      <c r="AR80" s="629" t="e">
        <f t="shared" si="30"/>
        <v>#VALUE!</v>
      </c>
      <c r="AS80" s="629" t="e">
        <f t="shared" si="31"/>
        <v>#VALUE!</v>
      </c>
      <c r="AT80" s="629" t="e">
        <f t="shared" si="32"/>
        <v>#VALUE!</v>
      </c>
      <c r="AU80" s="629" t="e">
        <f t="shared" si="33"/>
        <v>#VALUE!</v>
      </c>
      <c r="AV80" s="629" t="e">
        <f t="shared" si="34"/>
        <v>#VALUE!</v>
      </c>
      <c r="AW80" s="630" t="e">
        <f t="shared" si="35"/>
        <v>#VALUE!</v>
      </c>
      <c r="AZ80" s="489" t="str">
        <f t="shared" si="36"/>
        <v/>
      </c>
      <c r="BA80" s="631" t="e">
        <f t="shared" si="40"/>
        <v>#VALUE!</v>
      </c>
      <c r="BB80" s="491" t="e">
        <f t="shared" si="40"/>
        <v>#VALUE!</v>
      </c>
      <c r="BC80" s="491" t="e">
        <f t="shared" si="40"/>
        <v>#VALUE!</v>
      </c>
      <c r="BD80" s="491" t="e">
        <f t="shared" si="40"/>
        <v>#VALUE!</v>
      </c>
      <c r="BE80" s="491" t="e">
        <f t="shared" si="40"/>
        <v>#VALUE!</v>
      </c>
      <c r="BF80" s="491" t="e">
        <f t="shared" si="40"/>
        <v>#VALUE!</v>
      </c>
      <c r="BG80" s="491" t="e">
        <f t="shared" si="40"/>
        <v>#VALUE!</v>
      </c>
      <c r="BH80" s="491" t="e">
        <f t="shared" si="40"/>
        <v>#VALUE!</v>
      </c>
      <c r="BI80" s="491" t="e">
        <f t="shared" si="40"/>
        <v>#VALUE!</v>
      </c>
      <c r="BJ80" s="491" t="e">
        <f t="shared" si="40"/>
        <v>#VALUE!</v>
      </c>
      <c r="BK80" s="400">
        <f t="shared" si="37"/>
        <v>30</v>
      </c>
      <c r="BL80" s="491" t="e">
        <f t="shared" si="38"/>
        <v>#VALUE!</v>
      </c>
      <c r="BM80" s="491" t="e">
        <f t="shared" si="38"/>
        <v>#VALUE!</v>
      </c>
      <c r="BN80" s="491" t="e">
        <f t="shared" si="38"/>
        <v>#VALUE!</v>
      </c>
      <c r="BO80" s="491" t="e">
        <f t="shared" si="38"/>
        <v>#VALUE!</v>
      </c>
      <c r="BP80" s="622" t="e">
        <f t="shared" si="39"/>
        <v>#VALUE!</v>
      </c>
      <c r="BQ80" s="274" t="e">
        <f>IF(L80="","Column",IF(OR(C80&lt;MAX(ColSpa1,Geometry!$J$107),C80&gt;MAX(MAX(Geometry!$I$107:$I$116),MAX(Geometry!$J$107:$J$116))),MIN(6,INDEX($O$45:$O$48,MATCH(L80,$O$45:$O$48,1),1)),INDEX($O$45:$O$48,MATCH(L80,$O$45:$O$48,1),1)))</f>
        <v>#VALUE!</v>
      </c>
    </row>
    <row r="81" spans="1:69">
      <c r="A81" s="339"/>
      <c r="B81" s="96" t="e">
        <f>IF(MIN(ABS(C81-INDEX(Geometry!$Q$104:$Q$113,IF(ISERROR(MATCH(C81,Geometry!$Q$104:$Q$113,1)),1,MATCH(C81,Geometry!$Q$104:$Q$113,1)),1)),ABS(C81-INDEX(Geometry!$Q$104:$Q$113,IF(ISERROR(MAX(11-MATCH(C81,Geometry!$R$104:$R$113,-1),1)),1,MAX(11-MATCH(C81,Geometry!$R$104:$R$113,-1),1)),1)))&lt;(halfeffectiveface/12),"#","")</f>
        <v>#VALUE!</v>
      </c>
      <c r="C81" s="96" t="str">
        <f>'CAP18 Out(1)'!D39</f>
        <v/>
      </c>
      <c r="D81" s="184" t="str">
        <f>'CAP18 Out(1)'!M39</f>
        <v/>
      </c>
      <c r="E81" s="179" t="e">
        <f t="shared" si="13"/>
        <v>#VALUE!</v>
      </c>
      <c r="F81" s="87" t="e">
        <f t="shared" si="14"/>
        <v>#VALUE!</v>
      </c>
      <c r="G81" s="87" t="e">
        <f t="shared" si="15"/>
        <v>#VALUE!</v>
      </c>
      <c r="H81" s="185" t="e">
        <f t="shared" si="16"/>
        <v>#VALUE!</v>
      </c>
      <c r="I81" s="184" t="e">
        <f t="shared" si="17"/>
        <v>#VALUE!</v>
      </c>
      <c r="J81" s="184">
        <f t="shared" si="18"/>
        <v>0</v>
      </c>
      <c r="K81" s="184">
        <f t="shared" si="19"/>
        <v>0</v>
      </c>
      <c r="L81" s="296" t="e">
        <f t="shared" si="20"/>
        <v>#VALUE!</v>
      </c>
      <c r="M81" s="294" t="e">
        <f>IF(L81="Column","",IF(OR(C81&lt;MAX(ColSpa1,Geometry!$J$107),C81&gt;MAX(MAX(Geometry!$I$107:$I$116),MAX(Geometry!$J$107:$J$116))),"OH - 6''",""))</f>
        <v>#VALUE!</v>
      </c>
      <c r="N81" s="1053">
        <v>36.4</v>
      </c>
      <c r="O81" s="489">
        <f t="shared" si="21"/>
        <v>0</v>
      </c>
      <c r="P81" s="489">
        <f t="shared" si="22"/>
        <v>0</v>
      </c>
      <c r="Q81" s="400" t="e">
        <f>'CAP18 Out(1)'!I39</f>
        <v>#VALUE!</v>
      </c>
      <c r="R81" s="400" t="e">
        <f>'CAP18 Out(1)'!J39</f>
        <v>#VALUE!</v>
      </c>
      <c r="S81" s="400" t="e">
        <f>IF(E81=ABS(Q81),VLOOKUP('Bars B'!$F$10,BarTable,4,FALSE)/12,1.3*VLOOKUP('Bars A'!$F$10,BarTable,4,FALSE)/12)</f>
        <v>#VALUE!</v>
      </c>
      <c r="T81" s="626" t="e">
        <f t="shared" si="23"/>
        <v>#VALUE!</v>
      </c>
      <c r="U81" s="489" t="e">
        <f>IF(T81&gt;S81,IF(E81=ABS(R81),'Bars A'!$I$13,'Bars B'!$I$13),0.0000000001)</f>
        <v>#VALUE!</v>
      </c>
      <c r="V81" s="483" t="e">
        <f t="shared" si="24"/>
        <v>#VALUE!</v>
      </c>
      <c r="W81" s="627" t="e">
        <f t="shared" si="25"/>
        <v>#VALUE!</v>
      </c>
      <c r="X81" s="628" t="e">
        <f t="shared" si="26"/>
        <v>#VALUE!</v>
      </c>
      <c r="Y81" s="489" t="e">
        <f t="shared" si="27"/>
        <v>#VALUE!</v>
      </c>
      <c r="Z81" s="629" t="e">
        <f t="shared" si="28"/>
        <v>#VALUE!</v>
      </c>
      <c r="AA81" s="626" t="e">
        <f t="shared" si="29"/>
        <v>#VALUE!</v>
      </c>
      <c r="AB81" s="481" t="e">
        <f>MATCH(V81,Reference!$S$7:$S$17,1)</f>
        <v>#VALUE!</v>
      </c>
      <c r="AC81" s="1388" t="e">
        <f>12-MATCH(V81,Reference!$AD$6:$AD$16,-1)</f>
        <v>#VALUE!</v>
      </c>
      <c r="AD81" s="482" t="e">
        <f>MATCH(X81,Reference!$T$6:$AB$6,1)</f>
        <v>#VALUE!</v>
      </c>
      <c r="AE81" s="482" t="e">
        <f>10-MATCH(X81,Reference!$AD$18:$AL$18,-1)</f>
        <v>#VALUE!</v>
      </c>
      <c r="AF81" s="482" t="e">
        <f>INDEX(Reference!$T$7:$AB$17,AB81,AD81)</f>
        <v>#VALUE!</v>
      </c>
      <c r="AG81" s="482" t="e">
        <f>INDEX(Reference!$T$7:$AB$17,AB81,AE81)</f>
        <v>#VALUE!</v>
      </c>
      <c r="AH81" s="482" t="e">
        <f>INDEX(Reference!$T$7:$AB$17,AC81,AD81)</f>
        <v>#VALUE!</v>
      </c>
      <c r="AI81" s="482" t="e">
        <f>INDEX(Reference!$T$7:$AB$17,AC81,AE81)</f>
        <v>#VALUE!</v>
      </c>
      <c r="AJ81" s="482" t="e">
        <f>INDEX(Reference!$T$23:$AB$33,AB81,AD81)</f>
        <v>#VALUE!</v>
      </c>
      <c r="AK81" s="482" t="e">
        <f>INDEX(Reference!$T$23:$AB$33,AB81,AE81)</f>
        <v>#VALUE!</v>
      </c>
      <c r="AL81" s="482" t="e">
        <f>INDEX(Reference!$T$23:$AB$33,AC81,AD81)</f>
        <v>#VALUE!</v>
      </c>
      <c r="AM81" s="482" t="e">
        <f>INDEX(Reference!$T$23:$AB$33,AC81,AE81)</f>
        <v>#VALUE!</v>
      </c>
      <c r="AN81" s="483" t="e">
        <f>INDEX(Reference!$S$7:$S$17,AB81,1)</f>
        <v>#VALUE!</v>
      </c>
      <c r="AO81" s="483" t="e">
        <f>INDEX(Reference!$S$7:$S$17,AC81,1)</f>
        <v>#VALUE!</v>
      </c>
      <c r="AP81" s="484" t="e">
        <f>INDEX(Reference!$T$6:$AB$6,1,AD81)</f>
        <v>#VALUE!</v>
      </c>
      <c r="AQ81" s="484" t="e">
        <f>INDEX(Reference!$T$6:$AB$6,1,AE81)</f>
        <v>#VALUE!</v>
      </c>
      <c r="AR81" s="629" t="e">
        <f t="shared" si="30"/>
        <v>#VALUE!</v>
      </c>
      <c r="AS81" s="629" t="e">
        <f t="shared" si="31"/>
        <v>#VALUE!</v>
      </c>
      <c r="AT81" s="629" t="e">
        <f t="shared" si="32"/>
        <v>#VALUE!</v>
      </c>
      <c r="AU81" s="629" t="e">
        <f t="shared" si="33"/>
        <v>#VALUE!</v>
      </c>
      <c r="AV81" s="629" t="e">
        <f t="shared" si="34"/>
        <v>#VALUE!</v>
      </c>
      <c r="AW81" s="630" t="e">
        <f t="shared" si="35"/>
        <v>#VALUE!</v>
      </c>
      <c r="AZ81" s="489" t="str">
        <f t="shared" si="36"/>
        <v/>
      </c>
      <c r="BA81" s="631" t="e">
        <f t="shared" si="40"/>
        <v>#VALUE!</v>
      </c>
      <c r="BB81" s="491" t="e">
        <f t="shared" si="40"/>
        <v>#VALUE!</v>
      </c>
      <c r="BC81" s="491" t="e">
        <f t="shared" si="40"/>
        <v>#VALUE!</v>
      </c>
      <c r="BD81" s="491" t="e">
        <f t="shared" si="40"/>
        <v>#VALUE!</v>
      </c>
      <c r="BE81" s="491" t="e">
        <f t="shared" si="40"/>
        <v>#VALUE!</v>
      </c>
      <c r="BF81" s="491" t="e">
        <f t="shared" si="40"/>
        <v>#VALUE!</v>
      </c>
      <c r="BG81" s="491" t="e">
        <f t="shared" si="40"/>
        <v>#VALUE!</v>
      </c>
      <c r="BH81" s="491" t="e">
        <f t="shared" si="40"/>
        <v>#VALUE!</v>
      </c>
      <c r="BI81" s="491" t="e">
        <f t="shared" si="40"/>
        <v>#VALUE!</v>
      </c>
      <c r="BJ81" s="491" t="e">
        <f t="shared" si="40"/>
        <v>#VALUE!</v>
      </c>
      <c r="BK81" s="400">
        <f t="shared" si="37"/>
        <v>31</v>
      </c>
      <c r="BL81" s="491" t="e">
        <f t="shared" si="38"/>
        <v>#VALUE!</v>
      </c>
      <c r="BM81" s="491" t="e">
        <f t="shared" si="38"/>
        <v>#VALUE!</v>
      </c>
      <c r="BN81" s="491" t="e">
        <f t="shared" si="38"/>
        <v>#VALUE!</v>
      </c>
      <c r="BO81" s="491" t="e">
        <f t="shared" si="38"/>
        <v>#VALUE!</v>
      </c>
      <c r="BP81" s="622" t="e">
        <f t="shared" si="39"/>
        <v>#VALUE!</v>
      </c>
      <c r="BQ81" s="274" t="e">
        <f>IF(L81="","Column",IF(OR(C81&lt;MAX(ColSpa1,Geometry!$J$107),C81&gt;MAX(MAX(Geometry!$I$107:$I$116),MAX(Geometry!$J$107:$J$116))),MIN(6,INDEX($O$45:$O$48,MATCH(L81,$O$45:$O$48,1),1)),INDEX($O$45:$O$48,MATCH(L81,$O$45:$O$48,1),1)))</f>
        <v>#VALUE!</v>
      </c>
    </row>
    <row r="82" spans="1:69">
      <c r="A82" s="339"/>
      <c r="B82" s="96" t="e">
        <f>IF(MIN(ABS(C82-INDEX(Geometry!$Q$104:$Q$113,IF(ISERROR(MATCH(C82,Geometry!$Q$104:$Q$113,1)),1,MATCH(C82,Geometry!$Q$104:$Q$113,1)),1)),ABS(C82-INDEX(Geometry!$Q$104:$Q$113,IF(ISERROR(MAX(11-MATCH(C82,Geometry!$R$104:$R$113,-1),1)),1,MAX(11-MATCH(C82,Geometry!$R$104:$R$113,-1),1)),1)))&lt;(halfeffectiveface/12),"#","")</f>
        <v>#VALUE!</v>
      </c>
      <c r="C82" s="96" t="str">
        <f>'CAP18 Out(1)'!D40</f>
        <v/>
      </c>
      <c r="D82" s="184" t="str">
        <f>'CAP18 Out(1)'!M40</f>
        <v/>
      </c>
      <c r="E82" s="179" t="e">
        <f t="shared" si="13"/>
        <v>#VALUE!</v>
      </c>
      <c r="F82" s="87" t="e">
        <f t="shared" si="14"/>
        <v>#VALUE!</v>
      </c>
      <c r="G82" s="87" t="e">
        <f t="shared" si="15"/>
        <v>#VALUE!</v>
      </c>
      <c r="H82" s="185" t="e">
        <f t="shared" si="16"/>
        <v>#VALUE!</v>
      </c>
      <c r="I82" s="184" t="e">
        <f t="shared" si="17"/>
        <v>#VALUE!</v>
      </c>
      <c r="J82" s="184">
        <f t="shared" si="18"/>
        <v>0</v>
      </c>
      <c r="K82" s="184">
        <f t="shared" si="19"/>
        <v>0</v>
      </c>
      <c r="L82" s="296" t="e">
        <f t="shared" si="20"/>
        <v>#VALUE!</v>
      </c>
      <c r="M82" s="294" t="e">
        <f>IF(L82="Column","",IF(OR(C82&lt;MAX(ColSpa1,Geometry!$J$107),C82&gt;MAX(MAX(Geometry!$I$107:$I$116),MAX(Geometry!$J$107:$J$116))),"OH - 6''",""))</f>
        <v>#VALUE!</v>
      </c>
      <c r="N82" s="1053">
        <v>36.4</v>
      </c>
      <c r="O82" s="489">
        <f t="shared" si="21"/>
        <v>0</v>
      </c>
      <c r="P82" s="489">
        <f t="shared" si="22"/>
        <v>0</v>
      </c>
      <c r="Q82" s="400" t="e">
        <f>'CAP18 Out(1)'!I40</f>
        <v>#VALUE!</v>
      </c>
      <c r="R82" s="400" t="e">
        <f>'CAP18 Out(1)'!J40</f>
        <v>#VALUE!</v>
      </c>
      <c r="S82" s="400" t="e">
        <f>IF(E82=ABS(Q82),VLOOKUP('Bars B'!$F$10,BarTable,4,FALSE)/12,1.3*VLOOKUP('Bars A'!$F$10,BarTable,4,FALSE)/12)</f>
        <v>#VALUE!</v>
      </c>
      <c r="T82" s="626" t="e">
        <f t="shared" si="23"/>
        <v>#VALUE!</v>
      </c>
      <c r="U82" s="489" t="e">
        <f>IF(T82&gt;S82,IF(E82=ABS(R82),'Bars A'!$I$13,'Bars B'!$I$13),0.0000000001)</f>
        <v>#VALUE!</v>
      </c>
      <c r="V82" s="483" t="e">
        <f t="shared" si="24"/>
        <v>#VALUE!</v>
      </c>
      <c r="W82" s="627" t="e">
        <f t="shared" si="25"/>
        <v>#VALUE!</v>
      </c>
      <c r="X82" s="628" t="e">
        <f t="shared" si="26"/>
        <v>#VALUE!</v>
      </c>
      <c r="Y82" s="489" t="e">
        <f t="shared" si="27"/>
        <v>#VALUE!</v>
      </c>
      <c r="Z82" s="629" t="e">
        <f t="shared" si="28"/>
        <v>#VALUE!</v>
      </c>
      <c r="AA82" s="626" t="e">
        <f t="shared" si="29"/>
        <v>#VALUE!</v>
      </c>
      <c r="AB82" s="481" t="e">
        <f>MATCH(V82,Reference!$S$7:$S$17,1)</f>
        <v>#VALUE!</v>
      </c>
      <c r="AC82" s="1388" t="e">
        <f>12-MATCH(V82,Reference!$AD$6:$AD$16,-1)</f>
        <v>#VALUE!</v>
      </c>
      <c r="AD82" s="482" t="e">
        <f>MATCH(X82,Reference!$T$6:$AB$6,1)</f>
        <v>#VALUE!</v>
      </c>
      <c r="AE82" s="482" t="e">
        <f>10-MATCH(X82,Reference!$AD$18:$AL$18,-1)</f>
        <v>#VALUE!</v>
      </c>
      <c r="AF82" s="482" t="e">
        <f>INDEX(Reference!$T$7:$AB$17,AB82,AD82)</f>
        <v>#VALUE!</v>
      </c>
      <c r="AG82" s="482" t="e">
        <f>INDEX(Reference!$T$7:$AB$17,AB82,AE82)</f>
        <v>#VALUE!</v>
      </c>
      <c r="AH82" s="482" t="e">
        <f>INDEX(Reference!$T$7:$AB$17,AC82,AD82)</f>
        <v>#VALUE!</v>
      </c>
      <c r="AI82" s="482" t="e">
        <f>INDEX(Reference!$T$7:$AB$17,AC82,AE82)</f>
        <v>#VALUE!</v>
      </c>
      <c r="AJ82" s="482" t="e">
        <f>INDEX(Reference!$T$23:$AB$33,AB82,AD82)</f>
        <v>#VALUE!</v>
      </c>
      <c r="AK82" s="482" t="e">
        <f>INDEX(Reference!$T$23:$AB$33,AB82,AE82)</f>
        <v>#VALUE!</v>
      </c>
      <c r="AL82" s="482" t="e">
        <f>INDEX(Reference!$T$23:$AB$33,AC82,AD82)</f>
        <v>#VALUE!</v>
      </c>
      <c r="AM82" s="482" t="e">
        <f>INDEX(Reference!$T$23:$AB$33,AC82,AE82)</f>
        <v>#VALUE!</v>
      </c>
      <c r="AN82" s="483" t="e">
        <f>INDEX(Reference!$S$7:$S$17,AB82,1)</f>
        <v>#VALUE!</v>
      </c>
      <c r="AO82" s="483" t="e">
        <f>INDEX(Reference!$S$7:$S$17,AC82,1)</f>
        <v>#VALUE!</v>
      </c>
      <c r="AP82" s="484" t="e">
        <f>INDEX(Reference!$T$6:$AB$6,1,AD82)</f>
        <v>#VALUE!</v>
      </c>
      <c r="AQ82" s="484" t="e">
        <f>INDEX(Reference!$T$6:$AB$6,1,AE82)</f>
        <v>#VALUE!</v>
      </c>
      <c r="AR82" s="629" t="e">
        <f t="shared" si="30"/>
        <v>#VALUE!</v>
      </c>
      <c r="AS82" s="629" t="e">
        <f t="shared" si="31"/>
        <v>#VALUE!</v>
      </c>
      <c r="AT82" s="629" t="e">
        <f t="shared" si="32"/>
        <v>#VALUE!</v>
      </c>
      <c r="AU82" s="629" t="e">
        <f t="shared" si="33"/>
        <v>#VALUE!</v>
      </c>
      <c r="AV82" s="629" t="e">
        <f t="shared" si="34"/>
        <v>#VALUE!</v>
      </c>
      <c r="AW82" s="630" t="e">
        <f t="shared" si="35"/>
        <v>#VALUE!</v>
      </c>
      <c r="AZ82" s="489" t="str">
        <f t="shared" si="36"/>
        <v/>
      </c>
      <c r="BA82" s="631" t="e">
        <f t="shared" si="40"/>
        <v>#VALUE!</v>
      </c>
      <c r="BB82" s="491" t="e">
        <f t="shared" si="40"/>
        <v>#VALUE!</v>
      </c>
      <c r="BC82" s="491" t="e">
        <f t="shared" si="40"/>
        <v>#VALUE!</v>
      </c>
      <c r="BD82" s="491" t="e">
        <f t="shared" si="40"/>
        <v>#VALUE!</v>
      </c>
      <c r="BE82" s="491" t="e">
        <f t="shared" si="40"/>
        <v>#VALUE!</v>
      </c>
      <c r="BF82" s="491" t="e">
        <f t="shared" si="40"/>
        <v>#VALUE!</v>
      </c>
      <c r="BG82" s="491" t="e">
        <f t="shared" si="40"/>
        <v>#VALUE!</v>
      </c>
      <c r="BH82" s="491" t="e">
        <f t="shared" si="40"/>
        <v>#VALUE!</v>
      </c>
      <c r="BI82" s="491" t="e">
        <f t="shared" si="40"/>
        <v>#VALUE!</v>
      </c>
      <c r="BJ82" s="491" t="e">
        <f t="shared" si="40"/>
        <v>#VALUE!</v>
      </c>
      <c r="BK82" s="400">
        <f t="shared" si="37"/>
        <v>32</v>
      </c>
      <c r="BL82" s="491" t="e">
        <f t="shared" si="38"/>
        <v>#VALUE!</v>
      </c>
      <c r="BM82" s="491" t="e">
        <f t="shared" si="38"/>
        <v>#VALUE!</v>
      </c>
      <c r="BN82" s="491" t="e">
        <f t="shared" si="38"/>
        <v>#VALUE!</v>
      </c>
      <c r="BO82" s="491" t="e">
        <f t="shared" si="38"/>
        <v>#VALUE!</v>
      </c>
      <c r="BP82" s="622" t="e">
        <f t="shared" si="39"/>
        <v>#VALUE!</v>
      </c>
      <c r="BQ82" s="274" t="e">
        <f>IF(L82="","Column",IF(OR(C82&lt;MAX(ColSpa1,Geometry!$J$107),C82&gt;MAX(MAX(Geometry!$I$107:$I$116),MAX(Geometry!$J$107:$J$116))),MIN(6,INDEX($O$45:$O$48,MATCH(L82,$O$45:$O$48,1),1)),INDEX($O$45:$O$48,MATCH(L82,$O$45:$O$48,1),1)))</f>
        <v>#VALUE!</v>
      </c>
    </row>
    <row r="83" spans="1:69">
      <c r="A83" s="339"/>
      <c r="B83" s="96" t="e">
        <f>IF(MIN(ABS(C83-INDEX(Geometry!$Q$104:$Q$113,IF(ISERROR(MATCH(C83,Geometry!$Q$104:$Q$113,1)),1,MATCH(C83,Geometry!$Q$104:$Q$113,1)),1)),ABS(C83-INDEX(Geometry!$Q$104:$Q$113,IF(ISERROR(MAX(11-MATCH(C83,Geometry!$R$104:$R$113,-1),1)),1,MAX(11-MATCH(C83,Geometry!$R$104:$R$113,-1),1)),1)))&lt;(halfeffectiveface/12),"#","")</f>
        <v>#VALUE!</v>
      </c>
      <c r="C83" s="96" t="str">
        <f>'CAP18 Out(1)'!D41</f>
        <v/>
      </c>
      <c r="D83" s="184" t="str">
        <f>'CAP18 Out(1)'!M41</f>
        <v/>
      </c>
      <c r="E83" s="179" t="e">
        <f t="shared" si="13"/>
        <v>#VALUE!</v>
      </c>
      <c r="F83" s="87" t="e">
        <f t="shared" si="14"/>
        <v>#VALUE!</v>
      </c>
      <c r="G83" s="87" t="e">
        <f t="shared" si="15"/>
        <v>#VALUE!</v>
      </c>
      <c r="H83" s="185" t="e">
        <f t="shared" si="16"/>
        <v>#VALUE!</v>
      </c>
      <c r="I83" s="184" t="e">
        <f t="shared" si="17"/>
        <v>#VALUE!</v>
      </c>
      <c r="J83" s="184">
        <f t="shared" si="18"/>
        <v>0</v>
      </c>
      <c r="K83" s="184">
        <f t="shared" si="19"/>
        <v>0</v>
      </c>
      <c r="L83" s="296" t="e">
        <f t="shared" si="20"/>
        <v>#VALUE!</v>
      </c>
      <c r="M83" s="294" t="e">
        <f>IF(L83="Column","",IF(OR(C83&lt;MAX(ColSpa1,Geometry!$J$107),C83&gt;MAX(MAX(Geometry!$I$107:$I$116),MAX(Geometry!$J$107:$J$116))),"OH - 6''",""))</f>
        <v>#VALUE!</v>
      </c>
      <c r="N83" s="1053">
        <v>36.4</v>
      </c>
      <c r="O83" s="489">
        <f t="shared" si="21"/>
        <v>0</v>
      </c>
      <c r="P83" s="489">
        <f t="shared" si="22"/>
        <v>0</v>
      </c>
      <c r="Q83" s="400" t="e">
        <f>'CAP18 Out(1)'!I41</f>
        <v>#VALUE!</v>
      </c>
      <c r="R83" s="400" t="e">
        <f>'CAP18 Out(1)'!J41</f>
        <v>#VALUE!</v>
      </c>
      <c r="S83" s="400" t="e">
        <f>IF(E83=ABS(Q83),VLOOKUP('Bars B'!$F$10,BarTable,4,FALSE)/12,1.3*VLOOKUP('Bars A'!$F$10,BarTable,4,FALSE)/12)</f>
        <v>#VALUE!</v>
      </c>
      <c r="T83" s="626" t="e">
        <f t="shared" si="23"/>
        <v>#VALUE!</v>
      </c>
      <c r="U83" s="489" t="e">
        <f>IF(T83&gt;S83,IF(E83=ABS(R83),'Bars A'!$I$13,'Bars B'!$I$13),0.0000000001)</f>
        <v>#VALUE!</v>
      </c>
      <c r="V83" s="483" t="e">
        <f t="shared" si="24"/>
        <v>#VALUE!</v>
      </c>
      <c r="W83" s="627" t="e">
        <f t="shared" si="25"/>
        <v>#VALUE!</v>
      </c>
      <c r="X83" s="628" t="e">
        <f t="shared" si="26"/>
        <v>#VALUE!</v>
      </c>
      <c r="Y83" s="489" t="e">
        <f t="shared" si="27"/>
        <v>#VALUE!</v>
      </c>
      <c r="Z83" s="629" t="e">
        <f t="shared" si="28"/>
        <v>#VALUE!</v>
      </c>
      <c r="AA83" s="626" t="e">
        <f t="shared" si="29"/>
        <v>#VALUE!</v>
      </c>
      <c r="AB83" s="481" t="e">
        <f>MATCH(V83,Reference!$S$7:$S$17,1)</f>
        <v>#VALUE!</v>
      </c>
      <c r="AC83" s="1388" t="e">
        <f>12-MATCH(V83,Reference!$AD$6:$AD$16,-1)</f>
        <v>#VALUE!</v>
      </c>
      <c r="AD83" s="482" t="e">
        <f>MATCH(X83,Reference!$T$6:$AB$6,1)</f>
        <v>#VALUE!</v>
      </c>
      <c r="AE83" s="482" t="e">
        <f>10-MATCH(X83,Reference!$AD$18:$AL$18,-1)</f>
        <v>#VALUE!</v>
      </c>
      <c r="AF83" s="482" t="e">
        <f>INDEX(Reference!$T$7:$AB$17,AB83,AD83)</f>
        <v>#VALUE!</v>
      </c>
      <c r="AG83" s="482" t="e">
        <f>INDEX(Reference!$T$7:$AB$17,AB83,AE83)</f>
        <v>#VALUE!</v>
      </c>
      <c r="AH83" s="482" t="e">
        <f>INDEX(Reference!$T$7:$AB$17,AC83,AD83)</f>
        <v>#VALUE!</v>
      </c>
      <c r="AI83" s="482" t="e">
        <f>INDEX(Reference!$T$7:$AB$17,AC83,AE83)</f>
        <v>#VALUE!</v>
      </c>
      <c r="AJ83" s="482" t="e">
        <f>INDEX(Reference!$T$23:$AB$33,AB83,AD83)</f>
        <v>#VALUE!</v>
      </c>
      <c r="AK83" s="482" t="e">
        <f>INDEX(Reference!$T$23:$AB$33,AB83,AE83)</f>
        <v>#VALUE!</v>
      </c>
      <c r="AL83" s="482" t="e">
        <f>INDEX(Reference!$T$23:$AB$33,AC83,AD83)</f>
        <v>#VALUE!</v>
      </c>
      <c r="AM83" s="482" t="e">
        <f>INDEX(Reference!$T$23:$AB$33,AC83,AE83)</f>
        <v>#VALUE!</v>
      </c>
      <c r="AN83" s="483" t="e">
        <f>INDEX(Reference!$S$7:$S$17,AB83,1)</f>
        <v>#VALUE!</v>
      </c>
      <c r="AO83" s="483" t="e">
        <f>INDEX(Reference!$S$7:$S$17,AC83,1)</f>
        <v>#VALUE!</v>
      </c>
      <c r="AP83" s="484" t="e">
        <f>INDEX(Reference!$T$6:$AB$6,1,AD83)</f>
        <v>#VALUE!</v>
      </c>
      <c r="AQ83" s="484" t="e">
        <f>INDEX(Reference!$T$6:$AB$6,1,AE83)</f>
        <v>#VALUE!</v>
      </c>
      <c r="AR83" s="629" t="e">
        <f t="shared" si="30"/>
        <v>#VALUE!</v>
      </c>
      <c r="AS83" s="629" t="e">
        <f t="shared" si="31"/>
        <v>#VALUE!</v>
      </c>
      <c r="AT83" s="629" t="e">
        <f t="shared" si="32"/>
        <v>#VALUE!</v>
      </c>
      <c r="AU83" s="629" t="e">
        <f t="shared" si="33"/>
        <v>#VALUE!</v>
      </c>
      <c r="AV83" s="629" t="e">
        <f t="shared" si="34"/>
        <v>#VALUE!</v>
      </c>
      <c r="AW83" s="630" t="e">
        <f t="shared" si="35"/>
        <v>#VALUE!</v>
      </c>
      <c r="AZ83" s="489" t="str">
        <f t="shared" si="36"/>
        <v/>
      </c>
      <c r="BA83" s="631" t="e">
        <f t="shared" si="40"/>
        <v>#VALUE!</v>
      </c>
      <c r="BB83" s="491" t="e">
        <f t="shared" si="40"/>
        <v>#VALUE!</v>
      </c>
      <c r="BC83" s="491" t="e">
        <f t="shared" si="40"/>
        <v>#VALUE!</v>
      </c>
      <c r="BD83" s="491" t="e">
        <f t="shared" si="40"/>
        <v>#VALUE!</v>
      </c>
      <c r="BE83" s="491" t="e">
        <f t="shared" si="40"/>
        <v>#VALUE!</v>
      </c>
      <c r="BF83" s="491" t="e">
        <f t="shared" si="40"/>
        <v>#VALUE!</v>
      </c>
      <c r="BG83" s="491" t="e">
        <f t="shared" si="40"/>
        <v>#VALUE!</v>
      </c>
      <c r="BH83" s="491" t="e">
        <f t="shared" si="40"/>
        <v>#VALUE!</v>
      </c>
      <c r="BI83" s="491" t="e">
        <f t="shared" si="40"/>
        <v>#VALUE!</v>
      </c>
      <c r="BJ83" s="491" t="e">
        <f t="shared" si="40"/>
        <v>#VALUE!</v>
      </c>
      <c r="BK83" s="400">
        <f t="shared" si="37"/>
        <v>33</v>
      </c>
      <c r="BL83" s="491" t="e">
        <f t="shared" si="38"/>
        <v>#VALUE!</v>
      </c>
      <c r="BM83" s="491" t="e">
        <f t="shared" si="38"/>
        <v>#VALUE!</v>
      </c>
      <c r="BN83" s="491" t="e">
        <f t="shared" si="38"/>
        <v>#VALUE!</v>
      </c>
      <c r="BO83" s="491" t="e">
        <f t="shared" si="38"/>
        <v>#VALUE!</v>
      </c>
      <c r="BP83" s="622" t="e">
        <f t="shared" si="39"/>
        <v>#VALUE!</v>
      </c>
      <c r="BQ83" s="274" t="e">
        <f>IF(L83="","Column",IF(OR(C83&lt;MAX(ColSpa1,Geometry!$J$107),C83&gt;MAX(MAX(Geometry!$I$107:$I$116),MAX(Geometry!$J$107:$J$116))),MIN(6,INDEX($O$45:$O$48,MATCH(L83,$O$45:$O$48,1),1)),INDEX($O$45:$O$48,MATCH(L83,$O$45:$O$48,1),1)))</f>
        <v>#VALUE!</v>
      </c>
    </row>
    <row r="84" spans="1:69">
      <c r="A84" s="339"/>
      <c r="B84" s="96" t="e">
        <f>IF(MIN(ABS(C84-INDEX(Geometry!$Q$104:$Q$113,IF(ISERROR(MATCH(C84,Geometry!$Q$104:$Q$113,1)),1,MATCH(C84,Geometry!$Q$104:$Q$113,1)),1)),ABS(C84-INDEX(Geometry!$Q$104:$Q$113,IF(ISERROR(MAX(11-MATCH(C84,Geometry!$R$104:$R$113,-1),1)),1,MAX(11-MATCH(C84,Geometry!$R$104:$R$113,-1),1)),1)))&lt;(halfeffectiveface/12),"#","")</f>
        <v>#VALUE!</v>
      </c>
      <c r="C84" s="96" t="str">
        <f>'CAP18 Out(1)'!D42</f>
        <v/>
      </c>
      <c r="D84" s="184" t="str">
        <f>'CAP18 Out(1)'!M42</f>
        <v/>
      </c>
      <c r="E84" s="179" t="e">
        <f t="shared" si="13"/>
        <v>#VALUE!</v>
      </c>
      <c r="F84" s="87" t="e">
        <f t="shared" si="14"/>
        <v>#VALUE!</v>
      </c>
      <c r="G84" s="87" t="e">
        <f t="shared" si="15"/>
        <v>#VALUE!</v>
      </c>
      <c r="H84" s="185" t="e">
        <f t="shared" si="16"/>
        <v>#VALUE!</v>
      </c>
      <c r="I84" s="184" t="e">
        <f t="shared" si="17"/>
        <v>#VALUE!</v>
      </c>
      <c r="J84" s="184">
        <f t="shared" si="18"/>
        <v>0</v>
      </c>
      <c r="K84" s="184">
        <f t="shared" si="19"/>
        <v>0</v>
      </c>
      <c r="L84" s="296" t="e">
        <f t="shared" si="20"/>
        <v>#VALUE!</v>
      </c>
      <c r="M84" s="294" t="e">
        <f>IF(L84="Column","",IF(OR(C84&lt;MAX(ColSpa1,Geometry!$J$107),C84&gt;MAX(MAX(Geometry!$I$107:$I$116),MAX(Geometry!$J$107:$J$116))),"OH - 6''",""))</f>
        <v>#VALUE!</v>
      </c>
      <c r="N84" s="1053">
        <v>36.4</v>
      </c>
      <c r="O84" s="489">
        <f t="shared" si="21"/>
        <v>0</v>
      </c>
      <c r="P84" s="489">
        <f t="shared" si="22"/>
        <v>0</v>
      </c>
      <c r="Q84" s="400" t="e">
        <f>'CAP18 Out(1)'!I42</f>
        <v>#VALUE!</v>
      </c>
      <c r="R84" s="400" t="e">
        <f>'CAP18 Out(1)'!J42</f>
        <v>#VALUE!</v>
      </c>
      <c r="S84" s="400" t="e">
        <f>IF(E84=ABS(Q84),VLOOKUP('Bars B'!$F$10,BarTable,4,FALSE)/12,1.3*VLOOKUP('Bars A'!$F$10,BarTable,4,FALSE)/12)</f>
        <v>#VALUE!</v>
      </c>
      <c r="T84" s="626" t="e">
        <f t="shared" si="23"/>
        <v>#VALUE!</v>
      </c>
      <c r="U84" s="489" t="e">
        <f>IF(T84&gt;S84,IF(E84=ABS(R84),'Bars A'!$I$13,'Bars B'!$I$13),0.0000000001)</f>
        <v>#VALUE!</v>
      </c>
      <c r="V84" s="483" t="e">
        <f t="shared" si="24"/>
        <v>#VALUE!</v>
      </c>
      <c r="W84" s="627" t="e">
        <f t="shared" si="25"/>
        <v>#VALUE!</v>
      </c>
      <c r="X84" s="628" t="e">
        <f t="shared" si="26"/>
        <v>#VALUE!</v>
      </c>
      <c r="Y84" s="489" t="e">
        <f t="shared" si="27"/>
        <v>#VALUE!</v>
      </c>
      <c r="Z84" s="629" t="e">
        <f t="shared" si="28"/>
        <v>#VALUE!</v>
      </c>
      <c r="AA84" s="626" t="e">
        <f t="shared" si="29"/>
        <v>#VALUE!</v>
      </c>
      <c r="AB84" s="481" t="e">
        <f>MATCH(V84,Reference!$S$7:$S$17,1)</f>
        <v>#VALUE!</v>
      </c>
      <c r="AC84" s="1388" t="e">
        <f>12-MATCH(V84,Reference!$AD$6:$AD$16,-1)</f>
        <v>#VALUE!</v>
      </c>
      <c r="AD84" s="482" t="e">
        <f>MATCH(X84,Reference!$T$6:$AB$6,1)</f>
        <v>#VALUE!</v>
      </c>
      <c r="AE84" s="482" t="e">
        <f>10-MATCH(X84,Reference!$AD$18:$AL$18,-1)</f>
        <v>#VALUE!</v>
      </c>
      <c r="AF84" s="482" t="e">
        <f>INDEX(Reference!$T$7:$AB$17,AB84,AD84)</f>
        <v>#VALUE!</v>
      </c>
      <c r="AG84" s="482" t="e">
        <f>INDEX(Reference!$T$7:$AB$17,AB84,AE84)</f>
        <v>#VALUE!</v>
      </c>
      <c r="AH84" s="482" t="e">
        <f>INDEX(Reference!$T$7:$AB$17,AC84,AD84)</f>
        <v>#VALUE!</v>
      </c>
      <c r="AI84" s="482" t="e">
        <f>INDEX(Reference!$T$7:$AB$17,AC84,AE84)</f>
        <v>#VALUE!</v>
      </c>
      <c r="AJ84" s="482" t="e">
        <f>INDEX(Reference!$T$23:$AB$33,AB84,AD84)</f>
        <v>#VALUE!</v>
      </c>
      <c r="AK84" s="482" t="e">
        <f>INDEX(Reference!$T$23:$AB$33,AB84,AE84)</f>
        <v>#VALUE!</v>
      </c>
      <c r="AL84" s="482" t="e">
        <f>INDEX(Reference!$T$23:$AB$33,AC84,AD84)</f>
        <v>#VALUE!</v>
      </c>
      <c r="AM84" s="482" t="e">
        <f>INDEX(Reference!$T$23:$AB$33,AC84,AE84)</f>
        <v>#VALUE!</v>
      </c>
      <c r="AN84" s="483" t="e">
        <f>INDEX(Reference!$S$7:$S$17,AB84,1)</f>
        <v>#VALUE!</v>
      </c>
      <c r="AO84" s="483" t="e">
        <f>INDEX(Reference!$S$7:$S$17,AC84,1)</f>
        <v>#VALUE!</v>
      </c>
      <c r="AP84" s="484" t="e">
        <f>INDEX(Reference!$T$6:$AB$6,1,AD84)</f>
        <v>#VALUE!</v>
      </c>
      <c r="AQ84" s="484" t="e">
        <f>INDEX(Reference!$T$6:$AB$6,1,AE84)</f>
        <v>#VALUE!</v>
      </c>
      <c r="AR84" s="629" t="e">
        <f t="shared" si="30"/>
        <v>#VALUE!</v>
      </c>
      <c r="AS84" s="629" t="e">
        <f t="shared" si="31"/>
        <v>#VALUE!</v>
      </c>
      <c r="AT84" s="629" t="e">
        <f t="shared" si="32"/>
        <v>#VALUE!</v>
      </c>
      <c r="AU84" s="629" t="e">
        <f t="shared" si="33"/>
        <v>#VALUE!</v>
      </c>
      <c r="AV84" s="629" t="e">
        <f t="shared" si="34"/>
        <v>#VALUE!</v>
      </c>
      <c r="AW84" s="630" t="e">
        <f t="shared" si="35"/>
        <v>#VALUE!</v>
      </c>
      <c r="AZ84" s="489" t="str">
        <f t="shared" si="36"/>
        <v/>
      </c>
      <c r="BA84" s="631" t="e">
        <f t="shared" si="40"/>
        <v>#VALUE!</v>
      </c>
      <c r="BB84" s="491" t="e">
        <f t="shared" si="40"/>
        <v>#VALUE!</v>
      </c>
      <c r="BC84" s="491" t="e">
        <f t="shared" si="40"/>
        <v>#VALUE!</v>
      </c>
      <c r="BD84" s="491" t="e">
        <f t="shared" si="40"/>
        <v>#VALUE!</v>
      </c>
      <c r="BE84" s="491" t="e">
        <f t="shared" si="40"/>
        <v>#VALUE!</v>
      </c>
      <c r="BF84" s="491" t="e">
        <f t="shared" si="40"/>
        <v>#VALUE!</v>
      </c>
      <c r="BG84" s="491" t="e">
        <f t="shared" si="40"/>
        <v>#VALUE!</v>
      </c>
      <c r="BH84" s="491" t="e">
        <f t="shared" si="40"/>
        <v>#VALUE!</v>
      </c>
      <c r="BI84" s="491" t="e">
        <f t="shared" si="40"/>
        <v>#VALUE!</v>
      </c>
      <c r="BJ84" s="491" t="e">
        <f t="shared" si="40"/>
        <v>#VALUE!</v>
      </c>
      <c r="BK84" s="400">
        <f t="shared" si="37"/>
        <v>34</v>
      </c>
      <c r="BL84" s="491" t="e">
        <f t="shared" si="38"/>
        <v>#VALUE!</v>
      </c>
      <c r="BM84" s="491" t="e">
        <f t="shared" si="38"/>
        <v>#VALUE!</v>
      </c>
      <c r="BN84" s="491" t="e">
        <f t="shared" si="38"/>
        <v>#VALUE!</v>
      </c>
      <c r="BO84" s="491" t="e">
        <f t="shared" si="38"/>
        <v>#VALUE!</v>
      </c>
      <c r="BP84" s="622" t="e">
        <f t="shared" si="39"/>
        <v>#VALUE!</v>
      </c>
      <c r="BQ84" s="274" t="e">
        <f>IF(L84="","Column",IF(OR(C84&lt;MAX(ColSpa1,Geometry!$J$107),C84&gt;MAX(MAX(Geometry!$I$107:$I$116),MAX(Geometry!$J$107:$J$116))),MIN(6,INDEX($O$45:$O$48,MATCH(L84,$O$45:$O$48,1),1)),INDEX($O$45:$O$48,MATCH(L84,$O$45:$O$48,1),1)))</f>
        <v>#VALUE!</v>
      </c>
    </row>
    <row r="85" spans="1:69">
      <c r="A85" s="339"/>
      <c r="B85" s="96" t="e">
        <f>IF(MIN(ABS(C85-INDEX(Geometry!$Q$104:$Q$113,IF(ISERROR(MATCH(C85,Geometry!$Q$104:$Q$113,1)),1,MATCH(C85,Geometry!$Q$104:$Q$113,1)),1)),ABS(C85-INDEX(Geometry!$Q$104:$Q$113,IF(ISERROR(MAX(11-MATCH(C85,Geometry!$R$104:$R$113,-1),1)),1,MAX(11-MATCH(C85,Geometry!$R$104:$R$113,-1),1)),1)))&lt;(halfeffectiveface/12),"#","")</f>
        <v>#VALUE!</v>
      </c>
      <c r="C85" s="96" t="str">
        <f>'CAP18 Out(1)'!D43</f>
        <v/>
      </c>
      <c r="D85" s="184" t="str">
        <f>'CAP18 Out(1)'!M43</f>
        <v/>
      </c>
      <c r="E85" s="179" t="e">
        <f t="shared" si="13"/>
        <v>#VALUE!</v>
      </c>
      <c r="F85" s="87" t="e">
        <f t="shared" si="14"/>
        <v>#VALUE!</v>
      </c>
      <c r="G85" s="87" t="e">
        <f t="shared" si="15"/>
        <v>#VALUE!</v>
      </c>
      <c r="H85" s="185" t="e">
        <f t="shared" si="16"/>
        <v>#VALUE!</v>
      </c>
      <c r="I85" s="184" t="e">
        <f t="shared" si="17"/>
        <v>#VALUE!</v>
      </c>
      <c r="J85" s="184">
        <f t="shared" si="18"/>
        <v>0</v>
      </c>
      <c r="K85" s="184">
        <f t="shared" si="19"/>
        <v>0</v>
      </c>
      <c r="L85" s="296" t="e">
        <f t="shared" si="20"/>
        <v>#VALUE!</v>
      </c>
      <c r="M85" s="294" t="e">
        <f>IF(L85="Column","",IF(OR(C85&lt;MAX(ColSpa1,Geometry!$J$107),C85&gt;MAX(MAX(Geometry!$I$107:$I$116),MAX(Geometry!$J$107:$J$116))),"OH - 6''",""))</f>
        <v>#VALUE!</v>
      </c>
      <c r="N85" s="1053">
        <v>36.4</v>
      </c>
      <c r="O85" s="489">
        <f t="shared" si="21"/>
        <v>0</v>
      </c>
      <c r="P85" s="489">
        <f t="shared" si="22"/>
        <v>0</v>
      </c>
      <c r="Q85" s="400" t="e">
        <f>'CAP18 Out(1)'!I43</f>
        <v>#VALUE!</v>
      </c>
      <c r="R85" s="400" t="e">
        <f>'CAP18 Out(1)'!J43</f>
        <v>#VALUE!</v>
      </c>
      <c r="S85" s="400" t="e">
        <f>IF(E85=ABS(Q85),VLOOKUP('Bars B'!$F$10,BarTable,4,FALSE)/12,1.3*VLOOKUP('Bars A'!$F$10,BarTable,4,FALSE)/12)</f>
        <v>#VALUE!</v>
      </c>
      <c r="T85" s="626" t="e">
        <f t="shared" si="23"/>
        <v>#VALUE!</v>
      </c>
      <c r="U85" s="489" t="e">
        <f>IF(T85&gt;S85,IF(E85=ABS(R85),'Bars A'!$I$13,'Bars B'!$I$13),0.0000000001)</f>
        <v>#VALUE!</v>
      </c>
      <c r="V85" s="483" t="e">
        <f t="shared" si="24"/>
        <v>#VALUE!</v>
      </c>
      <c r="W85" s="627" t="e">
        <f t="shared" si="25"/>
        <v>#VALUE!</v>
      </c>
      <c r="X85" s="628" t="e">
        <f t="shared" si="26"/>
        <v>#VALUE!</v>
      </c>
      <c r="Y85" s="489" t="e">
        <f t="shared" si="27"/>
        <v>#VALUE!</v>
      </c>
      <c r="Z85" s="629" t="e">
        <f t="shared" si="28"/>
        <v>#VALUE!</v>
      </c>
      <c r="AA85" s="626" t="e">
        <f t="shared" si="29"/>
        <v>#VALUE!</v>
      </c>
      <c r="AB85" s="481" t="e">
        <f>MATCH(V85,Reference!$S$7:$S$17,1)</f>
        <v>#VALUE!</v>
      </c>
      <c r="AC85" s="1388" t="e">
        <f>12-MATCH(V85,Reference!$AD$6:$AD$16,-1)</f>
        <v>#VALUE!</v>
      </c>
      <c r="AD85" s="482" t="e">
        <f>MATCH(X85,Reference!$T$6:$AB$6,1)</f>
        <v>#VALUE!</v>
      </c>
      <c r="AE85" s="482" t="e">
        <f>10-MATCH(X85,Reference!$AD$18:$AL$18,-1)</f>
        <v>#VALUE!</v>
      </c>
      <c r="AF85" s="482" t="e">
        <f>INDEX(Reference!$T$7:$AB$17,AB85,AD85)</f>
        <v>#VALUE!</v>
      </c>
      <c r="AG85" s="482" t="e">
        <f>INDEX(Reference!$T$7:$AB$17,AB85,AE85)</f>
        <v>#VALUE!</v>
      </c>
      <c r="AH85" s="482" t="e">
        <f>INDEX(Reference!$T$7:$AB$17,AC85,AD85)</f>
        <v>#VALUE!</v>
      </c>
      <c r="AI85" s="482" t="e">
        <f>INDEX(Reference!$T$7:$AB$17,AC85,AE85)</f>
        <v>#VALUE!</v>
      </c>
      <c r="AJ85" s="482" t="e">
        <f>INDEX(Reference!$T$23:$AB$33,AB85,AD85)</f>
        <v>#VALUE!</v>
      </c>
      <c r="AK85" s="482" t="e">
        <f>INDEX(Reference!$T$23:$AB$33,AB85,AE85)</f>
        <v>#VALUE!</v>
      </c>
      <c r="AL85" s="482" t="e">
        <f>INDEX(Reference!$T$23:$AB$33,AC85,AD85)</f>
        <v>#VALUE!</v>
      </c>
      <c r="AM85" s="482" t="e">
        <f>INDEX(Reference!$T$23:$AB$33,AC85,AE85)</f>
        <v>#VALUE!</v>
      </c>
      <c r="AN85" s="483" t="e">
        <f>INDEX(Reference!$S$7:$S$17,AB85,1)</f>
        <v>#VALUE!</v>
      </c>
      <c r="AO85" s="483" t="e">
        <f>INDEX(Reference!$S$7:$S$17,AC85,1)</f>
        <v>#VALUE!</v>
      </c>
      <c r="AP85" s="484" t="e">
        <f>INDEX(Reference!$T$6:$AB$6,1,AD85)</f>
        <v>#VALUE!</v>
      </c>
      <c r="AQ85" s="484" t="e">
        <f>INDEX(Reference!$T$6:$AB$6,1,AE85)</f>
        <v>#VALUE!</v>
      </c>
      <c r="AR85" s="629" t="e">
        <f t="shared" si="30"/>
        <v>#VALUE!</v>
      </c>
      <c r="AS85" s="629" t="e">
        <f t="shared" si="31"/>
        <v>#VALUE!</v>
      </c>
      <c r="AT85" s="629" t="e">
        <f t="shared" si="32"/>
        <v>#VALUE!</v>
      </c>
      <c r="AU85" s="629" t="e">
        <f t="shared" si="33"/>
        <v>#VALUE!</v>
      </c>
      <c r="AV85" s="629" t="e">
        <f t="shared" si="34"/>
        <v>#VALUE!</v>
      </c>
      <c r="AW85" s="630" t="e">
        <f t="shared" si="35"/>
        <v>#VALUE!</v>
      </c>
      <c r="AZ85" s="489" t="str">
        <f t="shared" si="36"/>
        <v/>
      </c>
      <c r="BA85" s="631" t="e">
        <f t="shared" si="40"/>
        <v>#VALUE!</v>
      </c>
      <c r="BB85" s="491" t="e">
        <f t="shared" si="40"/>
        <v>#VALUE!</v>
      </c>
      <c r="BC85" s="491" t="e">
        <f t="shared" si="40"/>
        <v>#VALUE!</v>
      </c>
      <c r="BD85" s="491" t="e">
        <f t="shared" si="40"/>
        <v>#VALUE!</v>
      </c>
      <c r="BE85" s="491" t="e">
        <f t="shared" si="40"/>
        <v>#VALUE!</v>
      </c>
      <c r="BF85" s="491" t="e">
        <f t="shared" si="40"/>
        <v>#VALUE!</v>
      </c>
      <c r="BG85" s="491" t="e">
        <f t="shared" si="40"/>
        <v>#VALUE!</v>
      </c>
      <c r="BH85" s="491" t="e">
        <f t="shared" si="40"/>
        <v>#VALUE!</v>
      </c>
      <c r="BI85" s="491" t="e">
        <f t="shared" si="40"/>
        <v>#VALUE!</v>
      </c>
      <c r="BJ85" s="491" t="e">
        <f t="shared" si="40"/>
        <v>#VALUE!</v>
      </c>
      <c r="BK85" s="400">
        <f t="shared" si="37"/>
        <v>35</v>
      </c>
      <c r="BL85" s="491" t="e">
        <f t="shared" si="38"/>
        <v>#VALUE!</v>
      </c>
      <c r="BM85" s="491" t="e">
        <f t="shared" si="38"/>
        <v>#VALUE!</v>
      </c>
      <c r="BN85" s="491" t="e">
        <f t="shared" si="38"/>
        <v>#VALUE!</v>
      </c>
      <c r="BO85" s="491" t="e">
        <f t="shared" si="38"/>
        <v>#VALUE!</v>
      </c>
      <c r="BP85" s="622" t="e">
        <f t="shared" si="39"/>
        <v>#VALUE!</v>
      </c>
      <c r="BQ85" s="274" t="e">
        <f>IF(L85="","Column",IF(OR(C85&lt;MAX(ColSpa1,Geometry!$J$107),C85&gt;MAX(MAX(Geometry!$I$107:$I$116),MAX(Geometry!$J$107:$J$116))),MIN(6,INDEX($O$45:$O$48,MATCH(L85,$O$45:$O$48,1),1)),INDEX($O$45:$O$48,MATCH(L85,$O$45:$O$48,1),1)))</f>
        <v>#VALUE!</v>
      </c>
    </row>
    <row r="86" spans="1:69">
      <c r="A86" s="339"/>
      <c r="B86" s="96" t="e">
        <f>IF(MIN(ABS(C86-INDEX(Geometry!$Q$104:$Q$113,IF(ISERROR(MATCH(C86,Geometry!$Q$104:$Q$113,1)),1,MATCH(C86,Geometry!$Q$104:$Q$113,1)),1)),ABS(C86-INDEX(Geometry!$Q$104:$Q$113,IF(ISERROR(MAX(11-MATCH(C86,Geometry!$R$104:$R$113,-1),1)),1,MAX(11-MATCH(C86,Geometry!$R$104:$R$113,-1),1)),1)))&lt;(halfeffectiveface/12),"#","")</f>
        <v>#VALUE!</v>
      </c>
      <c r="C86" s="96" t="str">
        <f>'CAP18 Out(1)'!D44</f>
        <v/>
      </c>
      <c r="D86" s="184" t="str">
        <f>'CAP18 Out(1)'!M44</f>
        <v/>
      </c>
      <c r="E86" s="179" t="e">
        <f t="shared" si="13"/>
        <v>#VALUE!</v>
      </c>
      <c r="F86" s="87" t="e">
        <f t="shared" si="14"/>
        <v>#VALUE!</v>
      </c>
      <c r="G86" s="87" t="e">
        <f t="shared" si="15"/>
        <v>#VALUE!</v>
      </c>
      <c r="H86" s="185" t="e">
        <f t="shared" si="16"/>
        <v>#VALUE!</v>
      </c>
      <c r="I86" s="184" t="e">
        <f t="shared" si="17"/>
        <v>#VALUE!</v>
      </c>
      <c r="J86" s="184">
        <f t="shared" si="18"/>
        <v>0</v>
      </c>
      <c r="K86" s="184">
        <f t="shared" si="19"/>
        <v>0</v>
      </c>
      <c r="L86" s="296" t="e">
        <f t="shared" si="20"/>
        <v>#VALUE!</v>
      </c>
      <c r="M86" s="294" t="e">
        <f>IF(L86="Column","",IF(OR(C86&lt;MAX(ColSpa1,Geometry!$J$107),C86&gt;MAX(MAX(Geometry!$I$107:$I$116),MAX(Geometry!$J$107:$J$116))),"OH - 6''",""))</f>
        <v>#VALUE!</v>
      </c>
      <c r="N86" s="1053">
        <v>36.4</v>
      </c>
      <c r="O86" s="489">
        <f t="shared" si="21"/>
        <v>0</v>
      </c>
      <c r="P86" s="489">
        <f t="shared" si="22"/>
        <v>0</v>
      </c>
      <c r="Q86" s="400" t="e">
        <f>'CAP18 Out(1)'!I44</f>
        <v>#VALUE!</v>
      </c>
      <c r="R86" s="400" t="e">
        <f>'CAP18 Out(1)'!J44</f>
        <v>#VALUE!</v>
      </c>
      <c r="S86" s="400" t="e">
        <f>IF(E86=ABS(Q86),VLOOKUP('Bars B'!$F$10,BarTable,4,FALSE)/12,1.3*VLOOKUP('Bars A'!$F$10,BarTable,4,FALSE)/12)</f>
        <v>#VALUE!</v>
      </c>
      <c r="T86" s="626" t="e">
        <f t="shared" si="23"/>
        <v>#VALUE!</v>
      </c>
      <c r="U86" s="489" t="e">
        <f>IF(T86&gt;S86,IF(E86=ABS(R86),'Bars A'!$I$13,'Bars B'!$I$13),0.0000000001)</f>
        <v>#VALUE!</v>
      </c>
      <c r="V86" s="483" t="e">
        <f t="shared" si="24"/>
        <v>#VALUE!</v>
      </c>
      <c r="W86" s="627" t="e">
        <f t="shared" si="25"/>
        <v>#VALUE!</v>
      </c>
      <c r="X86" s="628" t="e">
        <f t="shared" si="26"/>
        <v>#VALUE!</v>
      </c>
      <c r="Y86" s="489" t="e">
        <f t="shared" si="27"/>
        <v>#VALUE!</v>
      </c>
      <c r="Z86" s="629" t="e">
        <f t="shared" si="28"/>
        <v>#VALUE!</v>
      </c>
      <c r="AA86" s="626" t="e">
        <f t="shared" si="29"/>
        <v>#VALUE!</v>
      </c>
      <c r="AB86" s="481" t="e">
        <f>MATCH(V86,Reference!$S$7:$S$17,1)</f>
        <v>#VALUE!</v>
      </c>
      <c r="AC86" s="1388" t="e">
        <f>12-MATCH(V86,Reference!$AD$6:$AD$16,-1)</f>
        <v>#VALUE!</v>
      </c>
      <c r="AD86" s="482" t="e">
        <f>MATCH(X86,Reference!$T$6:$AB$6,1)</f>
        <v>#VALUE!</v>
      </c>
      <c r="AE86" s="482" t="e">
        <f>10-MATCH(X86,Reference!$AD$18:$AL$18,-1)</f>
        <v>#VALUE!</v>
      </c>
      <c r="AF86" s="482" t="e">
        <f>INDEX(Reference!$T$7:$AB$17,AB86,AD86)</f>
        <v>#VALUE!</v>
      </c>
      <c r="AG86" s="482" t="e">
        <f>INDEX(Reference!$T$7:$AB$17,AB86,AE86)</f>
        <v>#VALUE!</v>
      </c>
      <c r="AH86" s="482" t="e">
        <f>INDEX(Reference!$T$7:$AB$17,AC86,AD86)</f>
        <v>#VALUE!</v>
      </c>
      <c r="AI86" s="482" t="e">
        <f>INDEX(Reference!$T$7:$AB$17,AC86,AE86)</f>
        <v>#VALUE!</v>
      </c>
      <c r="AJ86" s="482" t="e">
        <f>INDEX(Reference!$T$23:$AB$33,AB86,AD86)</f>
        <v>#VALUE!</v>
      </c>
      <c r="AK86" s="482" t="e">
        <f>INDEX(Reference!$T$23:$AB$33,AB86,AE86)</f>
        <v>#VALUE!</v>
      </c>
      <c r="AL86" s="482" t="e">
        <f>INDEX(Reference!$T$23:$AB$33,AC86,AD86)</f>
        <v>#VALUE!</v>
      </c>
      <c r="AM86" s="482" t="e">
        <f>INDEX(Reference!$T$23:$AB$33,AC86,AE86)</f>
        <v>#VALUE!</v>
      </c>
      <c r="AN86" s="483" t="e">
        <f>INDEX(Reference!$S$7:$S$17,AB86,1)</f>
        <v>#VALUE!</v>
      </c>
      <c r="AO86" s="483" t="e">
        <f>INDEX(Reference!$S$7:$S$17,AC86,1)</f>
        <v>#VALUE!</v>
      </c>
      <c r="AP86" s="484" t="e">
        <f>INDEX(Reference!$T$6:$AB$6,1,AD86)</f>
        <v>#VALUE!</v>
      </c>
      <c r="AQ86" s="484" t="e">
        <f>INDEX(Reference!$T$6:$AB$6,1,AE86)</f>
        <v>#VALUE!</v>
      </c>
      <c r="AR86" s="629" t="e">
        <f t="shared" si="30"/>
        <v>#VALUE!</v>
      </c>
      <c r="AS86" s="629" t="e">
        <f t="shared" si="31"/>
        <v>#VALUE!</v>
      </c>
      <c r="AT86" s="629" t="e">
        <f t="shared" si="32"/>
        <v>#VALUE!</v>
      </c>
      <c r="AU86" s="629" t="e">
        <f t="shared" si="33"/>
        <v>#VALUE!</v>
      </c>
      <c r="AV86" s="629" t="e">
        <f t="shared" si="34"/>
        <v>#VALUE!</v>
      </c>
      <c r="AW86" s="630" t="e">
        <f t="shared" si="35"/>
        <v>#VALUE!</v>
      </c>
      <c r="AZ86" s="489" t="str">
        <f t="shared" si="36"/>
        <v/>
      </c>
      <c r="BA86" s="631" t="e">
        <f t="shared" si="40"/>
        <v>#VALUE!</v>
      </c>
      <c r="BB86" s="491" t="e">
        <f t="shared" si="40"/>
        <v>#VALUE!</v>
      </c>
      <c r="BC86" s="491" t="e">
        <f t="shared" si="40"/>
        <v>#VALUE!</v>
      </c>
      <c r="BD86" s="491" t="e">
        <f t="shared" si="40"/>
        <v>#VALUE!</v>
      </c>
      <c r="BE86" s="491" t="e">
        <f t="shared" si="40"/>
        <v>#VALUE!</v>
      </c>
      <c r="BF86" s="491" t="e">
        <f t="shared" si="40"/>
        <v>#VALUE!</v>
      </c>
      <c r="BG86" s="491" t="e">
        <f t="shared" si="40"/>
        <v>#VALUE!</v>
      </c>
      <c r="BH86" s="491" t="e">
        <f t="shared" si="40"/>
        <v>#VALUE!</v>
      </c>
      <c r="BI86" s="491" t="e">
        <f t="shared" si="40"/>
        <v>#VALUE!</v>
      </c>
      <c r="BJ86" s="491" t="e">
        <f t="shared" si="40"/>
        <v>#VALUE!</v>
      </c>
      <c r="BK86" s="400">
        <f t="shared" si="37"/>
        <v>36</v>
      </c>
      <c r="BL86" s="491" t="e">
        <f t="shared" si="38"/>
        <v>#VALUE!</v>
      </c>
      <c r="BM86" s="491" t="e">
        <f t="shared" si="38"/>
        <v>#VALUE!</v>
      </c>
      <c r="BN86" s="491" t="e">
        <f t="shared" si="38"/>
        <v>#VALUE!</v>
      </c>
      <c r="BO86" s="491" t="e">
        <f t="shared" si="38"/>
        <v>#VALUE!</v>
      </c>
      <c r="BP86" s="622" t="e">
        <f t="shared" si="39"/>
        <v>#VALUE!</v>
      </c>
      <c r="BQ86" s="274" t="e">
        <f>IF(L86="","Column",IF(OR(C86&lt;MAX(ColSpa1,Geometry!$J$107),C86&gt;MAX(MAX(Geometry!$I$107:$I$116),MAX(Geometry!$J$107:$J$116))),MIN(6,INDEX($O$45:$O$48,MATCH(L86,$O$45:$O$48,1),1)),INDEX($O$45:$O$48,MATCH(L86,$O$45:$O$48,1),1)))</f>
        <v>#VALUE!</v>
      </c>
    </row>
    <row r="87" spans="1:69">
      <c r="A87" s="339"/>
      <c r="B87" s="96" t="e">
        <f>IF(MIN(ABS(C87-INDEX(Geometry!$Q$104:$Q$113,IF(ISERROR(MATCH(C87,Geometry!$Q$104:$Q$113,1)),1,MATCH(C87,Geometry!$Q$104:$Q$113,1)),1)),ABS(C87-INDEX(Geometry!$Q$104:$Q$113,IF(ISERROR(MAX(11-MATCH(C87,Geometry!$R$104:$R$113,-1),1)),1,MAX(11-MATCH(C87,Geometry!$R$104:$R$113,-1),1)),1)))&lt;(halfeffectiveface/12),"#","")</f>
        <v>#VALUE!</v>
      </c>
      <c r="C87" s="96" t="str">
        <f>'CAP18 Out(1)'!D45</f>
        <v/>
      </c>
      <c r="D87" s="184" t="str">
        <f>'CAP18 Out(1)'!M45</f>
        <v/>
      </c>
      <c r="E87" s="179" t="e">
        <f t="shared" si="13"/>
        <v>#VALUE!</v>
      </c>
      <c r="F87" s="87" t="e">
        <f t="shared" si="14"/>
        <v>#VALUE!</v>
      </c>
      <c r="G87" s="87" t="e">
        <f t="shared" si="15"/>
        <v>#VALUE!</v>
      </c>
      <c r="H87" s="185" t="e">
        <f t="shared" si="16"/>
        <v>#VALUE!</v>
      </c>
      <c r="I87" s="184" t="e">
        <f t="shared" si="17"/>
        <v>#VALUE!</v>
      </c>
      <c r="J87" s="184">
        <f t="shared" si="18"/>
        <v>0</v>
      </c>
      <c r="K87" s="184">
        <f t="shared" si="19"/>
        <v>0</v>
      </c>
      <c r="L87" s="296" t="e">
        <f t="shared" si="20"/>
        <v>#VALUE!</v>
      </c>
      <c r="M87" s="294" t="e">
        <f>IF(L87="Column","",IF(OR(C87&lt;MAX(ColSpa1,Geometry!$J$107),C87&gt;MAX(MAX(Geometry!$I$107:$I$116),MAX(Geometry!$J$107:$J$116))),"OH - 6''",""))</f>
        <v>#VALUE!</v>
      </c>
      <c r="N87" s="1053">
        <v>36.4</v>
      </c>
      <c r="O87" s="489">
        <f t="shared" si="21"/>
        <v>0</v>
      </c>
      <c r="P87" s="489">
        <f t="shared" si="22"/>
        <v>0</v>
      </c>
      <c r="Q87" s="400" t="e">
        <f>'CAP18 Out(1)'!I45</f>
        <v>#VALUE!</v>
      </c>
      <c r="R87" s="400" t="e">
        <f>'CAP18 Out(1)'!J45</f>
        <v>#VALUE!</v>
      </c>
      <c r="S87" s="400" t="e">
        <f>IF(E87=ABS(Q87),VLOOKUP('Bars B'!$F$10,BarTable,4,FALSE)/12,1.3*VLOOKUP('Bars A'!$F$10,BarTable,4,FALSE)/12)</f>
        <v>#VALUE!</v>
      </c>
      <c r="T87" s="626" t="e">
        <f t="shared" si="23"/>
        <v>#VALUE!</v>
      </c>
      <c r="U87" s="489" t="e">
        <f>IF(T87&gt;S87,IF(E87=ABS(R87),'Bars A'!$I$13,'Bars B'!$I$13),0.0000000001)</f>
        <v>#VALUE!</v>
      </c>
      <c r="V87" s="483" t="e">
        <f t="shared" si="24"/>
        <v>#VALUE!</v>
      </c>
      <c r="W87" s="627" t="e">
        <f t="shared" si="25"/>
        <v>#VALUE!</v>
      </c>
      <c r="X87" s="628" t="e">
        <f t="shared" si="26"/>
        <v>#VALUE!</v>
      </c>
      <c r="Y87" s="489" t="e">
        <f t="shared" si="27"/>
        <v>#VALUE!</v>
      </c>
      <c r="Z87" s="629" t="e">
        <f t="shared" si="28"/>
        <v>#VALUE!</v>
      </c>
      <c r="AA87" s="626" t="e">
        <f t="shared" si="29"/>
        <v>#VALUE!</v>
      </c>
      <c r="AB87" s="481" t="e">
        <f>MATCH(V87,Reference!$S$7:$S$17,1)</f>
        <v>#VALUE!</v>
      </c>
      <c r="AC87" s="1388" t="e">
        <f>12-MATCH(V87,Reference!$AD$6:$AD$16,-1)</f>
        <v>#VALUE!</v>
      </c>
      <c r="AD87" s="482" t="e">
        <f>MATCH(X87,Reference!$T$6:$AB$6,1)</f>
        <v>#VALUE!</v>
      </c>
      <c r="AE87" s="482" t="e">
        <f>10-MATCH(X87,Reference!$AD$18:$AL$18,-1)</f>
        <v>#VALUE!</v>
      </c>
      <c r="AF87" s="482" t="e">
        <f>INDEX(Reference!$T$7:$AB$17,AB87,AD87)</f>
        <v>#VALUE!</v>
      </c>
      <c r="AG87" s="482" t="e">
        <f>INDEX(Reference!$T$7:$AB$17,AB87,AE87)</f>
        <v>#VALUE!</v>
      </c>
      <c r="AH87" s="482" t="e">
        <f>INDEX(Reference!$T$7:$AB$17,AC87,AD87)</f>
        <v>#VALUE!</v>
      </c>
      <c r="AI87" s="482" t="e">
        <f>INDEX(Reference!$T$7:$AB$17,AC87,AE87)</f>
        <v>#VALUE!</v>
      </c>
      <c r="AJ87" s="482" t="e">
        <f>INDEX(Reference!$T$23:$AB$33,AB87,AD87)</f>
        <v>#VALUE!</v>
      </c>
      <c r="AK87" s="482" t="e">
        <f>INDEX(Reference!$T$23:$AB$33,AB87,AE87)</f>
        <v>#VALUE!</v>
      </c>
      <c r="AL87" s="482" t="e">
        <f>INDEX(Reference!$T$23:$AB$33,AC87,AD87)</f>
        <v>#VALUE!</v>
      </c>
      <c r="AM87" s="482" t="e">
        <f>INDEX(Reference!$T$23:$AB$33,AC87,AE87)</f>
        <v>#VALUE!</v>
      </c>
      <c r="AN87" s="483" t="e">
        <f>INDEX(Reference!$S$7:$S$17,AB87,1)</f>
        <v>#VALUE!</v>
      </c>
      <c r="AO87" s="483" t="e">
        <f>INDEX(Reference!$S$7:$S$17,AC87,1)</f>
        <v>#VALUE!</v>
      </c>
      <c r="AP87" s="484" t="e">
        <f>INDEX(Reference!$T$6:$AB$6,1,AD87)</f>
        <v>#VALUE!</v>
      </c>
      <c r="AQ87" s="484" t="e">
        <f>INDEX(Reference!$T$6:$AB$6,1,AE87)</f>
        <v>#VALUE!</v>
      </c>
      <c r="AR87" s="629" t="e">
        <f t="shared" si="30"/>
        <v>#VALUE!</v>
      </c>
      <c r="AS87" s="629" t="e">
        <f t="shared" si="31"/>
        <v>#VALUE!</v>
      </c>
      <c r="AT87" s="629" t="e">
        <f t="shared" si="32"/>
        <v>#VALUE!</v>
      </c>
      <c r="AU87" s="629" t="e">
        <f t="shared" si="33"/>
        <v>#VALUE!</v>
      </c>
      <c r="AV87" s="629" t="e">
        <f t="shared" si="34"/>
        <v>#VALUE!</v>
      </c>
      <c r="AW87" s="630" t="e">
        <f t="shared" si="35"/>
        <v>#VALUE!</v>
      </c>
      <c r="AZ87" s="489" t="str">
        <f t="shared" si="36"/>
        <v/>
      </c>
      <c r="BA87" s="631" t="e">
        <f t="shared" si="40"/>
        <v>#VALUE!</v>
      </c>
      <c r="BB87" s="491" t="e">
        <f t="shared" si="40"/>
        <v>#VALUE!</v>
      </c>
      <c r="BC87" s="491" t="e">
        <f t="shared" si="40"/>
        <v>#VALUE!</v>
      </c>
      <c r="BD87" s="491" t="e">
        <f t="shared" si="40"/>
        <v>#VALUE!</v>
      </c>
      <c r="BE87" s="491" t="e">
        <f t="shared" si="40"/>
        <v>#VALUE!</v>
      </c>
      <c r="BF87" s="491" t="e">
        <f t="shared" si="40"/>
        <v>#VALUE!</v>
      </c>
      <c r="BG87" s="491" t="e">
        <f t="shared" si="40"/>
        <v>#VALUE!</v>
      </c>
      <c r="BH87" s="491" t="e">
        <f t="shared" si="40"/>
        <v>#VALUE!</v>
      </c>
      <c r="BI87" s="491" t="e">
        <f t="shared" si="40"/>
        <v>#VALUE!</v>
      </c>
      <c r="BJ87" s="491" t="e">
        <f t="shared" si="40"/>
        <v>#VALUE!</v>
      </c>
      <c r="BK87" s="400">
        <f t="shared" si="37"/>
        <v>37</v>
      </c>
      <c r="BL87" s="491" t="e">
        <f t="shared" ref="BL87:BO118" si="41">HLOOKUP(BL$53,$BA$51:$BJ$500,$BK87,FALSE)</f>
        <v>#VALUE!</v>
      </c>
      <c r="BM87" s="491" t="e">
        <f t="shared" si="41"/>
        <v>#VALUE!</v>
      </c>
      <c r="BN87" s="491" t="e">
        <f t="shared" si="41"/>
        <v>#VALUE!</v>
      </c>
      <c r="BO87" s="491" t="e">
        <f t="shared" si="41"/>
        <v>#VALUE!</v>
      </c>
      <c r="BP87" s="622" t="e">
        <f t="shared" si="39"/>
        <v>#VALUE!</v>
      </c>
      <c r="BQ87" s="274" t="e">
        <f>IF(L87="","Column",IF(OR(C87&lt;MAX(ColSpa1,Geometry!$J$107),C87&gt;MAX(MAX(Geometry!$I$107:$I$116),MAX(Geometry!$J$107:$J$116))),MIN(6,INDEX($O$45:$O$48,MATCH(L87,$O$45:$O$48,1),1)),INDEX($O$45:$O$48,MATCH(L87,$O$45:$O$48,1),1)))</f>
        <v>#VALUE!</v>
      </c>
    </row>
    <row r="88" spans="1:69">
      <c r="A88" s="339"/>
      <c r="B88" s="96" t="e">
        <f>IF(MIN(ABS(C88-INDEX(Geometry!$Q$104:$Q$113,IF(ISERROR(MATCH(C88,Geometry!$Q$104:$Q$113,1)),1,MATCH(C88,Geometry!$Q$104:$Q$113,1)),1)),ABS(C88-INDEX(Geometry!$Q$104:$Q$113,IF(ISERROR(MAX(11-MATCH(C88,Geometry!$R$104:$R$113,-1),1)),1,MAX(11-MATCH(C88,Geometry!$R$104:$R$113,-1),1)),1)))&lt;(halfeffectiveface/12),"#","")</f>
        <v>#VALUE!</v>
      </c>
      <c r="C88" s="96" t="str">
        <f>'CAP18 Out(1)'!D46</f>
        <v/>
      </c>
      <c r="D88" s="184" t="str">
        <f>'CAP18 Out(1)'!M46</f>
        <v/>
      </c>
      <c r="E88" s="179" t="e">
        <f t="shared" si="13"/>
        <v>#VALUE!</v>
      </c>
      <c r="F88" s="87" t="e">
        <f t="shared" si="14"/>
        <v>#VALUE!</v>
      </c>
      <c r="G88" s="87" t="e">
        <f t="shared" si="15"/>
        <v>#VALUE!</v>
      </c>
      <c r="H88" s="185" t="e">
        <f t="shared" si="16"/>
        <v>#VALUE!</v>
      </c>
      <c r="I88" s="184" t="e">
        <f t="shared" si="17"/>
        <v>#VALUE!</v>
      </c>
      <c r="J88" s="184">
        <f t="shared" si="18"/>
        <v>0</v>
      </c>
      <c r="K88" s="184">
        <f t="shared" si="19"/>
        <v>0</v>
      </c>
      <c r="L88" s="296" t="e">
        <f t="shared" si="20"/>
        <v>#VALUE!</v>
      </c>
      <c r="M88" s="294" t="e">
        <f>IF(L88="Column","",IF(OR(C88&lt;MAX(ColSpa1,Geometry!$J$107),C88&gt;MAX(MAX(Geometry!$I$107:$I$116),MAX(Geometry!$J$107:$J$116))),"OH - 6''",""))</f>
        <v>#VALUE!</v>
      </c>
      <c r="N88" s="1053">
        <v>36.4</v>
      </c>
      <c r="O88" s="489">
        <f t="shared" si="21"/>
        <v>0</v>
      </c>
      <c r="P88" s="489">
        <f t="shared" si="22"/>
        <v>0</v>
      </c>
      <c r="Q88" s="400" t="e">
        <f>'CAP18 Out(1)'!I46</f>
        <v>#VALUE!</v>
      </c>
      <c r="R88" s="400" t="e">
        <f>'CAP18 Out(1)'!J46</f>
        <v>#VALUE!</v>
      </c>
      <c r="S88" s="400" t="e">
        <f>IF(E88=ABS(Q88),VLOOKUP('Bars B'!$F$10,BarTable,4,FALSE)/12,1.3*VLOOKUP('Bars A'!$F$10,BarTable,4,FALSE)/12)</f>
        <v>#VALUE!</v>
      </c>
      <c r="T88" s="626" t="e">
        <f t="shared" si="23"/>
        <v>#VALUE!</v>
      </c>
      <c r="U88" s="489" t="e">
        <f>IF(T88&gt;S88,IF(E88=ABS(R88),'Bars A'!$I$13,'Bars B'!$I$13),0.0000000001)</f>
        <v>#VALUE!</v>
      </c>
      <c r="V88" s="483" t="e">
        <f t="shared" si="24"/>
        <v>#VALUE!</v>
      </c>
      <c r="W88" s="627" t="e">
        <f t="shared" si="25"/>
        <v>#VALUE!</v>
      </c>
      <c r="X88" s="628" t="e">
        <f t="shared" si="26"/>
        <v>#VALUE!</v>
      </c>
      <c r="Y88" s="489" t="e">
        <f t="shared" si="27"/>
        <v>#VALUE!</v>
      </c>
      <c r="Z88" s="629" t="e">
        <f t="shared" si="28"/>
        <v>#VALUE!</v>
      </c>
      <c r="AA88" s="626" t="e">
        <f t="shared" si="29"/>
        <v>#VALUE!</v>
      </c>
      <c r="AB88" s="481" t="e">
        <f>MATCH(V88,Reference!$S$7:$S$17,1)</f>
        <v>#VALUE!</v>
      </c>
      <c r="AC88" s="1388" t="e">
        <f>12-MATCH(V88,Reference!$AD$6:$AD$16,-1)</f>
        <v>#VALUE!</v>
      </c>
      <c r="AD88" s="482" t="e">
        <f>MATCH(X88,Reference!$T$6:$AB$6,1)</f>
        <v>#VALUE!</v>
      </c>
      <c r="AE88" s="482" t="e">
        <f>10-MATCH(X88,Reference!$AD$18:$AL$18,-1)</f>
        <v>#VALUE!</v>
      </c>
      <c r="AF88" s="482" t="e">
        <f>INDEX(Reference!$T$7:$AB$17,AB88,AD88)</f>
        <v>#VALUE!</v>
      </c>
      <c r="AG88" s="482" t="e">
        <f>INDEX(Reference!$T$7:$AB$17,AB88,AE88)</f>
        <v>#VALUE!</v>
      </c>
      <c r="AH88" s="482" t="e">
        <f>INDEX(Reference!$T$7:$AB$17,AC88,AD88)</f>
        <v>#VALUE!</v>
      </c>
      <c r="AI88" s="482" t="e">
        <f>INDEX(Reference!$T$7:$AB$17,AC88,AE88)</f>
        <v>#VALUE!</v>
      </c>
      <c r="AJ88" s="482" t="e">
        <f>INDEX(Reference!$T$23:$AB$33,AB88,AD88)</f>
        <v>#VALUE!</v>
      </c>
      <c r="AK88" s="482" t="e">
        <f>INDEX(Reference!$T$23:$AB$33,AB88,AE88)</f>
        <v>#VALUE!</v>
      </c>
      <c r="AL88" s="482" t="e">
        <f>INDEX(Reference!$T$23:$AB$33,AC88,AD88)</f>
        <v>#VALUE!</v>
      </c>
      <c r="AM88" s="482" t="e">
        <f>INDEX(Reference!$T$23:$AB$33,AC88,AE88)</f>
        <v>#VALUE!</v>
      </c>
      <c r="AN88" s="483" t="e">
        <f>INDEX(Reference!$S$7:$S$17,AB88,1)</f>
        <v>#VALUE!</v>
      </c>
      <c r="AO88" s="483" t="e">
        <f>INDEX(Reference!$S$7:$S$17,AC88,1)</f>
        <v>#VALUE!</v>
      </c>
      <c r="AP88" s="484" t="e">
        <f>INDEX(Reference!$T$6:$AB$6,1,AD88)</f>
        <v>#VALUE!</v>
      </c>
      <c r="AQ88" s="484" t="e">
        <f>INDEX(Reference!$T$6:$AB$6,1,AE88)</f>
        <v>#VALUE!</v>
      </c>
      <c r="AR88" s="629" t="e">
        <f t="shared" si="30"/>
        <v>#VALUE!</v>
      </c>
      <c r="AS88" s="629" t="e">
        <f t="shared" si="31"/>
        <v>#VALUE!</v>
      </c>
      <c r="AT88" s="629" t="e">
        <f t="shared" si="32"/>
        <v>#VALUE!</v>
      </c>
      <c r="AU88" s="629" t="e">
        <f t="shared" si="33"/>
        <v>#VALUE!</v>
      </c>
      <c r="AV88" s="629" t="e">
        <f t="shared" si="34"/>
        <v>#VALUE!</v>
      </c>
      <c r="AW88" s="630" t="e">
        <f t="shared" si="35"/>
        <v>#VALUE!</v>
      </c>
      <c r="AZ88" s="489" t="str">
        <f t="shared" si="36"/>
        <v/>
      </c>
      <c r="BA88" s="631" t="e">
        <f t="shared" si="40"/>
        <v>#VALUE!</v>
      </c>
      <c r="BB88" s="491" t="e">
        <f t="shared" si="40"/>
        <v>#VALUE!</v>
      </c>
      <c r="BC88" s="491" t="e">
        <f t="shared" si="40"/>
        <v>#VALUE!</v>
      </c>
      <c r="BD88" s="491" t="e">
        <f t="shared" si="40"/>
        <v>#VALUE!</v>
      </c>
      <c r="BE88" s="491" t="e">
        <f t="shared" si="40"/>
        <v>#VALUE!</v>
      </c>
      <c r="BF88" s="491" t="e">
        <f t="shared" si="40"/>
        <v>#VALUE!</v>
      </c>
      <c r="BG88" s="491" t="e">
        <f t="shared" si="40"/>
        <v>#VALUE!</v>
      </c>
      <c r="BH88" s="491" t="e">
        <f t="shared" si="40"/>
        <v>#VALUE!</v>
      </c>
      <c r="BI88" s="491" t="e">
        <f t="shared" si="40"/>
        <v>#VALUE!</v>
      </c>
      <c r="BJ88" s="491" t="e">
        <f t="shared" si="40"/>
        <v>#VALUE!</v>
      </c>
      <c r="BK88" s="400">
        <f t="shared" si="37"/>
        <v>38</v>
      </c>
      <c r="BL88" s="491" t="e">
        <f t="shared" si="41"/>
        <v>#VALUE!</v>
      </c>
      <c r="BM88" s="491" t="e">
        <f t="shared" si="41"/>
        <v>#VALUE!</v>
      </c>
      <c r="BN88" s="491" t="e">
        <f t="shared" si="41"/>
        <v>#VALUE!</v>
      </c>
      <c r="BO88" s="491" t="e">
        <f t="shared" si="41"/>
        <v>#VALUE!</v>
      </c>
      <c r="BP88" s="622" t="e">
        <f t="shared" si="39"/>
        <v>#VALUE!</v>
      </c>
      <c r="BQ88" s="274" t="e">
        <f>IF(L88="","Column",IF(OR(C88&lt;MAX(ColSpa1,Geometry!$J$107),C88&gt;MAX(MAX(Geometry!$I$107:$I$116),MAX(Geometry!$J$107:$J$116))),MIN(6,INDEX($O$45:$O$48,MATCH(L88,$O$45:$O$48,1),1)),INDEX($O$45:$O$48,MATCH(L88,$O$45:$O$48,1),1)))</f>
        <v>#VALUE!</v>
      </c>
    </row>
    <row r="89" spans="1:69">
      <c r="A89" s="339"/>
      <c r="B89" s="96" t="e">
        <f>IF(MIN(ABS(C89-INDEX(Geometry!$Q$104:$Q$113,IF(ISERROR(MATCH(C89,Geometry!$Q$104:$Q$113,1)),1,MATCH(C89,Geometry!$Q$104:$Q$113,1)),1)),ABS(C89-INDEX(Geometry!$Q$104:$Q$113,IF(ISERROR(MAX(11-MATCH(C89,Geometry!$R$104:$R$113,-1),1)),1,MAX(11-MATCH(C89,Geometry!$R$104:$R$113,-1),1)),1)))&lt;(halfeffectiveface/12),"#","")</f>
        <v>#VALUE!</v>
      </c>
      <c r="C89" s="96" t="str">
        <f>'CAP18 Out(1)'!D47</f>
        <v/>
      </c>
      <c r="D89" s="184" t="str">
        <f>'CAP18 Out(1)'!M47</f>
        <v/>
      </c>
      <c r="E89" s="179" t="e">
        <f t="shared" si="13"/>
        <v>#VALUE!</v>
      </c>
      <c r="F89" s="87" t="e">
        <f t="shared" si="14"/>
        <v>#VALUE!</v>
      </c>
      <c r="G89" s="87" t="e">
        <f t="shared" si="15"/>
        <v>#VALUE!</v>
      </c>
      <c r="H89" s="185" t="e">
        <f t="shared" si="16"/>
        <v>#VALUE!</v>
      </c>
      <c r="I89" s="184" t="e">
        <f t="shared" si="17"/>
        <v>#VALUE!</v>
      </c>
      <c r="J89" s="184">
        <f t="shared" si="18"/>
        <v>0</v>
      </c>
      <c r="K89" s="184">
        <f t="shared" si="19"/>
        <v>0</v>
      </c>
      <c r="L89" s="296" t="e">
        <f t="shared" si="20"/>
        <v>#VALUE!</v>
      </c>
      <c r="M89" s="294" t="e">
        <f>IF(L89="Column","",IF(OR(C89&lt;MAX(ColSpa1,Geometry!$J$107),C89&gt;MAX(MAX(Geometry!$I$107:$I$116),MAX(Geometry!$J$107:$J$116))),"OH - 6''",""))</f>
        <v>#VALUE!</v>
      </c>
      <c r="N89" s="1053">
        <v>36.4</v>
      </c>
      <c r="O89" s="489">
        <f t="shared" si="21"/>
        <v>0</v>
      </c>
      <c r="P89" s="489">
        <f t="shared" si="22"/>
        <v>0</v>
      </c>
      <c r="Q89" s="400" t="e">
        <f>'CAP18 Out(1)'!I47</f>
        <v>#VALUE!</v>
      </c>
      <c r="R89" s="400" t="e">
        <f>'CAP18 Out(1)'!J47</f>
        <v>#VALUE!</v>
      </c>
      <c r="S89" s="400" t="e">
        <f>IF(E89=ABS(Q89),VLOOKUP('Bars B'!$F$10,BarTable,4,FALSE)/12,1.3*VLOOKUP('Bars A'!$F$10,BarTable,4,FALSE)/12)</f>
        <v>#VALUE!</v>
      </c>
      <c r="T89" s="626" t="e">
        <f t="shared" si="23"/>
        <v>#VALUE!</v>
      </c>
      <c r="U89" s="489" t="e">
        <f>IF(T89&gt;S89,IF(E89=ABS(R89),'Bars A'!$I$13,'Bars B'!$I$13),0.0000000001)</f>
        <v>#VALUE!</v>
      </c>
      <c r="V89" s="483" t="e">
        <f t="shared" si="24"/>
        <v>#VALUE!</v>
      </c>
      <c r="W89" s="627" t="e">
        <f t="shared" si="25"/>
        <v>#VALUE!</v>
      </c>
      <c r="X89" s="628" t="e">
        <f t="shared" si="26"/>
        <v>#VALUE!</v>
      </c>
      <c r="Y89" s="489" t="e">
        <f t="shared" si="27"/>
        <v>#VALUE!</v>
      </c>
      <c r="Z89" s="629" t="e">
        <f t="shared" si="28"/>
        <v>#VALUE!</v>
      </c>
      <c r="AA89" s="626" t="e">
        <f t="shared" si="29"/>
        <v>#VALUE!</v>
      </c>
      <c r="AB89" s="481" t="e">
        <f>MATCH(V89,Reference!$S$7:$S$17,1)</f>
        <v>#VALUE!</v>
      </c>
      <c r="AC89" s="1388" t="e">
        <f>12-MATCH(V89,Reference!$AD$6:$AD$16,-1)</f>
        <v>#VALUE!</v>
      </c>
      <c r="AD89" s="482" t="e">
        <f>MATCH(X89,Reference!$T$6:$AB$6,1)</f>
        <v>#VALUE!</v>
      </c>
      <c r="AE89" s="482" t="e">
        <f>10-MATCH(X89,Reference!$AD$18:$AL$18,-1)</f>
        <v>#VALUE!</v>
      </c>
      <c r="AF89" s="482" t="e">
        <f>INDEX(Reference!$T$7:$AB$17,AB89,AD89)</f>
        <v>#VALUE!</v>
      </c>
      <c r="AG89" s="482" t="e">
        <f>INDEX(Reference!$T$7:$AB$17,AB89,AE89)</f>
        <v>#VALUE!</v>
      </c>
      <c r="AH89" s="482" t="e">
        <f>INDEX(Reference!$T$7:$AB$17,AC89,AD89)</f>
        <v>#VALUE!</v>
      </c>
      <c r="AI89" s="482" t="e">
        <f>INDEX(Reference!$T$7:$AB$17,AC89,AE89)</f>
        <v>#VALUE!</v>
      </c>
      <c r="AJ89" s="482" t="e">
        <f>INDEX(Reference!$T$23:$AB$33,AB89,AD89)</f>
        <v>#VALUE!</v>
      </c>
      <c r="AK89" s="482" t="e">
        <f>INDEX(Reference!$T$23:$AB$33,AB89,AE89)</f>
        <v>#VALUE!</v>
      </c>
      <c r="AL89" s="482" t="e">
        <f>INDEX(Reference!$T$23:$AB$33,AC89,AD89)</f>
        <v>#VALUE!</v>
      </c>
      <c r="AM89" s="482" t="e">
        <f>INDEX(Reference!$T$23:$AB$33,AC89,AE89)</f>
        <v>#VALUE!</v>
      </c>
      <c r="AN89" s="483" t="e">
        <f>INDEX(Reference!$S$7:$S$17,AB89,1)</f>
        <v>#VALUE!</v>
      </c>
      <c r="AO89" s="483" t="e">
        <f>INDEX(Reference!$S$7:$S$17,AC89,1)</f>
        <v>#VALUE!</v>
      </c>
      <c r="AP89" s="484" t="e">
        <f>INDEX(Reference!$T$6:$AB$6,1,AD89)</f>
        <v>#VALUE!</v>
      </c>
      <c r="AQ89" s="484" t="e">
        <f>INDEX(Reference!$T$6:$AB$6,1,AE89)</f>
        <v>#VALUE!</v>
      </c>
      <c r="AR89" s="629" t="e">
        <f t="shared" si="30"/>
        <v>#VALUE!</v>
      </c>
      <c r="AS89" s="629" t="e">
        <f t="shared" si="31"/>
        <v>#VALUE!</v>
      </c>
      <c r="AT89" s="629" t="e">
        <f t="shared" si="32"/>
        <v>#VALUE!</v>
      </c>
      <c r="AU89" s="629" t="e">
        <f t="shared" si="33"/>
        <v>#VALUE!</v>
      </c>
      <c r="AV89" s="629" t="e">
        <f t="shared" si="34"/>
        <v>#VALUE!</v>
      </c>
      <c r="AW89" s="630" t="e">
        <f t="shared" si="35"/>
        <v>#VALUE!</v>
      </c>
      <c r="AZ89" s="489" t="str">
        <f t="shared" si="36"/>
        <v/>
      </c>
      <c r="BA89" s="631" t="e">
        <f t="shared" si="40"/>
        <v>#VALUE!</v>
      </c>
      <c r="BB89" s="491" t="e">
        <f t="shared" si="40"/>
        <v>#VALUE!</v>
      </c>
      <c r="BC89" s="491" t="e">
        <f t="shared" si="40"/>
        <v>#VALUE!</v>
      </c>
      <c r="BD89" s="491" t="e">
        <f t="shared" si="40"/>
        <v>#VALUE!</v>
      </c>
      <c r="BE89" s="491" t="e">
        <f t="shared" si="40"/>
        <v>#VALUE!</v>
      </c>
      <c r="BF89" s="491" t="e">
        <f t="shared" si="40"/>
        <v>#VALUE!</v>
      </c>
      <c r="BG89" s="491" t="e">
        <f t="shared" si="40"/>
        <v>#VALUE!</v>
      </c>
      <c r="BH89" s="491" t="e">
        <f t="shared" si="40"/>
        <v>#VALUE!</v>
      </c>
      <c r="BI89" s="491" t="e">
        <f t="shared" si="40"/>
        <v>#VALUE!</v>
      </c>
      <c r="BJ89" s="491" t="e">
        <f t="shared" si="40"/>
        <v>#VALUE!</v>
      </c>
      <c r="BK89" s="400">
        <f t="shared" si="37"/>
        <v>39</v>
      </c>
      <c r="BL89" s="491" t="e">
        <f t="shared" si="41"/>
        <v>#VALUE!</v>
      </c>
      <c r="BM89" s="491" t="e">
        <f t="shared" si="41"/>
        <v>#VALUE!</v>
      </c>
      <c r="BN89" s="491" t="e">
        <f t="shared" si="41"/>
        <v>#VALUE!</v>
      </c>
      <c r="BO89" s="491" t="e">
        <f t="shared" si="41"/>
        <v>#VALUE!</v>
      </c>
      <c r="BP89" s="622" t="e">
        <f t="shared" si="39"/>
        <v>#VALUE!</v>
      </c>
      <c r="BQ89" s="274" t="e">
        <f>IF(L89="","Column",IF(OR(C89&lt;MAX(ColSpa1,Geometry!$J$107),C89&gt;MAX(MAX(Geometry!$I$107:$I$116),MAX(Geometry!$J$107:$J$116))),MIN(6,INDEX($O$45:$O$48,MATCH(L89,$O$45:$O$48,1),1)),INDEX($O$45:$O$48,MATCH(L89,$O$45:$O$48,1),1)))</f>
        <v>#VALUE!</v>
      </c>
    </row>
    <row r="90" spans="1:69">
      <c r="A90" s="339"/>
      <c r="B90" s="96" t="e">
        <f>IF(MIN(ABS(C90-INDEX(Geometry!$Q$104:$Q$113,IF(ISERROR(MATCH(C90,Geometry!$Q$104:$Q$113,1)),1,MATCH(C90,Geometry!$Q$104:$Q$113,1)),1)),ABS(C90-INDEX(Geometry!$Q$104:$Q$113,IF(ISERROR(MAX(11-MATCH(C90,Geometry!$R$104:$R$113,-1),1)),1,MAX(11-MATCH(C90,Geometry!$R$104:$R$113,-1),1)),1)))&lt;(halfeffectiveface/12),"#","")</f>
        <v>#VALUE!</v>
      </c>
      <c r="C90" s="96" t="str">
        <f>'CAP18 Out(1)'!D48</f>
        <v/>
      </c>
      <c r="D90" s="184" t="str">
        <f>'CAP18 Out(1)'!M48</f>
        <v/>
      </c>
      <c r="E90" s="179" t="e">
        <f t="shared" si="13"/>
        <v>#VALUE!</v>
      </c>
      <c r="F90" s="87" t="e">
        <f t="shared" si="14"/>
        <v>#VALUE!</v>
      </c>
      <c r="G90" s="87" t="e">
        <f t="shared" si="15"/>
        <v>#VALUE!</v>
      </c>
      <c r="H90" s="185" t="e">
        <f t="shared" si="16"/>
        <v>#VALUE!</v>
      </c>
      <c r="I90" s="184" t="e">
        <f t="shared" si="17"/>
        <v>#VALUE!</v>
      </c>
      <c r="J90" s="184">
        <f t="shared" si="18"/>
        <v>0</v>
      </c>
      <c r="K90" s="184">
        <f t="shared" si="19"/>
        <v>0</v>
      </c>
      <c r="L90" s="296" t="e">
        <f t="shared" si="20"/>
        <v>#VALUE!</v>
      </c>
      <c r="M90" s="294" t="e">
        <f>IF(L90="Column","",IF(OR(C90&lt;MAX(ColSpa1,Geometry!$J$107),C90&gt;MAX(MAX(Geometry!$I$107:$I$116),MAX(Geometry!$J$107:$J$116))),"OH - 6''",""))</f>
        <v>#VALUE!</v>
      </c>
      <c r="N90" s="1053">
        <v>36.4</v>
      </c>
      <c r="O90" s="489">
        <f t="shared" si="21"/>
        <v>0</v>
      </c>
      <c r="P90" s="489">
        <f t="shared" si="22"/>
        <v>0</v>
      </c>
      <c r="Q90" s="400" t="e">
        <f>'CAP18 Out(1)'!I48</f>
        <v>#VALUE!</v>
      </c>
      <c r="R90" s="400" t="e">
        <f>'CAP18 Out(1)'!J48</f>
        <v>#VALUE!</v>
      </c>
      <c r="S90" s="400" t="e">
        <f>IF(E90=ABS(Q90),VLOOKUP('Bars B'!$F$10,BarTable,4,FALSE)/12,1.3*VLOOKUP('Bars A'!$F$10,BarTable,4,FALSE)/12)</f>
        <v>#VALUE!</v>
      </c>
      <c r="T90" s="626" t="e">
        <f t="shared" si="23"/>
        <v>#VALUE!</v>
      </c>
      <c r="U90" s="489" t="e">
        <f>IF(T90&gt;S90,IF(E90=ABS(R90),'Bars A'!$I$13,'Bars B'!$I$13),0.0000000001)</f>
        <v>#VALUE!</v>
      </c>
      <c r="V90" s="483" t="e">
        <f t="shared" si="24"/>
        <v>#VALUE!</v>
      </c>
      <c r="W90" s="627" t="e">
        <f t="shared" si="25"/>
        <v>#VALUE!</v>
      </c>
      <c r="X90" s="628" t="e">
        <f t="shared" si="26"/>
        <v>#VALUE!</v>
      </c>
      <c r="Y90" s="489" t="e">
        <f t="shared" si="27"/>
        <v>#VALUE!</v>
      </c>
      <c r="Z90" s="629" t="e">
        <f t="shared" si="28"/>
        <v>#VALUE!</v>
      </c>
      <c r="AA90" s="626" t="e">
        <f t="shared" si="29"/>
        <v>#VALUE!</v>
      </c>
      <c r="AB90" s="481" t="e">
        <f>MATCH(V90,Reference!$S$7:$S$17,1)</f>
        <v>#VALUE!</v>
      </c>
      <c r="AC90" s="1388" t="e">
        <f>12-MATCH(V90,Reference!$AD$6:$AD$16,-1)</f>
        <v>#VALUE!</v>
      </c>
      <c r="AD90" s="482" t="e">
        <f>MATCH(X90,Reference!$T$6:$AB$6,1)</f>
        <v>#VALUE!</v>
      </c>
      <c r="AE90" s="482" t="e">
        <f>10-MATCH(X90,Reference!$AD$18:$AL$18,-1)</f>
        <v>#VALUE!</v>
      </c>
      <c r="AF90" s="482" t="e">
        <f>INDEX(Reference!$T$7:$AB$17,AB90,AD90)</f>
        <v>#VALUE!</v>
      </c>
      <c r="AG90" s="482" t="e">
        <f>INDEX(Reference!$T$7:$AB$17,AB90,AE90)</f>
        <v>#VALUE!</v>
      </c>
      <c r="AH90" s="482" t="e">
        <f>INDEX(Reference!$T$7:$AB$17,AC90,AD90)</f>
        <v>#VALUE!</v>
      </c>
      <c r="AI90" s="482" t="e">
        <f>INDEX(Reference!$T$7:$AB$17,AC90,AE90)</f>
        <v>#VALUE!</v>
      </c>
      <c r="AJ90" s="482" t="e">
        <f>INDEX(Reference!$T$23:$AB$33,AB90,AD90)</f>
        <v>#VALUE!</v>
      </c>
      <c r="AK90" s="482" t="e">
        <f>INDEX(Reference!$T$23:$AB$33,AB90,AE90)</f>
        <v>#VALUE!</v>
      </c>
      <c r="AL90" s="482" t="e">
        <f>INDEX(Reference!$T$23:$AB$33,AC90,AD90)</f>
        <v>#VALUE!</v>
      </c>
      <c r="AM90" s="482" t="e">
        <f>INDEX(Reference!$T$23:$AB$33,AC90,AE90)</f>
        <v>#VALUE!</v>
      </c>
      <c r="AN90" s="483" t="e">
        <f>INDEX(Reference!$S$7:$S$17,AB90,1)</f>
        <v>#VALUE!</v>
      </c>
      <c r="AO90" s="483" t="e">
        <f>INDEX(Reference!$S$7:$S$17,AC90,1)</f>
        <v>#VALUE!</v>
      </c>
      <c r="AP90" s="484" t="e">
        <f>INDEX(Reference!$T$6:$AB$6,1,AD90)</f>
        <v>#VALUE!</v>
      </c>
      <c r="AQ90" s="484" t="e">
        <f>INDEX(Reference!$T$6:$AB$6,1,AE90)</f>
        <v>#VALUE!</v>
      </c>
      <c r="AR90" s="629" t="e">
        <f t="shared" si="30"/>
        <v>#VALUE!</v>
      </c>
      <c r="AS90" s="629" t="e">
        <f t="shared" si="31"/>
        <v>#VALUE!</v>
      </c>
      <c r="AT90" s="629" t="e">
        <f t="shared" si="32"/>
        <v>#VALUE!</v>
      </c>
      <c r="AU90" s="629" t="e">
        <f t="shared" si="33"/>
        <v>#VALUE!</v>
      </c>
      <c r="AV90" s="629" t="e">
        <f t="shared" si="34"/>
        <v>#VALUE!</v>
      </c>
      <c r="AW90" s="630" t="e">
        <f t="shared" si="35"/>
        <v>#VALUE!</v>
      </c>
      <c r="AZ90" s="489" t="str">
        <f t="shared" si="36"/>
        <v/>
      </c>
      <c r="BA90" s="631" t="e">
        <f t="shared" si="40"/>
        <v>#VALUE!</v>
      </c>
      <c r="BB90" s="491" t="e">
        <f t="shared" si="40"/>
        <v>#VALUE!</v>
      </c>
      <c r="BC90" s="491" t="e">
        <f t="shared" si="40"/>
        <v>#VALUE!</v>
      </c>
      <c r="BD90" s="491" t="e">
        <f t="shared" si="40"/>
        <v>#VALUE!</v>
      </c>
      <c r="BE90" s="491" t="e">
        <f t="shared" si="40"/>
        <v>#VALUE!</v>
      </c>
      <c r="BF90" s="491" t="e">
        <f t="shared" si="40"/>
        <v>#VALUE!</v>
      </c>
      <c r="BG90" s="491" t="e">
        <f t="shared" si="40"/>
        <v>#VALUE!</v>
      </c>
      <c r="BH90" s="491" t="e">
        <f t="shared" si="40"/>
        <v>#VALUE!</v>
      </c>
      <c r="BI90" s="491" t="e">
        <f t="shared" si="40"/>
        <v>#VALUE!</v>
      </c>
      <c r="BJ90" s="491" t="e">
        <f t="shared" si="40"/>
        <v>#VALUE!</v>
      </c>
      <c r="BK90" s="400">
        <f t="shared" si="37"/>
        <v>40</v>
      </c>
      <c r="BL90" s="491" t="e">
        <f t="shared" si="41"/>
        <v>#VALUE!</v>
      </c>
      <c r="BM90" s="491" t="e">
        <f t="shared" si="41"/>
        <v>#VALUE!</v>
      </c>
      <c r="BN90" s="491" t="e">
        <f t="shared" si="41"/>
        <v>#VALUE!</v>
      </c>
      <c r="BO90" s="491" t="e">
        <f t="shared" si="41"/>
        <v>#VALUE!</v>
      </c>
      <c r="BP90" s="622" t="e">
        <f t="shared" si="39"/>
        <v>#VALUE!</v>
      </c>
      <c r="BQ90" s="274" t="e">
        <f>IF(L90="","Column",IF(OR(C90&lt;MAX(ColSpa1,Geometry!$J$107),C90&gt;MAX(MAX(Geometry!$I$107:$I$116),MAX(Geometry!$J$107:$J$116))),MIN(6,INDEX($O$45:$O$48,MATCH(L90,$O$45:$O$48,1),1)),INDEX($O$45:$O$48,MATCH(L90,$O$45:$O$48,1),1)))</f>
        <v>#VALUE!</v>
      </c>
    </row>
    <row r="91" spans="1:69">
      <c r="A91" s="339"/>
      <c r="B91" s="96" t="e">
        <f>IF(MIN(ABS(C91-INDEX(Geometry!$Q$104:$Q$113,IF(ISERROR(MATCH(C91,Geometry!$Q$104:$Q$113,1)),1,MATCH(C91,Geometry!$Q$104:$Q$113,1)),1)),ABS(C91-INDEX(Geometry!$Q$104:$Q$113,IF(ISERROR(MAX(11-MATCH(C91,Geometry!$R$104:$R$113,-1),1)),1,MAX(11-MATCH(C91,Geometry!$R$104:$R$113,-1),1)),1)))&lt;(halfeffectiveface/12),"#","")</f>
        <v>#VALUE!</v>
      </c>
      <c r="C91" s="96" t="str">
        <f>'CAP18 Out(1)'!D49</f>
        <v/>
      </c>
      <c r="D91" s="184" t="str">
        <f>'CAP18 Out(1)'!M49</f>
        <v/>
      </c>
      <c r="E91" s="179" t="e">
        <f t="shared" si="13"/>
        <v>#VALUE!</v>
      </c>
      <c r="F91" s="87" t="e">
        <f t="shared" si="14"/>
        <v>#VALUE!</v>
      </c>
      <c r="G91" s="87" t="e">
        <f t="shared" si="15"/>
        <v>#VALUE!</v>
      </c>
      <c r="H91" s="185" t="e">
        <f t="shared" si="16"/>
        <v>#VALUE!</v>
      </c>
      <c r="I91" s="184" t="e">
        <f t="shared" si="17"/>
        <v>#VALUE!</v>
      </c>
      <c r="J91" s="184">
        <f t="shared" si="18"/>
        <v>0</v>
      </c>
      <c r="K91" s="184">
        <f t="shared" si="19"/>
        <v>0</v>
      </c>
      <c r="L91" s="296" t="e">
        <f t="shared" si="20"/>
        <v>#VALUE!</v>
      </c>
      <c r="M91" s="294" t="e">
        <f>IF(L91="Column","",IF(OR(C91&lt;MAX(ColSpa1,Geometry!$J$107),C91&gt;MAX(MAX(Geometry!$I$107:$I$116),MAX(Geometry!$J$107:$J$116))),"OH - 6''",""))</f>
        <v>#VALUE!</v>
      </c>
      <c r="N91" s="1053">
        <v>36.400917751576841</v>
      </c>
      <c r="O91" s="489">
        <f t="shared" si="21"/>
        <v>0</v>
      </c>
      <c r="P91" s="489">
        <f t="shared" si="22"/>
        <v>0</v>
      </c>
      <c r="Q91" s="400" t="e">
        <f>'CAP18 Out(1)'!I49</f>
        <v>#VALUE!</v>
      </c>
      <c r="R91" s="400" t="e">
        <f>'CAP18 Out(1)'!J49</f>
        <v>#VALUE!</v>
      </c>
      <c r="S91" s="400" t="e">
        <f>IF(E91=ABS(Q91),VLOOKUP('Bars B'!$F$10,BarTable,4,FALSE)/12,1.3*VLOOKUP('Bars A'!$F$10,BarTable,4,FALSE)/12)</f>
        <v>#VALUE!</v>
      </c>
      <c r="T91" s="626" t="e">
        <f t="shared" si="23"/>
        <v>#VALUE!</v>
      </c>
      <c r="U91" s="489" t="e">
        <f>IF(T91&gt;S91,IF(E91=ABS(R91),'Bars A'!$I$13,'Bars B'!$I$13),0.0000000001)</f>
        <v>#VALUE!</v>
      </c>
      <c r="V91" s="483" t="e">
        <f t="shared" si="24"/>
        <v>#VALUE!</v>
      </c>
      <c r="W91" s="627" t="e">
        <f t="shared" si="25"/>
        <v>#VALUE!</v>
      </c>
      <c r="X91" s="628" t="e">
        <f t="shared" si="26"/>
        <v>#VALUE!</v>
      </c>
      <c r="Y91" s="489" t="e">
        <f t="shared" si="27"/>
        <v>#VALUE!</v>
      </c>
      <c r="Z91" s="629" t="e">
        <f t="shared" si="28"/>
        <v>#VALUE!</v>
      </c>
      <c r="AA91" s="626" t="e">
        <f t="shared" si="29"/>
        <v>#VALUE!</v>
      </c>
      <c r="AB91" s="481" t="e">
        <f>MATCH(V91,Reference!$S$7:$S$17,1)</f>
        <v>#VALUE!</v>
      </c>
      <c r="AC91" s="1388" t="e">
        <f>12-MATCH(V91,Reference!$AD$6:$AD$16,-1)</f>
        <v>#VALUE!</v>
      </c>
      <c r="AD91" s="482" t="e">
        <f>MATCH(X91,Reference!$T$6:$AB$6,1)</f>
        <v>#VALUE!</v>
      </c>
      <c r="AE91" s="482" t="e">
        <f>10-MATCH(X91,Reference!$AD$18:$AL$18,-1)</f>
        <v>#VALUE!</v>
      </c>
      <c r="AF91" s="482" t="e">
        <f>INDEX(Reference!$T$7:$AB$17,AB91,AD91)</f>
        <v>#VALUE!</v>
      </c>
      <c r="AG91" s="482" t="e">
        <f>INDEX(Reference!$T$7:$AB$17,AB91,AE91)</f>
        <v>#VALUE!</v>
      </c>
      <c r="AH91" s="482" t="e">
        <f>INDEX(Reference!$T$7:$AB$17,AC91,AD91)</f>
        <v>#VALUE!</v>
      </c>
      <c r="AI91" s="482" t="e">
        <f>INDEX(Reference!$T$7:$AB$17,AC91,AE91)</f>
        <v>#VALUE!</v>
      </c>
      <c r="AJ91" s="482" t="e">
        <f>INDEX(Reference!$T$23:$AB$33,AB91,AD91)</f>
        <v>#VALUE!</v>
      </c>
      <c r="AK91" s="482" t="e">
        <f>INDEX(Reference!$T$23:$AB$33,AB91,AE91)</f>
        <v>#VALUE!</v>
      </c>
      <c r="AL91" s="482" t="e">
        <f>INDEX(Reference!$T$23:$AB$33,AC91,AD91)</f>
        <v>#VALUE!</v>
      </c>
      <c r="AM91" s="482" t="e">
        <f>INDEX(Reference!$T$23:$AB$33,AC91,AE91)</f>
        <v>#VALUE!</v>
      </c>
      <c r="AN91" s="483" t="e">
        <f>INDEX(Reference!$S$7:$S$17,AB91,1)</f>
        <v>#VALUE!</v>
      </c>
      <c r="AO91" s="483" t="e">
        <f>INDEX(Reference!$S$7:$S$17,AC91,1)</f>
        <v>#VALUE!</v>
      </c>
      <c r="AP91" s="484" t="e">
        <f>INDEX(Reference!$T$6:$AB$6,1,AD91)</f>
        <v>#VALUE!</v>
      </c>
      <c r="AQ91" s="484" t="e">
        <f>INDEX(Reference!$T$6:$AB$6,1,AE91)</f>
        <v>#VALUE!</v>
      </c>
      <c r="AR91" s="629" t="e">
        <f t="shared" si="30"/>
        <v>#VALUE!</v>
      </c>
      <c r="AS91" s="629" t="e">
        <f t="shared" si="31"/>
        <v>#VALUE!</v>
      </c>
      <c r="AT91" s="629" t="e">
        <f t="shared" si="32"/>
        <v>#VALUE!</v>
      </c>
      <c r="AU91" s="629" t="e">
        <f t="shared" si="33"/>
        <v>#VALUE!</v>
      </c>
      <c r="AV91" s="629" t="e">
        <f t="shared" si="34"/>
        <v>#VALUE!</v>
      </c>
      <c r="AW91" s="630" t="e">
        <f t="shared" si="35"/>
        <v>#VALUE!</v>
      </c>
      <c r="AZ91" s="489" t="str">
        <f t="shared" si="36"/>
        <v/>
      </c>
      <c r="BA91" s="631" t="e">
        <f t="shared" si="40"/>
        <v>#VALUE!</v>
      </c>
      <c r="BB91" s="491" t="e">
        <f t="shared" si="40"/>
        <v>#VALUE!</v>
      </c>
      <c r="BC91" s="491" t="e">
        <f t="shared" si="40"/>
        <v>#VALUE!</v>
      </c>
      <c r="BD91" s="491" t="e">
        <f t="shared" si="40"/>
        <v>#VALUE!</v>
      </c>
      <c r="BE91" s="491" t="e">
        <f t="shared" si="40"/>
        <v>#VALUE!</v>
      </c>
      <c r="BF91" s="491" t="e">
        <f t="shared" si="40"/>
        <v>#VALUE!</v>
      </c>
      <c r="BG91" s="491" t="e">
        <f t="shared" si="40"/>
        <v>#VALUE!</v>
      </c>
      <c r="BH91" s="491" t="e">
        <f t="shared" si="40"/>
        <v>#VALUE!</v>
      </c>
      <c r="BI91" s="491" t="e">
        <f t="shared" si="40"/>
        <v>#VALUE!</v>
      </c>
      <c r="BJ91" s="491" t="e">
        <f t="shared" si="40"/>
        <v>#VALUE!</v>
      </c>
      <c r="BK91" s="400">
        <f t="shared" si="37"/>
        <v>41</v>
      </c>
      <c r="BL91" s="491" t="e">
        <f t="shared" si="41"/>
        <v>#VALUE!</v>
      </c>
      <c r="BM91" s="491" t="e">
        <f t="shared" si="41"/>
        <v>#VALUE!</v>
      </c>
      <c r="BN91" s="491" t="e">
        <f t="shared" si="41"/>
        <v>#VALUE!</v>
      </c>
      <c r="BO91" s="491" t="e">
        <f t="shared" si="41"/>
        <v>#VALUE!</v>
      </c>
      <c r="BP91" s="622" t="e">
        <f t="shared" si="39"/>
        <v>#VALUE!</v>
      </c>
      <c r="BQ91" s="274" t="e">
        <f>IF(L91="","Column",IF(OR(C91&lt;MAX(ColSpa1,Geometry!$J$107),C91&gt;MAX(MAX(Geometry!$I$107:$I$116),MAX(Geometry!$J$107:$J$116))),MIN(6,INDEX($O$45:$O$48,MATCH(L91,$O$45:$O$48,1),1)),INDEX($O$45:$O$48,MATCH(L91,$O$45:$O$48,1),1)))</f>
        <v>#VALUE!</v>
      </c>
    </row>
    <row r="92" spans="1:69">
      <c r="A92" s="339"/>
      <c r="B92" s="96" t="e">
        <f>IF(MIN(ABS(C92-INDEX(Geometry!$Q$104:$Q$113,IF(ISERROR(MATCH(C92,Geometry!$Q$104:$Q$113,1)),1,MATCH(C92,Geometry!$Q$104:$Q$113,1)),1)),ABS(C92-INDEX(Geometry!$Q$104:$Q$113,IF(ISERROR(MAX(11-MATCH(C92,Geometry!$R$104:$R$113,-1),1)),1,MAX(11-MATCH(C92,Geometry!$R$104:$R$113,-1),1)),1)))&lt;(halfeffectiveface/12),"#","")</f>
        <v>#VALUE!</v>
      </c>
      <c r="C92" s="96" t="str">
        <f>'CAP18 Out(1)'!D50</f>
        <v/>
      </c>
      <c r="D92" s="184" t="str">
        <f>'CAP18 Out(1)'!M50</f>
        <v/>
      </c>
      <c r="E92" s="179" t="e">
        <f t="shared" si="13"/>
        <v>#VALUE!</v>
      </c>
      <c r="F92" s="87" t="e">
        <f t="shared" si="14"/>
        <v>#VALUE!</v>
      </c>
      <c r="G92" s="87" t="e">
        <f t="shared" si="15"/>
        <v>#VALUE!</v>
      </c>
      <c r="H92" s="185" t="e">
        <f t="shared" si="16"/>
        <v>#VALUE!</v>
      </c>
      <c r="I92" s="184" t="e">
        <f t="shared" si="17"/>
        <v>#VALUE!</v>
      </c>
      <c r="J92" s="184">
        <f t="shared" si="18"/>
        <v>0</v>
      </c>
      <c r="K92" s="184">
        <f t="shared" si="19"/>
        <v>0</v>
      </c>
      <c r="L92" s="296" t="e">
        <f t="shared" si="20"/>
        <v>#VALUE!</v>
      </c>
      <c r="M92" s="294" t="e">
        <f>IF(L92="Column","",IF(OR(C92&lt;MAX(ColSpa1,Geometry!$J$107),C92&gt;MAX(MAX(Geometry!$I$107:$I$116),MAX(Geometry!$J$107:$J$116))),"OH - 6''",""))</f>
        <v>#VALUE!</v>
      </c>
      <c r="N92" s="1053">
        <v>36.4</v>
      </c>
      <c r="O92" s="489">
        <f t="shared" si="21"/>
        <v>0</v>
      </c>
      <c r="P92" s="489">
        <f t="shared" si="22"/>
        <v>0</v>
      </c>
      <c r="Q92" s="400" t="e">
        <f>'CAP18 Out(1)'!I50</f>
        <v>#VALUE!</v>
      </c>
      <c r="R92" s="400" t="e">
        <f>'CAP18 Out(1)'!J50</f>
        <v>#VALUE!</v>
      </c>
      <c r="S92" s="400" t="e">
        <f>IF(E92=ABS(Q92),VLOOKUP('Bars B'!$F$10,BarTable,4,FALSE)/12,1.3*VLOOKUP('Bars A'!$F$10,BarTable,4,FALSE)/12)</f>
        <v>#VALUE!</v>
      </c>
      <c r="T92" s="626" t="e">
        <f t="shared" si="23"/>
        <v>#VALUE!</v>
      </c>
      <c r="U92" s="489" t="e">
        <f>IF(T92&gt;S92,IF(E92=ABS(R92),'Bars A'!$I$13,'Bars B'!$I$13),0.0000000001)</f>
        <v>#VALUE!</v>
      </c>
      <c r="V92" s="483" t="e">
        <f t="shared" si="24"/>
        <v>#VALUE!</v>
      </c>
      <c r="W92" s="627" t="e">
        <f t="shared" si="25"/>
        <v>#VALUE!</v>
      </c>
      <c r="X92" s="628" t="e">
        <f t="shared" si="26"/>
        <v>#VALUE!</v>
      </c>
      <c r="Y92" s="489" t="e">
        <f t="shared" si="27"/>
        <v>#VALUE!</v>
      </c>
      <c r="Z92" s="629" t="e">
        <f t="shared" si="28"/>
        <v>#VALUE!</v>
      </c>
      <c r="AA92" s="626" t="e">
        <f t="shared" si="29"/>
        <v>#VALUE!</v>
      </c>
      <c r="AB92" s="481" t="e">
        <f>MATCH(V92,Reference!$S$7:$S$17,1)</f>
        <v>#VALUE!</v>
      </c>
      <c r="AC92" s="1388" t="e">
        <f>12-MATCH(V92,Reference!$AD$6:$AD$16,-1)</f>
        <v>#VALUE!</v>
      </c>
      <c r="AD92" s="482" t="e">
        <f>MATCH(X92,Reference!$T$6:$AB$6,1)</f>
        <v>#VALUE!</v>
      </c>
      <c r="AE92" s="482" t="e">
        <f>10-MATCH(X92,Reference!$AD$18:$AL$18,-1)</f>
        <v>#VALUE!</v>
      </c>
      <c r="AF92" s="482" t="e">
        <f>INDEX(Reference!$T$7:$AB$17,AB92,AD92)</f>
        <v>#VALUE!</v>
      </c>
      <c r="AG92" s="482" t="e">
        <f>INDEX(Reference!$T$7:$AB$17,AB92,AE92)</f>
        <v>#VALUE!</v>
      </c>
      <c r="AH92" s="482" t="e">
        <f>INDEX(Reference!$T$7:$AB$17,AC92,AD92)</f>
        <v>#VALUE!</v>
      </c>
      <c r="AI92" s="482" t="e">
        <f>INDEX(Reference!$T$7:$AB$17,AC92,AE92)</f>
        <v>#VALUE!</v>
      </c>
      <c r="AJ92" s="482" t="e">
        <f>INDEX(Reference!$T$23:$AB$33,AB92,AD92)</f>
        <v>#VALUE!</v>
      </c>
      <c r="AK92" s="482" t="e">
        <f>INDEX(Reference!$T$23:$AB$33,AB92,AE92)</f>
        <v>#VALUE!</v>
      </c>
      <c r="AL92" s="482" t="e">
        <f>INDEX(Reference!$T$23:$AB$33,AC92,AD92)</f>
        <v>#VALUE!</v>
      </c>
      <c r="AM92" s="482" t="e">
        <f>INDEX(Reference!$T$23:$AB$33,AC92,AE92)</f>
        <v>#VALUE!</v>
      </c>
      <c r="AN92" s="483" t="e">
        <f>INDEX(Reference!$S$7:$S$17,AB92,1)</f>
        <v>#VALUE!</v>
      </c>
      <c r="AO92" s="483" t="e">
        <f>INDEX(Reference!$S$7:$S$17,AC92,1)</f>
        <v>#VALUE!</v>
      </c>
      <c r="AP92" s="484" t="e">
        <f>INDEX(Reference!$T$6:$AB$6,1,AD92)</f>
        <v>#VALUE!</v>
      </c>
      <c r="AQ92" s="484" t="e">
        <f>INDEX(Reference!$T$6:$AB$6,1,AE92)</f>
        <v>#VALUE!</v>
      </c>
      <c r="AR92" s="629" t="e">
        <f t="shared" si="30"/>
        <v>#VALUE!</v>
      </c>
      <c r="AS92" s="629" t="e">
        <f t="shared" si="31"/>
        <v>#VALUE!</v>
      </c>
      <c r="AT92" s="629" t="e">
        <f t="shared" si="32"/>
        <v>#VALUE!</v>
      </c>
      <c r="AU92" s="629" t="e">
        <f t="shared" si="33"/>
        <v>#VALUE!</v>
      </c>
      <c r="AV92" s="629" t="e">
        <f t="shared" si="34"/>
        <v>#VALUE!</v>
      </c>
      <c r="AW92" s="630" t="e">
        <f t="shared" si="35"/>
        <v>#VALUE!</v>
      </c>
      <c r="AZ92" s="489" t="str">
        <f t="shared" si="36"/>
        <v/>
      </c>
      <c r="BA92" s="631" t="e">
        <f t="shared" si="40"/>
        <v>#VALUE!</v>
      </c>
      <c r="BB92" s="491" t="e">
        <f t="shared" si="40"/>
        <v>#VALUE!</v>
      </c>
      <c r="BC92" s="491" t="e">
        <f t="shared" si="40"/>
        <v>#VALUE!</v>
      </c>
      <c r="BD92" s="491" t="e">
        <f t="shared" si="40"/>
        <v>#VALUE!</v>
      </c>
      <c r="BE92" s="491" t="e">
        <f t="shared" si="40"/>
        <v>#VALUE!</v>
      </c>
      <c r="BF92" s="491" t="e">
        <f t="shared" si="40"/>
        <v>#VALUE!</v>
      </c>
      <c r="BG92" s="491" t="e">
        <f t="shared" si="40"/>
        <v>#VALUE!</v>
      </c>
      <c r="BH92" s="491" t="e">
        <f t="shared" si="40"/>
        <v>#VALUE!</v>
      </c>
      <c r="BI92" s="491" t="e">
        <f t="shared" si="40"/>
        <v>#VALUE!</v>
      </c>
      <c r="BJ92" s="491" t="e">
        <f t="shared" si="40"/>
        <v>#VALUE!</v>
      </c>
      <c r="BK92" s="400">
        <f t="shared" si="37"/>
        <v>42</v>
      </c>
      <c r="BL92" s="491" t="e">
        <f t="shared" si="41"/>
        <v>#VALUE!</v>
      </c>
      <c r="BM92" s="491" t="e">
        <f t="shared" si="41"/>
        <v>#VALUE!</v>
      </c>
      <c r="BN92" s="491" t="e">
        <f t="shared" si="41"/>
        <v>#VALUE!</v>
      </c>
      <c r="BO92" s="491" t="e">
        <f t="shared" si="41"/>
        <v>#VALUE!</v>
      </c>
      <c r="BP92" s="622" t="e">
        <f t="shared" si="39"/>
        <v>#VALUE!</v>
      </c>
      <c r="BQ92" s="274" t="e">
        <f>IF(L92="","Column",IF(OR(C92&lt;MAX(ColSpa1,Geometry!$J$107),C92&gt;MAX(MAX(Geometry!$I$107:$I$116),MAX(Geometry!$J$107:$J$116))),MIN(6,INDEX($O$45:$O$48,MATCH(L92,$O$45:$O$48,1),1)),INDEX($O$45:$O$48,MATCH(L92,$O$45:$O$48,1),1)))</f>
        <v>#VALUE!</v>
      </c>
    </row>
    <row r="93" spans="1:69">
      <c r="A93" s="339"/>
      <c r="B93" s="96" t="e">
        <f>IF(MIN(ABS(C93-INDEX(Geometry!$Q$104:$Q$113,IF(ISERROR(MATCH(C93,Geometry!$Q$104:$Q$113,1)),1,MATCH(C93,Geometry!$Q$104:$Q$113,1)),1)),ABS(C93-INDEX(Geometry!$Q$104:$Q$113,IF(ISERROR(MAX(11-MATCH(C93,Geometry!$R$104:$R$113,-1),1)),1,MAX(11-MATCH(C93,Geometry!$R$104:$R$113,-1),1)),1)))&lt;(halfeffectiveface/12),"#","")</f>
        <v>#VALUE!</v>
      </c>
      <c r="C93" s="96" t="str">
        <f>'CAP18 Out(1)'!D51</f>
        <v/>
      </c>
      <c r="D93" s="184" t="str">
        <f>'CAP18 Out(1)'!M51</f>
        <v/>
      </c>
      <c r="E93" s="179" t="e">
        <f t="shared" si="13"/>
        <v>#VALUE!</v>
      </c>
      <c r="F93" s="87" t="e">
        <f t="shared" si="14"/>
        <v>#VALUE!</v>
      </c>
      <c r="G93" s="87" t="e">
        <f t="shared" si="15"/>
        <v>#VALUE!</v>
      </c>
      <c r="H93" s="185" t="e">
        <f t="shared" si="16"/>
        <v>#VALUE!</v>
      </c>
      <c r="I93" s="184" t="e">
        <f t="shared" si="17"/>
        <v>#VALUE!</v>
      </c>
      <c r="J93" s="184">
        <f t="shared" si="18"/>
        <v>0</v>
      </c>
      <c r="K93" s="184">
        <f t="shared" si="19"/>
        <v>0</v>
      </c>
      <c r="L93" s="296" t="e">
        <f t="shared" si="20"/>
        <v>#VALUE!</v>
      </c>
      <c r="M93" s="294" t="e">
        <f>IF(L93="Column","",IF(OR(C93&lt;MAX(ColSpa1,Geometry!$J$107),C93&gt;MAX(MAX(Geometry!$I$107:$I$116),MAX(Geometry!$J$107:$J$116))),"OH - 6''",""))</f>
        <v>#VALUE!</v>
      </c>
      <c r="N93" s="1053">
        <v>36.4</v>
      </c>
      <c r="O93" s="489">
        <f t="shared" si="21"/>
        <v>0</v>
      </c>
      <c r="P93" s="489">
        <f t="shared" si="22"/>
        <v>0</v>
      </c>
      <c r="Q93" s="400" t="e">
        <f>'CAP18 Out(1)'!I51</f>
        <v>#VALUE!</v>
      </c>
      <c r="R93" s="400" t="e">
        <f>'CAP18 Out(1)'!J51</f>
        <v>#VALUE!</v>
      </c>
      <c r="S93" s="400" t="e">
        <f>IF(E93=ABS(Q93),VLOOKUP('Bars B'!$F$10,BarTable,4,FALSE)/12,1.3*VLOOKUP('Bars A'!$F$10,BarTable,4,FALSE)/12)</f>
        <v>#VALUE!</v>
      </c>
      <c r="T93" s="626" t="e">
        <f t="shared" si="23"/>
        <v>#VALUE!</v>
      </c>
      <c r="U93" s="489" t="e">
        <f>IF(T93&gt;S93,IF(E93=ABS(R93),'Bars A'!$I$13,'Bars B'!$I$13),0.0000000001)</f>
        <v>#VALUE!</v>
      </c>
      <c r="V93" s="483" t="e">
        <f t="shared" si="24"/>
        <v>#VALUE!</v>
      </c>
      <c r="W93" s="627" t="e">
        <f t="shared" si="25"/>
        <v>#VALUE!</v>
      </c>
      <c r="X93" s="628" t="e">
        <f t="shared" si="26"/>
        <v>#VALUE!</v>
      </c>
      <c r="Y93" s="489" t="e">
        <f t="shared" si="27"/>
        <v>#VALUE!</v>
      </c>
      <c r="Z93" s="629" t="e">
        <f t="shared" si="28"/>
        <v>#VALUE!</v>
      </c>
      <c r="AA93" s="626" t="e">
        <f t="shared" si="29"/>
        <v>#VALUE!</v>
      </c>
      <c r="AB93" s="481" t="e">
        <f>MATCH(V93,Reference!$S$7:$S$17,1)</f>
        <v>#VALUE!</v>
      </c>
      <c r="AC93" s="1388" t="e">
        <f>12-MATCH(V93,Reference!$AD$6:$AD$16,-1)</f>
        <v>#VALUE!</v>
      </c>
      <c r="AD93" s="482" t="e">
        <f>MATCH(X93,Reference!$T$6:$AB$6,1)</f>
        <v>#VALUE!</v>
      </c>
      <c r="AE93" s="482" t="e">
        <f>10-MATCH(X93,Reference!$AD$18:$AL$18,-1)</f>
        <v>#VALUE!</v>
      </c>
      <c r="AF93" s="482" t="e">
        <f>INDEX(Reference!$T$7:$AB$17,AB93,AD93)</f>
        <v>#VALUE!</v>
      </c>
      <c r="AG93" s="482" t="e">
        <f>INDEX(Reference!$T$7:$AB$17,AB93,AE93)</f>
        <v>#VALUE!</v>
      </c>
      <c r="AH93" s="482" t="e">
        <f>INDEX(Reference!$T$7:$AB$17,AC93,AD93)</f>
        <v>#VALUE!</v>
      </c>
      <c r="AI93" s="482" t="e">
        <f>INDEX(Reference!$T$7:$AB$17,AC93,AE93)</f>
        <v>#VALUE!</v>
      </c>
      <c r="AJ93" s="482" t="e">
        <f>INDEX(Reference!$T$23:$AB$33,AB93,AD93)</f>
        <v>#VALUE!</v>
      </c>
      <c r="AK93" s="482" t="e">
        <f>INDEX(Reference!$T$23:$AB$33,AB93,AE93)</f>
        <v>#VALUE!</v>
      </c>
      <c r="AL93" s="482" t="e">
        <f>INDEX(Reference!$T$23:$AB$33,AC93,AD93)</f>
        <v>#VALUE!</v>
      </c>
      <c r="AM93" s="482" t="e">
        <f>INDEX(Reference!$T$23:$AB$33,AC93,AE93)</f>
        <v>#VALUE!</v>
      </c>
      <c r="AN93" s="483" t="e">
        <f>INDEX(Reference!$S$7:$S$17,AB93,1)</f>
        <v>#VALUE!</v>
      </c>
      <c r="AO93" s="483" t="e">
        <f>INDEX(Reference!$S$7:$S$17,AC93,1)</f>
        <v>#VALUE!</v>
      </c>
      <c r="AP93" s="484" t="e">
        <f>INDEX(Reference!$T$6:$AB$6,1,AD93)</f>
        <v>#VALUE!</v>
      </c>
      <c r="AQ93" s="484" t="e">
        <f>INDEX(Reference!$T$6:$AB$6,1,AE93)</f>
        <v>#VALUE!</v>
      </c>
      <c r="AR93" s="629" t="e">
        <f t="shared" si="30"/>
        <v>#VALUE!</v>
      </c>
      <c r="AS93" s="629" t="e">
        <f t="shared" si="31"/>
        <v>#VALUE!</v>
      </c>
      <c r="AT93" s="629" t="e">
        <f t="shared" si="32"/>
        <v>#VALUE!</v>
      </c>
      <c r="AU93" s="629" t="e">
        <f t="shared" si="33"/>
        <v>#VALUE!</v>
      </c>
      <c r="AV93" s="629" t="e">
        <f t="shared" si="34"/>
        <v>#VALUE!</v>
      </c>
      <c r="AW93" s="630" t="e">
        <f t="shared" si="35"/>
        <v>#VALUE!</v>
      </c>
      <c r="AZ93" s="489" t="str">
        <f t="shared" si="36"/>
        <v/>
      </c>
      <c r="BA93" s="631" t="e">
        <f t="shared" si="40"/>
        <v>#VALUE!</v>
      </c>
      <c r="BB93" s="491" t="e">
        <f t="shared" si="40"/>
        <v>#VALUE!</v>
      </c>
      <c r="BC93" s="491" t="e">
        <f t="shared" si="40"/>
        <v>#VALUE!</v>
      </c>
      <c r="BD93" s="491" t="e">
        <f t="shared" si="40"/>
        <v>#VALUE!</v>
      </c>
      <c r="BE93" s="491" t="e">
        <f t="shared" si="40"/>
        <v>#VALUE!</v>
      </c>
      <c r="BF93" s="491" t="e">
        <f t="shared" si="40"/>
        <v>#VALUE!</v>
      </c>
      <c r="BG93" s="491" t="e">
        <f t="shared" si="40"/>
        <v>#VALUE!</v>
      </c>
      <c r="BH93" s="491" t="e">
        <f t="shared" si="40"/>
        <v>#VALUE!</v>
      </c>
      <c r="BI93" s="491" t="e">
        <f t="shared" si="40"/>
        <v>#VALUE!</v>
      </c>
      <c r="BJ93" s="491" t="e">
        <f t="shared" si="40"/>
        <v>#VALUE!</v>
      </c>
      <c r="BK93" s="400">
        <f t="shared" si="37"/>
        <v>43</v>
      </c>
      <c r="BL93" s="491" t="e">
        <f t="shared" si="41"/>
        <v>#VALUE!</v>
      </c>
      <c r="BM93" s="491" t="e">
        <f t="shared" si="41"/>
        <v>#VALUE!</v>
      </c>
      <c r="BN93" s="491" t="e">
        <f t="shared" si="41"/>
        <v>#VALUE!</v>
      </c>
      <c r="BO93" s="491" t="e">
        <f t="shared" si="41"/>
        <v>#VALUE!</v>
      </c>
      <c r="BP93" s="622" t="e">
        <f t="shared" si="39"/>
        <v>#VALUE!</v>
      </c>
      <c r="BQ93" s="274" t="e">
        <f>IF(L93="","Column",IF(OR(C93&lt;MAX(ColSpa1,Geometry!$J$107),C93&gt;MAX(MAX(Geometry!$I$107:$I$116),MAX(Geometry!$J$107:$J$116))),MIN(6,INDEX($O$45:$O$48,MATCH(L93,$O$45:$O$48,1),1)),INDEX($O$45:$O$48,MATCH(L93,$O$45:$O$48,1),1)))</f>
        <v>#VALUE!</v>
      </c>
    </row>
    <row r="94" spans="1:69">
      <c r="A94" s="339"/>
      <c r="B94" s="96" t="e">
        <f>IF(MIN(ABS(C94-INDEX(Geometry!$Q$104:$Q$113,IF(ISERROR(MATCH(C94,Geometry!$Q$104:$Q$113,1)),1,MATCH(C94,Geometry!$Q$104:$Q$113,1)),1)),ABS(C94-INDEX(Geometry!$Q$104:$Q$113,IF(ISERROR(MAX(11-MATCH(C94,Geometry!$R$104:$R$113,-1),1)),1,MAX(11-MATCH(C94,Geometry!$R$104:$R$113,-1),1)),1)))&lt;(halfeffectiveface/12),"#","")</f>
        <v>#VALUE!</v>
      </c>
      <c r="C94" s="96" t="str">
        <f>'CAP18 Out(1)'!D52</f>
        <v/>
      </c>
      <c r="D94" s="184" t="str">
        <f>'CAP18 Out(1)'!M52</f>
        <v/>
      </c>
      <c r="E94" s="179" t="e">
        <f t="shared" si="13"/>
        <v>#VALUE!</v>
      </c>
      <c r="F94" s="87" t="e">
        <f t="shared" si="14"/>
        <v>#VALUE!</v>
      </c>
      <c r="G94" s="87" t="e">
        <f t="shared" si="15"/>
        <v>#VALUE!</v>
      </c>
      <c r="H94" s="185" t="e">
        <f t="shared" si="16"/>
        <v>#VALUE!</v>
      </c>
      <c r="I94" s="184" t="e">
        <f t="shared" si="17"/>
        <v>#VALUE!</v>
      </c>
      <c r="J94" s="184">
        <f t="shared" si="18"/>
        <v>0</v>
      </c>
      <c r="K94" s="184">
        <f t="shared" si="19"/>
        <v>0</v>
      </c>
      <c r="L94" s="296" t="e">
        <f t="shared" si="20"/>
        <v>#VALUE!</v>
      </c>
      <c r="M94" s="294" t="e">
        <f>IF(L94="Column","",IF(OR(C94&lt;MAX(ColSpa1,Geometry!$J$107),C94&gt;MAX(MAX(Geometry!$I$107:$I$116),MAX(Geometry!$J$107:$J$116))),"OH - 6''",""))</f>
        <v>#VALUE!</v>
      </c>
      <c r="N94" s="1053">
        <v>36.4</v>
      </c>
      <c r="O94" s="489">
        <f t="shared" si="21"/>
        <v>0</v>
      </c>
      <c r="P94" s="489">
        <f t="shared" si="22"/>
        <v>0</v>
      </c>
      <c r="Q94" s="400" t="e">
        <f>'CAP18 Out(1)'!I52</f>
        <v>#VALUE!</v>
      </c>
      <c r="R94" s="400" t="e">
        <f>'CAP18 Out(1)'!J52</f>
        <v>#VALUE!</v>
      </c>
      <c r="S94" s="400" t="e">
        <f>IF(E94=ABS(Q94),VLOOKUP('Bars B'!$F$10,BarTable,4,FALSE)/12,1.3*VLOOKUP('Bars A'!$F$10,BarTable,4,FALSE)/12)</f>
        <v>#VALUE!</v>
      </c>
      <c r="T94" s="626" t="e">
        <f t="shared" si="23"/>
        <v>#VALUE!</v>
      </c>
      <c r="U94" s="489" t="e">
        <f>IF(T94&gt;S94,IF(E94=ABS(R94),'Bars A'!$I$13,'Bars B'!$I$13),0.0000000001)</f>
        <v>#VALUE!</v>
      </c>
      <c r="V94" s="483" t="e">
        <f t="shared" si="24"/>
        <v>#VALUE!</v>
      </c>
      <c r="W94" s="627" t="e">
        <f t="shared" si="25"/>
        <v>#VALUE!</v>
      </c>
      <c r="X94" s="628" t="e">
        <f t="shared" si="26"/>
        <v>#VALUE!</v>
      </c>
      <c r="Y94" s="489" t="e">
        <f t="shared" si="27"/>
        <v>#VALUE!</v>
      </c>
      <c r="Z94" s="629" t="e">
        <f t="shared" si="28"/>
        <v>#VALUE!</v>
      </c>
      <c r="AA94" s="626" t="e">
        <f t="shared" si="29"/>
        <v>#VALUE!</v>
      </c>
      <c r="AB94" s="481" t="e">
        <f>MATCH(V94,Reference!$S$7:$S$17,1)</f>
        <v>#VALUE!</v>
      </c>
      <c r="AC94" s="1388" t="e">
        <f>12-MATCH(V94,Reference!$AD$6:$AD$16,-1)</f>
        <v>#VALUE!</v>
      </c>
      <c r="AD94" s="482" t="e">
        <f>MATCH(X94,Reference!$T$6:$AB$6,1)</f>
        <v>#VALUE!</v>
      </c>
      <c r="AE94" s="482" t="e">
        <f>10-MATCH(X94,Reference!$AD$18:$AL$18,-1)</f>
        <v>#VALUE!</v>
      </c>
      <c r="AF94" s="482" t="e">
        <f>INDEX(Reference!$T$7:$AB$17,AB94,AD94)</f>
        <v>#VALUE!</v>
      </c>
      <c r="AG94" s="482" t="e">
        <f>INDEX(Reference!$T$7:$AB$17,AB94,AE94)</f>
        <v>#VALUE!</v>
      </c>
      <c r="AH94" s="482" t="e">
        <f>INDEX(Reference!$T$7:$AB$17,AC94,AD94)</f>
        <v>#VALUE!</v>
      </c>
      <c r="AI94" s="482" t="e">
        <f>INDEX(Reference!$T$7:$AB$17,AC94,AE94)</f>
        <v>#VALUE!</v>
      </c>
      <c r="AJ94" s="482" t="e">
        <f>INDEX(Reference!$T$23:$AB$33,AB94,AD94)</f>
        <v>#VALUE!</v>
      </c>
      <c r="AK94" s="482" t="e">
        <f>INDEX(Reference!$T$23:$AB$33,AB94,AE94)</f>
        <v>#VALUE!</v>
      </c>
      <c r="AL94" s="482" t="e">
        <f>INDEX(Reference!$T$23:$AB$33,AC94,AD94)</f>
        <v>#VALUE!</v>
      </c>
      <c r="AM94" s="482" t="e">
        <f>INDEX(Reference!$T$23:$AB$33,AC94,AE94)</f>
        <v>#VALUE!</v>
      </c>
      <c r="AN94" s="483" t="e">
        <f>INDEX(Reference!$S$7:$S$17,AB94,1)</f>
        <v>#VALUE!</v>
      </c>
      <c r="AO94" s="483" t="e">
        <f>INDEX(Reference!$S$7:$S$17,AC94,1)</f>
        <v>#VALUE!</v>
      </c>
      <c r="AP94" s="484" t="e">
        <f>INDEX(Reference!$T$6:$AB$6,1,AD94)</f>
        <v>#VALUE!</v>
      </c>
      <c r="AQ94" s="484" t="e">
        <f>INDEX(Reference!$T$6:$AB$6,1,AE94)</f>
        <v>#VALUE!</v>
      </c>
      <c r="AR94" s="629" t="e">
        <f t="shared" si="30"/>
        <v>#VALUE!</v>
      </c>
      <c r="AS94" s="629" t="e">
        <f t="shared" si="31"/>
        <v>#VALUE!</v>
      </c>
      <c r="AT94" s="629" t="e">
        <f t="shared" si="32"/>
        <v>#VALUE!</v>
      </c>
      <c r="AU94" s="629" t="e">
        <f t="shared" si="33"/>
        <v>#VALUE!</v>
      </c>
      <c r="AV94" s="629" t="e">
        <f t="shared" si="34"/>
        <v>#VALUE!</v>
      </c>
      <c r="AW94" s="630" t="e">
        <f t="shared" si="35"/>
        <v>#VALUE!</v>
      </c>
      <c r="AZ94" s="489" t="str">
        <f t="shared" si="36"/>
        <v/>
      </c>
      <c r="BA94" s="631" t="e">
        <f t="shared" si="40"/>
        <v>#VALUE!</v>
      </c>
      <c r="BB94" s="491" t="e">
        <f t="shared" si="40"/>
        <v>#VALUE!</v>
      </c>
      <c r="BC94" s="491" t="e">
        <f t="shared" si="40"/>
        <v>#VALUE!</v>
      </c>
      <c r="BD94" s="491" t="e">
        <f t="shared" si="40"/>
        <v>#VALUE!</v>
      </c>
      <c r="BE94" s="491" t="e">
        <f t="shared" si="40"/>
        <v>#VALUE!</v>
      </c>
      <c r="BF94" s="491" t="e">
        <f t="shared" si="40"/>
        <v>#VALUE!</v>
      </c>
      <c r="BG94" s="491" t="e">
        <f t="shared" si="40"/>
        <v>#VALUE!</v>
      </c>
      <c r="BH94" s="491" t="e">
        <f t="shared" si="40"/>
        <v>#VALUE!</v>
      </c>
      <c r="BI94" s="491" t="e">
        <f t="shared" si="40"/>
        <v>#VALUE!</v>
      </c>
      <c r="BJ94" s="491" t="e">
        <f t="shared" si="40"/>
        <v>#VALUE!</v>
      </c>
      <c r="BK94" s="400">
        <f t="shared" si="37"/>
        <v>44</v>
      </c>
      <c r="BL94" s="491" t="e">
        <f t="shared" si="41"/>
        <v>#VALUE!</v>
      </c>
      <c r="BM94" s="491" t="e">
        <f t="shared" si="41"/>
        <v>#VALUE!</v>
      </c>
      <c r="BN94" s="491" t="e">
        <f t="shared" si="41"/>
        <v>#VALUE!</v>
      </c>
      <c r="BO94" s="491" t="e">
        <f t="shared" si="41"/>
        <v>#VALUE!</v>
      </c>
      <c r="BP94" s="622" t="e">
        <f t="shared" si="39"/>
        <v>#VALUE!</v>
      </c>
      <c r="BQ94" s="274" t="e">
        <f>IF(L94="","Column",IF(OR(C94&lt;MAX(ColSpa1,Geometry!$J$107),C94&gt;MAX(MAX(Geometry!$I$107:$I$116),MAX(Geometry!$J$107:$J$116))),MIN(6,INDEX($O$45:$O$48,MATCH(L94,$O$45:$O$48,1),1)),INDEX($O$45:$O$48,MATCH(L94,$O$45:$O$48,1),1)))</f>
        <v>#VALUE!</v>
      </c>
    </row>
    <row r="95" spans="1:69">
      <c r="A95" s="339"/>
      <c r="B95" s="96" t="e">
        <f>IF(MIN(ABS(C95-INDEX(Geometry!$Q$104:$Q$113,IF(ISERROR(MATCH(C95,Geometry!$Q$104:$Q$113,1)),1,MATCH(C95,Geometry!$Q$104:$Q$113,1)),1)),ABS(C95-INDEX(Geometry!$Q$104:$Q$113,IF(ISERROR(MAX(11-MATCH(C95,Geometry!$R$104:$R$113,-1),1)),1,MAX(11-MATCH(C95,Geometry!$R$104:$R$113,-1),1)),1)))&lt;(halfeffectiveface/12),"#","")</f>
        <v>#VALUE!</v>
      </c>
      <c r="C95" s="96" t="str">
        <f>'CAP18 Out(1)'!D53</f>
        <v/>
      </c>
      <c r="D95" s="184" t="str">
        <f>'CAP18 Out(1)'!M53</f>
        <v/>
      </c>
      <c r="E95" s="179" t="e">
        <f t="shared" si="13"/>
        <v>#VALUE!</v>
      </c>
      <c r="F95" s="87" t="e">
        <f t="shared" si="14"/>
        <v>#VALUE!</v>
      </c>
      <c r="G95" s="87" t="e">
        <f t="shared" si="15"/>
        <v>#VALUE!</v>
      </c>
      <c r="H95" s="185" t="e">
        <f t="shared" si="16"/>
        <v>#VALUE!</v>
      </c>
      <c r="I95" s="184" t="e">
        <f t="shared" si="17"/>
        <v>#VALUE!</v>
      </c>
      <c r="J95" s="184">
        <f t="shared" si="18"/>
        <v>0</v>
      </c>
      <c r="K95" s="184">
        <f t="shared" si="19"/>
        <v>0</v>
      </c>
      <c r="L95" s="296" t="e">
        <f t="shared" si="20"/>
        <v>#VALUE!</v>
      </c>
      <c r="M95" s="294" t="e">
        <f>IF(L95="Column","",IF(OR(C95&lt;MAX(ColSpa1,Geometry!$J$107),C95&gt;MAX(MAX(Geometry!$I$107:$I$116),MAX(Geometry!$J$107:$J$116))),"OH - 6''",""))</f>
        <v>#VALUE!</v>
      </c>
      <c r="N95" s="1053">
        <v>36.4</v>
      </c>
      <c r="O95" s="489">
        <f t="shared" si="21"/>
        <v>0</v>
      </c>
      <c r="P95" s="489">
        <f t="shared" si="22"/>
        <v>0</v>
      </c>
      <c r="Q95" s="400" t="e">
        <f>'CAP18 Out(1)'!I53</f>
        <v>#VALUE!</v>
      </c>
      <c r="R95" s="400" t="e">
        <f>'CAP18 Out(1)'!J53</f>
        <v>#VALUE!</v>
      </c>
      <c r="S95" s="400" t="e">
        <f>IF(E95=ABS(Q95),VLOOKUP('Bars B'!$F$10,BarTable,4,FALSE)/12,1.3*VLOOKUP('Bars A'!$F$10,BarTable,4,FALSE)/12)</f>
        <v>#VALUE!</v>
      </c>
      <c r="T95" s="626" t="e">
        <f t="shared" si="23"/>
        <v>#VALUE!</v>
      </c>
      <c r="U95" s="489" t="e">
        <f>IF(T95&gt;S95,IF(E95=ABS(R95),'Bars A'!$I$13,'Bars B'!$I$13),0.0000000001)</f>
        <v>#VALUE!</v>
      </c>
      <c r="V95" s="483" t="e">
        <f t="shared" si="24"/>
        <v>#VALUE!</v>
      </c>
      <c r="W95" s="627" t="e">
        <f t="shared" si="25"/>
        <v>#VALUE!</v>
      </c>
      <c r="X95" s="628" t="e">
        <f t="shared" si="26"/>
        <v>#VALUE!</v>
      </c>
      <c r="Y95" s="489" t="e">
        <f t="shared" si="27"/>
        <v>#VALUE!</v>
      </c>
      <c r="Z95" s="629" t="e">
        <f t="shared" si="28"/>
        <v>#VALUE!</v>
      </c>
      <c r="AA95" s="626" t="e">
        <f t="shared" si="29"/>
        <v>#VALUE!</v>
      </c>
      <c r="AB95" s="481" t="e">
        <f>MATCH(V95,Reference!$S$7:$S$17,1)</f>
        <v>#VALUE!</v>
      </c>
      <c r="AC95" s="1388" t="e">
        <f>12-MATCH(V95,Reference!$AD$6:$AD$16,-1)</f>
        <v>#VALUE!</v>
      </c>
      <c r="AD95" s="482" t="e">
        <f>MATCH(X95,Reference!$T$6:$AB$6,1)</f>
        <v>#VALUE!</v>
      </c>
      <c r="AE95" s="482" t="e">
        <f>10-MATCH(X95,Reference!$AD$18:$AL$18,-1)</f>
        <v>#VALUE!</v>
      </c>
      <c r="AF95" s="482" t="e">
        <f>INDEX(Reference!$T$7:$AB$17,AB95,AD95)</f>
        <v>#VALUE!</v>
      </c>
      <c r="AG95" s="482" t="e">
        <f>INDEX(Reference!$T$7:$AB$17,AB95,AE95)</f>
        <v>#VALUE!</v>
      </c>
      <c r="AH95" s="482" t="e">
        <f>INDEX(Reference!$T$7:$AB$17,AC95,AD95)</f>
        <v>#VALUE!</v>
      </c>
      <c r="AI95" s="482" t="e">
        <f>INDEX(Reference!$T$7:$AB$17,AC95,AE95)</f>
        <v>#VALUE!</v>
      </c>
      <c r="AJ95" s="482" t="e">
        <f>INDEX(Reference!$T$23:$AB$33,AB95,AD95)</f>
        <v>#VALUE!</v>
      </c>
      <c r="AK95" s="482" t="e">
        <f>INDEX(Reference!$T$23:$AB$33,AB95,AE95)</f>
        <v>#VALUE!</v>
      </c>
      <c r="AL95" s="482" t="e">
        <f>INDEX(Reference!$T$23:$AB$33,AC95,AD95)</f>
        <v>#VALUE!</v>
      </c>
      <c r="AM95" s="482" t="e">
        <f>INDEX(Reference!$T$23:$AB$33,AC95,AE95)</f>
        <v>#VALUE!</v>
      </c>
      <c r="AN95" s="483" t="e">
        <f>INDEX(Reference!$S$7:$S$17,AB95,1)</f>
        <v>#VALUE!</v>
      </c>
      <c r="AO95" s="483" t="e">
        <f>INDEX(Reference!$S$7:$S$17,AC95,1)</f>
        <v>#VALUE!</v>
      </c>
      <c r="AP95" s="484" t="e">
        <f>INDEX(Reference!$T$6:$AB$6,1,AD95)</f>
        <v>#VALUE!</v>
      </c>
      <c r="AQ95" s="484" t="e">
        <f>INDEX(Reference!$T$6:$AB$6,1,AE95)</f>
        <v>#VALUE!</v>
      </c>
      <c r="AR95" s="629" t="e">
        <f t="shared" si="30"/>
        <v>#VALUE!</v>
      </c>
      <c r="AS95" s="629" t="e">
        <f t="shared" si="31"/>
        <v>#VALUE!</v>
      </c>
      <c r="AT95" s="629" t="e">
        <f t="shared" si="32"/>
        <v>#VALUE!</v>
      </c>
      <c r="AU95" s="629" t="e">
        <f t="shared" si="33"/>
        <v>#VALUE!</v>
      </c>
      <c r="AV95" s="629" t="e">
        <f t="shared" si="34"/>
        <v>#VALUE!</v>
      </c>
      <c r="AW95" s="630" t="e">
        <f t="shared" si="35"/>
        <v>#VALUE!</v>
      </c>
      <c r="AZ95" s="489" t="str">
        <f t="shared" si="36"/>
        <v/>
      </c>
      <c r="BA95" s="631" t="e">
        <f t="shared" si="40"/>
        <v>#VALUE!</v>
      </c>
      <c r="BB95" s="491" t="e">
        <f t="shared" si="40"/>
        <v>#VALUE!</v>
      </c>
      <c r="BC95" s="491" t="e">
        <f t="shared" si="40"/>
        <v>#VALUE!</v>
      </c>
      <c r="BD95" s="491" t="e">
        <f t="shared" si="40"/>
        <v>#VALUE!</v>
      </c>
      <c r="BE95" s="491" t="e">
        <f t="shared" si="40"/>
        <v>#VALUE!</v>
      </c>
      <c r="BF95" s="491" t="e">
        <f t="shared" ref="BA95:BJ120" si="42">$E$13*MIN(Vnmax,$AA95+$K95/BF$51)</f>
        <v>#VALUE!</v>
      </c>
      <c r="BG95" s="491" t="e">
        <f t="shared" si="42"/>
        <v>#VALUE!</v>
      </c>
      <c r="BH95" s="491" t="e">
        <f t="shared" si="42"/>
        <v>#VALUE!</v>
      </c>
      <c r="BI95" s="491" t="e">
        <f t="shared" si="42"/>
        <v>#VALUE!</v>
      </c>
      <c r="BJ95" s="491" t="e">
        <f t="shared" si="42"/>
        <v>#VALUE!</v>
      </c>
      <c r="BK95" s="400">
        <f t="shared" si="37"/>
        <v>45</v>
      </c>
      <c r="BL95" s="491" t="e">
        <f t="shared" si="41"/>
        <v>#VALUE!</v>
      </c>
      <c r="BM95" s="491" t="e">
        <f t="shared" si="41"/>
        <v>#VALUE!</v>
      </c>
      <c r="BN95" s="491" t="e">
        <f t="shared" si="41"/>
        <v>#VALUE!</v>
      </c>
      <c r="BO95" s="491" t="e">
        <f t="shared" si="41"/>
        <v>#VALUE!</v>
      </c>
      <c r="BP95" s="622" t="e">
        <f t="shared" si="39"/>
        <v>#VALUE!</v>
      </c>
      <c r="BQ95" s="274" t="e">
        <f>IF(L95="","Column",IF(OR(C95&lt;MAX(ColSpa1,Geometry!$J$107),C95&gt;MAX(MAX(Geometry!$I$107:$I$116),MAX(Geometry!$J$107:$J$116))),MIN(6,INDEX($O$45:$O$48,MATCH(L95,$O$45:$O$48,1),1)),INDEX($O$45:$O$48,MATCH(L95,$O$45:$O$48,1),1)))</f>
        <v>#VALUE!</v>
      </c>
    </row>
    <row r="96" spans="1:69">
      <c r="A96" s="339"/>
      <c r="B96" s="96" t="e">
        <f>IF(MIN(ABS(C96-INDEX(Geometry!$Q$104:$Q$113,IF(ISERROR(MATCH(C96,Geometry!$Q$104:$Q$113,1)),1,MATCH(C96,Geometry!$Q$104:$Q$113,1)),1)),ABS(C96-INDEX(Geometry!$Q$104:$Q$113,IF(ISERROR(MAX(11-MATCH(C96,Geometry!$R$104:$R$113,-1),1)),1,MAX(11-MATCH(C96,Geometry!$R$104:$R$113,-1),1)),1)))&lt;(halfeffectiveface/12),"#","")</f>
        <v>#VALUE!</v>
      </c>
      <c r="C96" s="96" t="str">
        <f>'CAP18 Out(1)'!D54</f>
        <v/>
      </c>
      <c r="D96" s="184" t="str">
        <f>'CAP18 Out(1)'!M54</f>
        <v/>
      </c>
      <c r="E96" s="179" t="e">
        <f t="shared" si="13"/>
        <v>#VALUE!</v>
      </c>
      <c r="F96" s="87" t="e">
        <f t="shared" si="14"/>
        <v>#VALUE!</v>
      </c>
      <c r="G96" s="87" t="e">
        <f t="shared" si="15"/>
        <v>#VALUE!</v>
      </c>
      <c r="H96" s="185" t="e">
        <f t="shared" si="16"/>
        <v>#VALUE!</v>
      </c>
      <c r="I96" s="184" t="e">
        <f t="shared" si="17"/>
        <v>#VALUE!</v>
      </c>
      <c r="J96" s="184">
        <f t="shared" si="18"/>
        <v>0</v>
      </c>
      <c r="K96" s="184">
        <f t="shared" si="19"/>
        <v>0</v>
      </c>
      <c r="L96" s="296" t="e">
        <f t="shared" si="20"/>
        <v>#VALUE!</v>
      </c>
      <c r="M96" s="294" t="e">
        <f>IF(L96="Column","",IF(OR(C96&lt;MAX(ColSpa1,Geometry!$J$107),C96&gt;MAX(MAX(Geometry!$I$107:$I$116),MAX(Geometry!$J$107:$J$116))),"OH - 6''",""))</f>
        <v>#VALUE!</v>
      </c>
      <c r="N96" s="1053">
        <v>36.4</v>
      </c>
      <c r="O96" s="489">
        <f t="shared" si="21"/>
        <v>0</v>
      </c>
      <c r="P96" s="489">
        <f t="shared" si="22"/>
        <v>0</v>
      </c>
      <c r="Q96" s="400" t="e">
        <f>'CAP18 Out(1)'!I54</f>
        <v>#VALUE!</v>
      </c>
      <c r="R96" s="400" t="e">
        <f>'CAP18 Out(1)'!J54</f>
        <v>#VALUE!</v>
      </c>
      <c r="S96" s="400" t="e">
        <f>IF(E96=ABS(Q96),VLOOKUP('Bars B'!$F$10,BarTable,4,FALSE)/12,1.3*VLOOKUP('Bars A'!$F$10,BarTable,4,FALSE)/12)</f>
        <v>#VALUE!</v>
      </c>
      <c r="T96" s="626" t="e">
        <f t="shared" si="23"/>
        <v>#VALUE!</v>
      </c>
      <c r="U96" s="489" t="e">
        <f>IF(T96&gt;S96,IF(E96=ABS(R96),'Bars A'!$I$13,'Bars B'!$I$13),0.0000000001)</f>
        <v>#VALUE!</v>
      </c>
      <c r="V96" s="483" t="e">
        <f t="shared" si="24"/>
        <v>#VALUE!</v>
      </c>
      <c r="W96" s="627" t="e">
        <f t="shared" si="25"/>
        <v>#VALUE!</v>
      </c>
      <c r="X96" s="628" t="e">
        <f t="shared" si="26"/>
        <v>#VALUE!</v>
      </c>
      <c r="Y96" s="489" t="e">
        <f t="shared" si="27"/>
        <v>#VALUE!</v>
      </c>
      <c r="Z96" s="629" t="e">
        <f t="shared" si="28"/>
        <v>#VALUE!</v>
      </c>
      <c r="AA96" s="626" t="e">
        <f t="shared" si="29"/>
        <v>#VALUE!</v>
      </c>
      <c r="AB96" s="481" t="e">
        <f>MATCH(V96,Reference!$S$7:$S$17,1)</f>
        <v>#VALUE!</v>
      </c>
      <c r="AC96" s="1388" t="e">
        <f>12-MATCH(V96,Reference!$AD$6:$AD$16,-1)</f>
        <v>#VALUE!</v>
      </c>
      <c r="AD96" s="482" t="e">
        <f>MATCH(X96,Reference!$T$6:$AB$6,1)</f>
        <v>#VALUE!</v>
      </c>
      <c r="AE96" s="482" t="e">
        <f>10-MATCH(X96,Reference!$AD$18:$AL$18,-1)</f>
        <v>#VALUE!</v>
      </c>
      <c r="AF96" s="482" t="e">
        <f>INDEX(Reference!$T$7:$AB$17,AB96,AD96)</f>
        <v>#VALUE!</v>
      </c>
      <c r="AG96" s="482" t="e">
        <f>INDEX(Reference!$T$7:$AB$17,AB96,AE96)</f>
        <v>#VALUE!</v>
      </c>
      <c r="AH96" s="482" t="e">
        <f>INDEX(Reference!$T$7:$AB$17,AC96,AD96)</f>
        <v>#VALUE!</v>
      </c>
      <c r="AI96" s="482" t="e">
        <f>INDEX(Reference!$T$7:$AB$17,AC96,AE96)</f>
        <v>#VALUE!</v>
      </c>
      <c r="AJ96" s="482" t="e">
        <f>INDEX(Reference!$T$23:$AB$33,AB96,AD96)</f>
        <v>#VALUE!</v>
      </c>
      <c r="AK96" s="482" t="e">
        <f>INDEX(Reference!$T$23:$AB$33,AB96,AE96)</f>
        <v>#VALUE!</v>
      </c>
      <c r="AL96" s="482" t="e">
        <f>INDEX(Reference!$T$23:$AB$33,AC96,AD96)</f>
        <v>#VALUE!</v>
      </c>
      <c r="AM96" s="482" t="e">
        <f>INDEX(Reference!$T$23:$AB$33,AC96,AE96)</f>
        <v>#VALUE!</v>
      </c>
      <c r="AN96" s="483" t="e">
        <f>INDEX(Reference!$S$7:$S$17,AB96,1)</f>
        <v>#VALUE!</v>
      </c>
      <c r="AO96" s="483" t="e">
        <f>INDEX(Reference!$S$7:$S$17,AC96,1)</f>
        <v>#VALUE!</v>
      </c>
      <c r="AP96" s="484" t="e">
        <f>INDEX(Reference!$T$6:$AB$6,1,AD96)</f>
        <v>#VALUE!</v>
      </c>
      <c r="AQ96" s="484" t="e">
        <f>INDEX(Reference!$T$6:$AB$6,1,AE96)</f>
        <v>#VALUE!</v>
      </c>
      <c r="AR96" s="629" t="e">
        <f t="shared" si="30"/>
        <v>#VALUE!</v>
      </c>
      <c r="AS96" s="629" t="e">
        <f t="shared" si="31"/>
        <v>#VALUE!</v>
      </c>
      <c r="AT96" s="629" t="e">
        <f t="shared" si="32"/>
        <v>#VALUE!</v>
      </c>
      <c r="AU96" s="629" t="e">
        <f t="shared" si="33"/>
        <v>#VALUE!</v>
      </c>
      <c r="AV96" s="629" t="e">
        <f t="shared" si="34"/>
        <v>#VALUE!</v>
      </c>
      <c r="AW96" s="630" t="e">
        <f t="shared" si="35"/>
        <v>#VALUE!</v>
      </c>
      <c r="AZ96" s="489" t="str">
        <f t="shared" si="36"/>
        <v/>
      </c>
      <c r="BA96" s="631" t="e">
        <f t="shared" si="42"/>
        <v>#VALUE!</v>
      </c>
      <c r="BB96" s="491" t="e">
        <f t="shared" si="42"/>
        <v>#VALUE!</v>
      </c>
      <c r="BC96" s="491" t="e">
        <f t="shared" si="42"/>
        <v>#VALUE!</v>
      </c>
      <c r="BD96" s="491" t="e">
        <f t="shared" si="42"/>
        <v>#VALUE!</v>
      </c>
      <c r="BE96" s="491" t="e">
        <f t="shared" si="42"/>
        <v>#VALUE!</v>
      </c>
      <c r="BF96" s="491" t="e">
        <f t="shared" si="42"/>
        <v>#VALUE!</v>
      </c>
      <c r="BG96" s="491" t="e">
        <f t="shared" si="42"/>
        <v>#VALUE!</v>
      </c>
      <c r="BH96" s="491" t="e">
        <f t="shared" si="42"/>
        <v>#VALUE!</v>
      </c>
      <c r="BI96" s="491" t="e">
        <f t="shared" si="42"/>
        <v>#VALUE!</v>
      </c>
      <c r="BJ96" s="491" t="e">
        <f t="shared" si="42"/>
        <v>#VALUE!</v>
      </c>
      <c r="BK96" s="400">
        <f t="shared" si="37"/>
        <v>46</v>
      </c>
      <c r="BL96" s="491" t="e">
        <f t="shared" si="41"/>
        <v>#VALUE!</v>
      </c>
      <c r="BM96" s="491" t="e">
        <f t="shared" si="41"/>
        <v>#VALUE!</v>
      </c>
      <c r="BN96" s="491" t="e">
        <f t="shared" si="41"/>
        <v>#VALUE!</v>
      </c>
      <c r="BO96" s="491" t="e">
        <f t="shared" si="41"/>
        <v>#VALUE!</v>
      </c>
      <c r="BP96" s="622" t="e">
        <f t="shared" si="39"/>
        <v>#VALUE!</v>
      </c>
      <c r="BQ96" s="274" t="e">
        <f>IF(L96="","Column",IF(OR(C96&lt;MAX(ColSpa1,Geometry!$J$107),C96&gt;MAX(MAX(Geometry!$I$107:$I$116),MAX(Geometry!$J$107:$J$116))),MIN(6,INDEX($O$45:$O$48,MATCH(L96,$O$45:$O$48,1),1)),INDEX($O$45:$O$48,MATCH(L96,$O$45:$O$48,1),1)))</f>
        <v>#VALUE!</v>
      </c>
    </row>
    <row r="97" spans="1:69">
      <c r="A97" s="339"/>
      <c r="B97" s="96" t="e">
        <f>IF(MIN(ABS(C97-INDEX(Geometry!$Q$104:$Q$113,IF(ISERROR(MATCH(C97,Geometry!$Q$104:$Q$113,1)),1,MATCH(C97,Geometry!$Q$104:$Q$113,1)),1)),ABS(C97-INDEX(Geometry!$Q$104:$Q$113,IF(ISERROR(MAX(11-MATCH(C97,Geometry!$R$104:$R$113,-1),1)),1,MAX(11-MATCH(C97,Geometry!$R$104:$R$113,-1),1)),1)))&lt;(halfeffectiveface/12),"#","")</f>
        <v>#VALUE!</v>
      </c>
      <c r="C97" s="96" t="str">
        <f>'CAP18 Out(1)'!D55</f>
        <v/>
      </c>
      <c r="D97" s="184" t="str">
        <f>'CAP18 Out(1)'!M55</f>
        <v/>
      </c>
      <c r="E97" s="179" t="e">
        <f t="shared" si="13"/>
        <v>#VALUE!</v>
      </c>
      <c r="F97" s="87" t="e">
        <f t="shared" si="14"/>
        <v>#VALUE!</v>
      </c>
      <c r="G97" s="87" t="e">
        <f t="shared" si="15"/>
        <v>#VALUE!</v>
      </c>
      <c r="H97" s="185" t="e">
        <f t="shared" si="16"/>
        <v>#VALUE!</v>
      </c>
      <c r="I97" s="184" t="e">
        <f t="shared" si="17"/>
        <v>#VALUE!</v>
      </c>
      <c r="J97" s="184">
        <f t="shared" si="18"/>
        <v>0</v>
      </c>
      <c r="K97" s="184">
        <f t="shared" si="19"/>
        <v>0</v>
      </c>
      <c r="L97" s="296" t="e">
        <f t="shared" si="20"/>
        <v>#VALUE!</v>
      </c>
      <c r="M97" s="294" t="e">
        <f>IF(L97="Column","",IF(OR(C97&lt;MAX(ColSpa1,Geometry!$J$107),C97&gt;MAX(MAX(Geometry!$I$107:$I$116),MAX(Geometry!$J$107:$J$116))),"OH - 6''",""))</f>
        <v>#VALUE!</v>
      </c>
      <c r="N97" s="1053">
        <v>35.776230569321505</v>
      </c>
      <c r="O97" s="489">
        <f t="shared" si="21"/>
        <v>0</v>
      </c>
      <c r="P97" s="489">
        <f t="shared" si="22"/>
        <v>0</v>
      </c>
      <c r="Q97" s="400" t="e">
        <f>'CAP18 Out(1)'!I55</f>
        <v>#VALUE!</v>
      </c>
      <c r="R97" s="400" t="e">
        <f>'CAP18 Out(1)'!J55</f>
        <v>#VALUE!</v>
      </c>
      <c r="S97" s="400" t="e">
        <f>IF(E97=ABS(Q97),VLOOKUP('Bars B'!$F$10,BarTable,4,FALSE)/12,1.3*VLOOKUP('Bars A'!$F$10,BarTable,4,FALSE)/12)</f>
        <v>#VALUE!</v>
      </c>
      <c r="T97" s="626" t="e">
        <f t="shared" si="23"/>
        <v>#VALUE!</v>
      </c>
      <c r="U97" s="489" t="e">
        <f>IF(T97&gt;S97,IF(E97=ABS(R97),'Bars A'!$I$13,'Bars B'!$I$13),0.0000000001)</f>
        <v>#VALUE!</v>
      </c>
      <c r="V97" s="483" t="e">
        <f t="shared" si="24"/>
        <v>#VALUE!</v>
      </c>
      <c r="W97" s="627" t="e">
        <f t="shared" si="25"/>
        <v>#VALUE!</v>
      </c>
      <c r="X97" s="628" t="e">
        <f t="shared" si="26"/>
        <v>#VALUE!</v>
      </c>
      <c r="Y97" s="489" t="e">
        <f t="shared" si="27"/>
        <v>#VALUE!</v>
      </c>
      <c r="Z97" s="629" t="e">
        <f t="shared" si="28"/>
        <v>#VALUE!</v>
      </c>
      <c r="AA97" s="626" t="e">
        <f t="shared" si="29"/>
        <v>#VALUE!</v>
      </c>
      <c r="AB97" s="481" t="e">
        <f>MATCH(V97,Reference!$S$7:$S$17,1)</f>
        <v>#VALUE!</v>
      </c>
      <c r="AC97" s="1388" t="e">
        <f>12-MATCH(V97,Reference!$AD$6:$AD$16,-1)</f>
        <v>#VALUE!</v>
      </c>
      <c r="AD97" s="482" t="e">
        <f>MATCH(X97,Reference!$T$6:$AB$6,1)</f>
        <v>#VALUE!</v>
      </c>
      <c r="AE97" s="482" t="e">
        <f>10-MATCH(X97,Reference!$AD$18:$AL$18,-1)</f>
        <v>#VALUE!</v>
      </c>
      <c r="AF97" s="482" t="e">
        <f>INDEX(Reference!$T$7:$AB$17,AB97,AD97)</f>
        <v>#VALUE!</v>
      </c>
      <c r="AG97" s="482" t="e">
        <f>INDEX(Reference!$T$7:$AB$17,AB97,AE97)</f>
        <v>#VALUE!</v>
      </c>
      <c r="AH97" s="482" t="e">
        <f>INDEX(Reference!$T$7:$AB$17,AC97,AD97)</f>
        <v>#VALUE!</v>
      </c>
      <c r="AI97" s="482" t="e">
        <f>INDEX(Reference!$T$7:$AB$17,AC97,AE97)</f>
        <v>#VALUE!</v>
      </c>
      <c r="AJ97" s="482" t="e">
        <f>INDEX(Reference!$T$23:$AB$33,AB97,AD97)</f>
        <v>#VALUE!</v>
      </c>
      <c r="AK97" s="482" t="e">
        <f>INDEX(Reference!$T$23:$AB$33,AB97,AE97)</f>
        <v>#VALUE!</v>
      </c>
      <c r="AL97" s="482" t="e">
        <f>INDEX(Reference!$T$23:$AB$33,AC97,AD97)</f>
        <v>#VALUE!</v>
      </c>
      <c r="AM97" s="482" t="e">
        <f>INDEX(Reference!$T$23:$AB$33,AC97,AE97)</f>
        <v>#VALUE!</v>
      </c>
      <c r="AN97" s="483" t="e">
        <f>INDEX(Reference!$S$7:$S$17,AB97,1)</f>
        <v>#VALUE!</v>
      </c>
      <c r="AO97" s="483" t="e">
        <f>INDEX(Reference!$S$7:$S$17,AC97,1)</f>
        <v>#VALUE!</v>
      </c>
      <c r="AP97" s="484" t="e">
        <f>INDEX(Reference!$T$6:$AB$6,1,AD97)</f>
        <v>#VALUE!</v>
      </c>
      <c r="AQ97" s="484" t="e">
        <f>INDEX(Reference!$T$6:$AB$6,1,AE97)</f>
        <v>#VALUE!</v>
      </c>
      <c r="AR97" s="629" t="e">
        <f t="shared" si="30"/>
        <v>#VALUE!</v>
      </c>
      <c r="AS97" s="629" t="e">
        <f t="shared" si="31"/>
        <v>#VALUE!</v>
      </c>
      <c r="AT97" s="629" t="e">
        <f t="shared" si="32"/>
        <v>#VALUE!</v>
      </c>
      <c r="AU97" s="629" t="e">
        <f t="shared" si="33"/>
        <v>#VALUE!</v>
      </c>
      <c r="AV97" s="629" t="e">
        <f t="shared" si="34"/>
        <v>#VALUE!</v>
      </c>
      <c r="AW97" s="630" t="e">
        <f t="shared" si="35"/>
        <v>#VALUE!</v>
      </c>
      <c r="AZ97" s="489" t="str">
        <f t="shared" si="36"/>
        <v/>
      </c>
      <c r="BA97" s="631" t="e">
        <f t="shared" si="42"/>
        <v>#VALUE!</v>
      </c>
      <c r="BB97" s="491" t="e">
        <f t="shared" si="42"/>
        <v>#VALUE!</v>
      </c>
      <c r="BC97" s="491" t="e">
        <f t="shared" si="42"/>
        <v>#VALUE!</v>
      </c>
      <c r="BD97" s="491" t="e">
        <f t="shared" si="42"/>
        <v>#VALUE!</v>
      </c>
      <c r="BE97" s="491" t="e">
        <f t="shared" si="42"/>
        <v>#VALUE!</v>
      </c>
      <c r="BF97" s="491" t="e">
        <f t="shared" si="42"/>
        <v>#VALUE!</v>
      </c>
      <c r="BG97" s="491" t="e">
        <f t="shared" si="42"/>
        <v>#VALUE!</v>
      </c>
      <c r="BH97" s="491" t="e">
        <f t="shared" si="42"/>
        <v>#VALUE!</v>
      </c>
      <c r="BI97" s="491" t="e">
        <f t="shared" si="42"/>
        <v>#VALUE!</v>
      </c>
      <c r="BJ97" s="491" t="e">
        <f t="shared" si="42"/>
        <v>#VALUE!</v>
      </c>
      <c r="BK97" s="400">
        <f t="shared" si="37"/>
        <v>47</v>
      </c>
      <c r="BL97" s="491" t="e">
        <f t="shared" si="41"/>
        <v>#VALUE!</v>
      </c>
      <c r="BM97" s="491" t="e">
        <f t="shared" si="41"/>
        <v>#VALUE!</v>
      </c>
      <c r="BN97" s="491" t="e">
        <f t="shared" si="41"/>
        <v>#VALUE!</v>
      </c>
      <c r="BO97" s="491" t="e">
        <f t="shared" si="41"/>
        <v>#VALUE!</v>
      </c>
      <c r="BP97" s="622" t="e">
        <f t="shared" si="39"/>
        <v>#VALUE!</v>
      </c>
      <c r="BQ97" s="274" t="e">
        <f>IF(L97="","Column",IF(OR(C97&lt;MAX(ColSpa1,Geometry!$J$107),C97&gt;MAX(MAX(Geometry!$I$107:$I$116),MAX(Geometry!$J$107:$J$116))),MIN(6,INDEX($O$45:$O$48,MATCH(L97,$O$45:$O$48,1),1)),INDEX($O$45:$O$48,MATCH(L97,$O$45:$O$48,1),1)))</f>
        <v>#VALUE!</v>
      </c>
    </row>
    <row r="98" spans="1:69">
      <c r="A98" s="339"/>
      <c r="B98" s="96" t="e">
        <f>IF(MIN(ABS(C98-INDEX(Geometry!$Q$104:$Q$113,IF(ISERROR(MATCH(C98,Geometry!$Q$104:$Q$113,1)),1,MATCH(C98,Geometry!$Q$104:$Q$113,1)),1)),ABS(C98-INDEX(Geometry!$Q$104:$Q$113,IF(ISERROR(MAX(11-MATCH(C98,Geometry!$R$104:$R$113,-1),1)),1,MAX(11-MATCH(C98,Geometry!$R$104:$R$113,-1),1)),1)))&lt;(halfeffectiveface/12),"#","")</f>
        <v>#VALUE!</v>
      </c>
      <c r="C98" s="96" t="str">
        <f>'CAP18 Out(1)'!D56</f>
        <v/>
      </c>
      <c r="D98" s="184" t="str">
        <f>'CAP18 Out(1)'!M56</f>
        <v/>
      </c>
      <c r="E98" s="179" t="e">
        <f t="shared" si="13"/>
        <v>#VALUE!</v>
      </c>
      <c r="F98" s="87" t="e">
        <f t="shared" si="14"/>
        <v>#VALUE!</v>
      </c>
      <c r="G98" s="87" t="e">
        <f t="shared" si="15"/>
        <v>#VALUE!</v>
      </c>
      <c r="H98" s="185" t="e">
        <f t="shared" si="16"/>
        <v>#VALUE!</v>
      </c>
      <c r="I98" s="184" t="e">
        <f t="shared" si="17"/>
        <v>#VALUE!</v>
      </c>
      <c r="J98" s="184">
        <f t="shared" si="18"/>
        <v>0</v>
      </c>
      <c r="K98" s="184">
        <f t="shared" si="19"/>
        <v>0</v>
      </c>
      <c r="L98" s="296" t="e">
        <f t="shared" si="20"/>
        <v>#VALUE!</v>
      </c>
      <c r="M98" s="294" t="e">
        <f>IF(L98="Column","",IF(OR(C98&lt;MAX(ColSpa1,Geometry!$J$107),C98&gt;MAX(MAX(Geometry!$I$107:$I$116),MAX(Geometry!$J$107:$J$116))),"OH - 6''",""))</f>
        <v>#VALUE!</v>
      </c>
      <c r="N98" s="1053">
        <v>35.778690608286411</v>
      </c>
      <c r="O98" s="489">
        <f t="shared" si="21"/>
        <v>0</v>
      </c>
      <c r="P98" s="489">
        <f t="shared" si="22"/>
        <v>0</v>
      </c>
      <c r="Q98" s="400" t="e">
        <f>'CAP18 Out(1)'!I56</f>
        <v>#VALUE!</v>
      </c>
      <c r="R98" s="400" t="e">
        <f>'CAP18 Out(1)'!J56</f>
        <v>#VALUE!</v>
      </c>
      <c r="S98" s="400" t="e">
        <f>IF(E98=ABS(Q98),VLOOKUP('Bars B'!$F$10,BarTable,4,FALSE)/12,1.3*VLOOKUP('Bars A'!$F$10,BarTable,4,FALSE)/12)</f>
        <v>#VALUE!</v>
      </c>
      <c r="T98" s="626" t="e">
        <f t="shared" si="23"/>
        <v>#VALUE!</v>
      </c>
      <c r="U98" s="489" t="e">
        <f>IF(T98&gt;S98,IF(E98=ABS(R98),'Bars A'!$I$13,'Bars B'!$I$13),0.0000000001)</f>
        <v>#VALUE!</v>
      </c>
      <c r="V98" s="483" t="e">
        <f t="shared" si="24"/>
        <v>#VALUE!</v>
      </c>
      <c r="W98" s="627" t="e">
        <f t="shared" si="25"/>
        <v>#VALUE!</v>
      </c>
      <c r="X98" s="628" t="e">
        <f t="shared" si="26"/>
        <v>#VALUE!</v>
      </c>
      <c r="Y98" s="489" t="e">
        <f t="shared" si="27"/>
        <v>#VALUE!</v>
      </c>
      <c r="Z98" s="629" t="e">
        <f t="shared" si="28"/>
        <v>#VALUE!</v>
      </c>
      <c r="AA98" s="626" t="e">
        <f t="shared" si="29"/>
        <v>#VALUE!</v>
      </c>
      <c r="AB98" s="481" t="e">
        <f>MATCH(V98,Reference!$S$7:$S$17,1)</f>
        <v>#VALUE!</v>
      </c>
      <c r="AC98" s="1388" t="e">
        <f>12-MATCH(V98,Reference!$AD$6:$AD$16,-1)</f>
        <v>#VALUE!</v>
      </c>
      <c r="AD98" s="482" t="e">
        <f>MATCH(X98,Reference!$T$6:$AB$6,1)</f>
        <v>#VALUE!</v>
      </c>
      <c r="AE98" s="482" t="e">
        <f>10-MATCH(X98,Reference!$AD$18:$AL$18,-1)</f>
        <v>#VALUE!</v>
      </c>
      <c r="AF98" s="482" t="e">
        <f>INDEX(Reference!$T$7:$AB$17,AB98,AD98)</f>
        <v>#VALUE!</v>
      </c>
      <c r="AG98" s="482" t="e">
        <f>INDEX(Reference!$T$7:$AB$17,AB98,AE98)</f>
        <v>#VALUE!</v>
      </c>
      <c r="AH98" s="482" t="e">
        <f>INDEX(Reference!$T$7:$AB$17,AC98,AD98)</f>
        <v>#VALUE!</v>
      </c>
      <c r="AI98" s="482" t="e">
        <f>INDEX(Reference!$T$7:$AB$17,AC98,AE98)</f>
        <v>#VALUE!</v>
      </c>
      <c r="AJ98" s="482" t="e">
        <f>INDEX(Reference!$T$23:$AB$33,AB98,AD98)</f>
        <v>#VALUE!</v>
      </c>
      <c r="AK98" s="482" t="e">
        <f>INDEX(Reference!$T$23:$AB$33,AB98,AE98)</f>
        <v>#VALUE!</v>
      </c>
      <c r="AL98" s="482" t="e">
        <f>INDEX(Reference!$T$23:$AB$33,AC98,AD98)</f>
        <v>#VALUE!</v>
      </c>
      <c r="AM98" s="482" t="e">
        <f>INDEX(Reference!$T$23:$AB$33,AC98,AE98)</f>
        <v>#VALUE!</v>
      </c>
      <c r="AN98" s="483" t="e">
        <f>INDEX(Reference!$S$7:$S$17,AB98,1)</f>
        <v>#VALUE!</v>
      </c>
      <c r="AO98" s="483" t="e">
        <f>INDEX(Reference!$S$7:$S$17,AC98,1)</f>
        <v>#VALUE!</v>
      </c>
      <c r="AP98" s="484" t="e">
        <f>INDEX(Reference!$T$6:$AB$6,1,AD98)</f>
        <v>#VALUE!</v>
      </c>
      <c r="AQ98" s="484" t="e">
        <f>INDEX(Reference!$T$6:$AB$6,1,AE98)</f>
        <v>#VALUE!</v>
      </c>
      <c r="AR98" s="629" t="e">
        <f t="shared" si="30"/>
        <v>#VALUE!</v>
      </c>
      <c r="AS98" s="629" t="e">
        <f t="shared" si="31"/>
        <v>#VALUE!</v>
      </c>
      <c r="AT98" s="629" t="e">
        <f t="shared" si="32"/>
        <v>#VALUE!</v>
      </c>
      <c r="AU98" s="629" t="e">
        <f t="shared" si="33"/>
        <v>#VALUE!</v>
      </c>
      <c r="AV98" s="629" t="e">
        <f t="shared" si="34"/>
        <v>#VALUE!</v>
      </c>
      <c r="AW98" s="630" t="e">
        <f t="shared" si="35"/>
        <v>#VALUE!</v>
      </c>
      <c r="AZ98" s="489" t="str">
        <f t="shared" si="36"/>
        <v/>
      </c>
      <c r="BA98" s="631" t="e">
        <f t="shared" si="42"/>
        <v>#VALUE!</v>
      </c>
      <c r="BB98" s="491" t="e">
        <f t="shared" si="42"/>
        <v>#VALUE!</v>
      </c>
      <c r="BC98" s="491" t="e">
        <f t="shared" si="42"/>
        <v>#VALUE!</v>
      </c>
      <c r="BD98" s="491" t="e">
        <f t="shared" si="42"/>
        <v>#VALUE!</v>
      </c>
      <c r="BE98" s="491" t="e">
        <f t="shared" si="42"/>
        <v>#VALUE!</v>
      </c>
      <c r="BF98" s="491" t="e">
        <f t="shared" si="42"/>
        <v>#VALUE!</v>
      </c>
      <c r="BG98" s="491" t="e">
        <f t="shared" si="42"/>
        <v>#VALUE!</v>
      </c>
      <c r="BH98" s="491" t="e">
        <f t="shared" si="42"/>
        <v>#VALUE!</v>
      </c>
      <c r="BI98" s="491" t="e">
        <f t="shared" si="42"/>
        <v>#VALUE!</v>
      </c>
      <c r="BJ98" s="491" t="e">
        <f t="shared" si="42"/>
        <v>#VALUE!</v>
      </c>
      <c r="BK98" s="400">
        <f t="shared" si="37"/>
        <v>48</v>
      </c>
      <c r="BL98" s="491" t="e">
        <f t="shared" si="41"/>
        <v>#VALUE!</v>
      </c>
      <c r="BM98" s="491" t="e">
        <f t="shared" si="41"/>
        <v>#VALUE!</v>
      </c>
      <c r="BN98" s="491" t="e">
        <f t="shared" si="41"/>
        <v>#VALUE!</v>
      </c>
      <c r="BO98" s="491" t="e">
        <f t="shared" si="41"/>
        <v>#VALUE!</v>
      </c>
      <c r="BP98" s="622" t="e">
        <f t="shared" si="39"/>
        <v>#VALUE!</v>
      </c>
      <c r="BQ98" s="274" t="e">
        <f>IF(L98="","Column",IF(OR(C98&lt;MAX(ColSpa1,Geometry!$J$107),C98&gt;MAX(MAX(Geometry!$I$107:$I$116),MAX(Geometry!$J$107:$J$116))),MIN(6,INDEX($O$45:$O$48,MATCH(L98,$O$45:$O$48,1),1)),INDEX($O$45:$O$48,MATCH(L98,$O$45:$O$48,1),1)))</f>
        <v>#VALUE!</v>
      </c>
    </row>
    <row r="99" spans="1:69">
      <c r="A99" s="339"/>
      <c r="B99" s="96" t="e">
        <f>IF(MIN(ABS(C99-INDEX(Geometry!$Q$104:$Q$113,IF(ISERROR(MATCH(C99,Geometry!$Q$104:$Q$113,1)),1,MATCH(C99,Geometry!$Q$104:$Q$113,1)),1)),ABS(C99-INDEX(Geometry!$Q$104:$Q$113,IF(ISERROR(MAX(11-MATCH(C99,Geometry!$R$104:$R$113,-1),1)),1,MAX(11-MATCH(C99,Geometry!$R$104:$R$113,-1),1)),1)))&lt;(halfeffectiveface/12),"#","")</f>
        <v>#VALUE!</v>
      </c>
      <c r="C99" s="96" t="str">
        <f>'CAP18 Out(1)'!D57</f>
        <v/>
      </c>
      <c r="D99" s="184" t="str">
        <f>'CAP18 Out(1)'!M57</f>
        <v/>
      </c>
      <c r="E99" s="179" t="e">
        <f t="shared" si="13"/>
        <v>#VALUE!</v>
      </c>
      <c r="F99" s="87" t="e">
        <f t="shared" si="14"/>
        <v>#VALUE!</v>
      </c>
      <c r="G99" s="87" t="e">
        <f t="shared" si="15"/>
        <v>#VALUE!</v>
      </c>
      <c r="H99" s="185" t="e">
        <f t="shared" si="16"/>
        <v>#VALUE!</v>
      </c>
      <c r="I99" s="184" t="e">
        <f t="shared" si="17"/>
        <v>#VALUE!</v>
      </c>
      <c r="J99" s="184">
        <f t="shared" si="18"/>
        <v>0</v>
      </c>
      <c r="K99" s="184">
        <f t="shared" si="19"/>
        <v>0</v>
      </c>
      <c r="L99" s="296" t="e">
        <f t="shared" si="20"/>
        <v>#VALUE!</v>
      </c>
      <c r="M99" s="294" t="e">
        <f>IF(L99="Column","",IF(OR(C99&lt;MAX(ColSpa1,Geometry!$J$107),C99&gt;MAX(MAX(Geometry!$I$107:$I$116),MAX(Geometry!$J$107:$J$116))),"OH - 6''",""))</f>
        <v>#VALUE!</v>
      </c>
      <c r="N99" s="1053">
        <v>35.779111687972936</v>
      </c>
      <c r="O99" s="489">
        <f t="shared" si="21"/>
        <v>0</v>
      </c>
      <c r="P99" s="489">
        <f t="shared" si="22"/>
        <v>0</v>
      </c>
      <c r="Q99" s="400" t="e">
        <f>'CAP18 Out(1)'!I57</f>
        <v>#VALUE!</v>
      </c>
      <c r="R99" s="400" t="e">
        <f>'CAP18 Out(1)'!J57</f>
        <v>#VALUE!</v>
      </c>
      <c r="S99" s="400" t="e">
        <f>IF(E99=ABS(Q99),VLOOKUP('Bars B'!$F$10,BarTable,4,FALSE)/12,1.3*VLOOKUP('Bars A'!$F$10,BarTable,4,FALSE)/12)</f>
        <v>#VALUE!</v>
      </c>
      <c r="T99" s="626" t="e">
        <f t="shared" si="23"/>
        <v>#VALUE!</v>
      </c>
      <c r="U99" s="489" t="e">
        <f>IF(T99&gt;S99,IF(E99=ABS(R99),'Bars A'!$I$13,'Bars B'!$I$13),0.0000000001)</f>
        <v>#VALUE!</v>
      </c>
      <c r="V99" s="483" t="e">
        <f t="shared" si="24"/>
        <v>#VALUE!</v>
      </c>
      <c r="W99" s="627" t="e">
        <f t="shared" si="25"/>
        <v>#VALUE!</v>
      </c>
      <c r="X99" s="628" t="e">
        <f t="shared" si="26"/>
        <v>#VALUE!</v>
      </c>
      <c r="Y99" s="489" t="e">
        <f t="shared" si="27"/>
        <v>#VALUE!</v>
      </c>
      <c r="Z99" s="629" t="e">
        <f t="shared" si="28"/>
        <v>#VALUE!</v>
      </c>
      <c r="AA99" s="626" t="e">
        <f t="shared" si="29"/>
        <v>#VALUE!</v>
      </c>
      <c r="AB99" s="481" t="e">
        <f>MATCH(V99,Reference!$S$7:$S$17,1)</f>
        <v>#VALUE!</v>
      </c>
      <c r="AC99" s="1388" t="e">
        <f>12-MATCH(V99,Reference!$AD$6:$AD$16,-1)</f>
        <v>#VALUE!</v>
      </c>
      <c r="AD99" s="482" t="e">
        <f>MATCH(X99,Reference!$T$6:$AB$6,1)</f>
        <v>#VALUE!</v>
      </c>
      <c r="AE99" s="482" t="e">
        <f>10-MATCH(X99,Reference!$AD$18:$AL$18,-1)</f>
        <v>#VALUE!</v>
      </c>
      <c r="AF99" s="482" t="e">
        <f>INDEX(Reference!$T$7:$AB$17,AB99,AD99)</f>
        <v>#VALUE!</v>
      </c>
      <c r="AG99" s="482" t="e">
        <f>INDEX(Reference!$T$7:$AB$17,AB99,AE99)</f>
        <v>#VALUE!</v>
      </c>
      <c r="AH99" s="482" t="e">
        <f>INDEX(Reference!$T$7:$AB$17,AC99,AD99)</f>
        <v>#VALUE!</v>
      </c>
      <c r="AI99" s="482" t="e">
        <f>INDEX(Reference!$T$7:$AB$17,AC99,AE99)</f>
        <v>#VALUE!</v>
      </c>
      <c r="AJ99" s="482" t="e">
        <f>INDEX(Reference!$T$23:$AB$33,AB99,AD99)</f>
        <v>#VALUE!</v>
      </c>
      <c r="AK99" s="482" t="e">
        <f>INDEX(Reference!$T$23:$AB$33,AB99,AE99)</f>
        <v>#VALUE!</v>
      </c>
      <c r="AL99" s="482" t="e">
        <f>INDEX(Reference!$T$23:$AB$33,AC99,AD99)</f>
        <v>#VALUE!</v>
      </c>
      <c r="AM99" s="482" t="e">
        <f>INDEX(Reference!$T$23:$AB$33,AC99,AE99)</f>
        <v>#VALUE!</v>
      </c>
      <c r="AN99" s="483" t="e">
        <f>INDEX(Reference!$S$7:$S$17,AB99,1)</f>
        <v>#VALUE!</v>
      </c>
      <c r="AO99" s="483" t="e">
        <f>INDEX(Reference!$S$7:$S$17,AC99,1)</f>
        <v>#VALUE!</v>
      </c>
      <c r="AP99" s="484" t="e">
        <f>INDEX(Reference!$T$6:$AB$6,1,AD99)</f>
        <v>#VALUE!</v>
      </c>
      <c r="AQ99" s="484" t="e">
        <f>INDEX(Reference!$T$6:$AB$6,1,AE99)</f>
        <v>#VALUE!</v>
      </c>
      <c r="AR99" s="629" t="e">
        <f t="shared" si="30"/>
        <v>#VALUE!</v>
      </c>
      <c r="AS99" s="629" t="e">
        <f t="shared" si="31"/>
        <v>#VALUE!</v>
      </c>
      <c r="AT99" s="629" t="e">
        <f t="shared" si="32"/>
        <v>#VALUE!</v>
      </c>
      <c r="AU99" s="629" t="e">
        <f t="shared" si="33"/>
        <v>#VALUE!</v>
      </c>
      <c r="AV99" s="629" t="e">
        <f t="shared" si="34"/>
        <v>#VALUE!</v>
      </c>
      <c r="AW99" s="630" t="e">
        <f t="shared" si="35"/>
        <v>#VALUE!</v>
      </c>
      <c r="AZ99" s="489" t="str">
        <f t="shared" si="36"/>
        <v/>
      </c>
      <c r="BA99" s="631" t="e">
        <f t="shared" si="42"/>
        <v>#VALUE!</v>
      </c>
      <c r="BB99" s="491" t="e">
        <f t="shared" si="42"/>
        <v>#VALUE!</v>
      </c>
      <c r="BC99" s="491" t="e">
        <f t="shared" si="42"/>
        <v>#VALUE!</v>
      </c>
      <c r="BD99" s="491" t="e">
        <f t="shared" si="42"/>
        <v>#VALUE!</v>
      </c>
      <c r="BE99" s="491" t="e">
        <f t="shared" si="42"/>
        <v>#VALUE!</v>
      </c>
      <c r="BF99" s="491" t="e">
        <f t="shared" si="42"/>
        <v>#VALUE!</v>
      </c>
      <c r="BG99" s="491" t="e">
        <f t="shared" si="42"/>
        <v>#VALUE!</v>
      </c>
      <c r="BH99" s="491" t="e">
        <f t="shared" si="42"/>
        <v>#VALUE!</v>
      </c>
      <c r="BI99" s="491" t="e">
        <f t="shared" si="42"/>
        <v>#VALUE!</v>
      </c>
      <c r="BJ99" s="491" t="e">
        <f t="shared" si="42"/>
        <v>#VALUE!</v>
      </c>
      <c r="BK99" s="400">
        <f t="shared" si="37"/>
        <v>49</v>
      </c>
      <c r="BL99" s="491" t="e">
        <f t="shared" si="41"/>
        <v>#VALUE!</v>
      </c>
      <c r="BM99" s="491" t="e">
        <f t="shared" si="41"/>
        <v>#VALUE!</v>
      </c>
      <c r="BN99" s="491" t="e">
        <f t="shared" si="41"/>
        <v>#VALUE!</v>
      </c>
      <c r="BO99" s="491" t="e">
        <f t="shared" si="41"/>
        <v>#VALUE!</v>
      </c>
      <c r="BP99" s="622" t="e">
        <f t="shared" si="39"/>
        <v>#VALUE!</v>
      </c>
      <c r="BQ99" s="274" t="e">
        <f>IF(L99="","Column",IF(OR(C99&lt;MAX(ColSpa1,Geometry!$J$107),C99&gt;MAX(MAX(Geometry!$I$107:$I$116),MAX(Geometry!$J$107:$J$116))),MIN(6,INDEX($O$45:$O$48,MATCH(L99,$O$45:$O$48,1),1)),INDEX($O$45:$O$48,MATCH(L99,$O$45:$O$48,1),1)))</f>
        <v>#VALUE!</v>
      </c>
    </row>
    <row r="100" spans="1:69">
      <c r="A100" s="339"/>
      <c r="B100" s="96" t="e">
        <f>IF(MIN(ABS(C100-INDEX(Geometry!$Q$104:$Q$113,IF(ISERROR(MATCH(C100,Geometry!$Q$104:$Q$113,1)),1,MATCH(C100,Geometry!$Q$104:$Q$113,1)),1)),ABS(C100-INDEX(Geometry!$Q$104:$Q$113,IF(ISERROR(MAX(11-MATCH(C100,Geometry!$R$104:$R$113,-1),1)),1,MAX(11-MATCH(C100,Geometry!$R$104:$R$113,-1),1)),1)))&lt;(halfeffectiveface/12),"#","")</f>
        <v>#VALUE!</v>
      </c>
      <c r="C100" s="96" t="str">
        <f>'CAP18 Out(1)'!D58</f>
        <v/>
      </c>
      <c r="D100" s="184" t="str">
        <f>'CAP18 Out(1)'!M58</f>
        <v/>
      </c>
      <c r="E100" s="179" t="e">
        <f t="shared" si="13"/>
        <v>#VALUE!</v>
      </c>
      <c r="F100" s="87" t="e">
        <f t="shared" si="14"/>
        <v>#VALUE!</v>
      </c>
      <c r="G100" s="87" t="e">
        <f t="shared" si="15"/>
        <v>#VALUE!</v>
      </c>
      <c r="H100" s="185" t="e">
        <f t="shared" si="16"/>
        <v>#VALUE!</v>
      </c>
      <c r="I100" s="184" t="e">
        <f t="shared" si="17"/>
        <v>#VALUE!</v>
      </c>
      <c r="J100" s="184">
        <f t="shared" si="18"/>
        <v>0</v>
      </c>
      <c r="K100" s="184">
        <f t="shared" si="19"/>
        <v>0</v>
      </c>
      <c r="L100" s="296" t="e">
        <f t="shared" si="20"/>
        <v>#VALUE!</v>
      </c>
      <c r="M100" s="294" t="e">
        <f>IF(L100="Column","",IF(OR(C100&lt;MAX(ColSpa1,Geometry!$J$107),C100&gt;MAX(MAX(Geometry!$I$107:$I$116),MAX(Geometry!$J$107:$J$116))),"OH - 6''",""))</f>
        <v>#VALUE!</v>
      </c>
      <c r="N100" s="1053">
        <v>35.776682810571522</v>
      </c>
      <c r="O100" s="489">
        <f t="shared" si="21"/>
        <v>0</v>
      </c>
      <c r="P100" s="489">
        <f t="shared" si="22"/>
        <v>0</v>
      </c>
      <c r="Q100" s="400" t="e">
        <f>'CAP18 Out(1)'!I58</f>
        <v>#VALUE!</v>
      </c>
      <c r="R100" s="400" t="e">
        <f>'CAP18 Out(1)'!J58</f>
        <v>#VALUE!</v>
      </c>
      <c r="S100" s="400" t="e">
        <f>IF(E100=ABS(Q100),VLOOKUP('Bars B'!$F$10,BarTable,4,FALSE)/12,1.3*VLOOKUP('Bars A'!$F$10,BarTable,4,FALSE)/12)</f>
        <v>#VALUE!</v>
      </c>
      <c r="T100" s="626" t="e">
        <f t="shared" si="23"/>
        <v>#VALUE!</v>
      </c>
      <c r="U100" s="489" t="e">
        <f>IF(T100&gt;S100,IF(E100=ABS(R100),'Bars A'!$I$13,'Bars B'!$I$13),0.0000000001)</f>
        <v>#VALUE!</v>
      </c>
      <c r="V100" s="483" t="e">
        <f t="shared" si="24"/>
        <v>#VALUE!</v>
      </c>
      <c r="W100" s="627" t="e">
        <f t="shared" si="25"/>
        <v>#VALUE!</v>
      </c>
      <c r="X100" s="628" t="e">
        <f t="shared" si="26"/>
        <v>#VALUE!</v>
      </c>
      <c r="Y100" s="489" t="e">
        <f t="shared" si="27"/>
        <v>#VALUE!</v>
      </c>
      <c r="Z100" s="629" t="e">
        <f t="shared" si="28"/>
        <v>#VALUE!</v>
      </c>
      <c r="AA100" s="626" t="e">
        <f t="shared" si="29"/>
        <v>#VALUE!</v>
      </c>
      <c r="AB100" s="481" t="e">
        <f>MATCH(V100,Reference!$S$7:$S$17,1)</f>
        <v>#VALUE!</v>
      </c>
      <c r="AC100" s="1388" t="e">
        <f>12-MATCH(V100,Reference!$AD$6:$AD$16,-1)</f>
        <v>#VALUE!</v>
      </c>
      <c r="AD100" s="482" t="e">
        <f>MATCH(X100,Reference!$T$6:$AB$6,1)</f>
        <v>#VALUE!</v>
      </c>
      <c r="AE100" s="482" t="e">
        <f>10-MATCH(X100,Reference!$AD$18:$AL$18,-1)</f>
        <v>#VALUE!</v>
      </c>
      <c r="AF100" s="482" t="e">
        <f>INDEX(Reference!$T$7:$AB$17,AB100,AD100)</f>
        <v>#VALUE!</v>
      </c>
      <c r="AG100" s="482" t="e">
        <f>INDEX(Reference!$T$7:$AB$17,AB100,AE100)</f>
        <v>#VALUE!</v>
      </c>
      <c r="AH100" s="482" t="e">
        <f>INDEX(Reference!$T$7:$AB$17,AC100,AD100)</f>
        <v>#VALUE!</v>
      </c>
      <c r="AI100" s="482" t="e">
        <f>INDEX(Reference!$T$7:$AB$17,AC100,AE100)</f>
        <v>#VALUE!</v>
      </c>
      <c r="AJ100" s="482" t="e">
        <f>INDEX(Reference!$T$23:$AB$33,AB100,AD100)</f>
        <v>#VALUE!</v>
      </c>
      <c r="AK100" s="482" t="e">
        <f>INDEX(Reference!$T$23:$AB$33,AB100,AE100)</f>
        <v>#VALUE!</v>
      </c>
      <c r="AL100" s="482" t="e">
        <f>INDEX(Reference!$T$23:$AB$33,AC100,AD100)</f>
        <v>#VALUE!</v>
      </c>
      <c r="AM100" s="482" t="e">
        <f>INDEX(Reference!$T$23:$AB$33,AC100,AE100)</f>
        <v>#VALUE!</v>
      </c>
      <c r="AN100" s="483" t="e">
        <f>INDEX(Reference!$S$7:$S$17,AB100,1)</f>
        <v>#VALUE!</v>
      </c>
      <c r="AO100" s="483" t="e">
        <f>INDEX(Reference!$S$7:$S$17,AC100,1)</f>
        <v>#VALUE!</v>
      </c>
      <c r="AP100" s="484" t="e">
        <f>INDEX(Reference!$T$6:$AB$6,1,AD100)</f>
        <v>#VALUE!</v>
      </c>
      <c r="AQ100" s="484" t="e">
        <f>INDEX(Reference!$T$6:$AB$6,1,AE100)</f>
        <v>#VALUE!</v>
      </c>
      <c r="AR100" s="629" t="e">
        <f t="shared" si="30"/>
        <v>#VALUE!</v>
      </c>
      <c r="AS100" s="629" t="e">
        <f t="shared" si="31"/>
        <v>#VALUE!</v>
      </c>
      <c r="AT100" s="629" t="e">
        <f t="shared" si="32"/>
        <v>#VALUE!</v>
      </c>
      <c r="AU100" s="629" t="e">
        <f t="shared" si="33"/>
        <v>#VALUE!</v>
      </c>
      <c r="AV100" s="629" t="e">
        <f t="shared" si="34"/>
        <v>#VALUE!</v>
      </c>
      <c r="AW100" s="630" t="e">
        <f t="shared" si="35"/>
        <v>#VALUE!</v>
      </c>
      <c r="AZ100" s="489" t="str">
        <f t="shared" si="36"/>
        <v/>
      </c>
      <c r="BA100" s="631" t="e">
        <f t="shared" si="42"/>
        <v>#VALUE!</v>
      </c>
      <c r="BB100" s="491" t="e">
        <f t="shared" si="42"/>
        <v>#VALUE!</v>
      </c>
      <c r="BC100" s="491" t="e">
        <f t="shared" si="42"/>
        <v>#VALUE!</v>
      </c>
      <c r="BD100" s="491" t="e">
        <f t="shared" si="42"/>
        <v>#VALUE!</v>
      </c>
      <c r="BE100" s="491" t="e">
        <f t="shared" si="42"/>
        <v>#VALUE!</v>
      </c>
      <c r="BF100" s="491" t="e">
        <f t="shared" si="42"/>
        <v>#VALUE!</v>
      </c>
      <c r="BG100" s="491" t="e">
        <f t="shared" si="42"/>
        <v>#VALUE!</v>
      </c>
      <c r="BH100" s="491" t="e">
        <f t="shared" si="42"/>
        <v>#VALUE!</v>
      </c>
      <c r="BI100" s="491" t="e">
        <f t="shared" si="42"/>
        <v>#VALUE!</v>
      </c>
      <c r="BJ100" s="491" t="e">
        <f t="shared" si="42"/>
        <v>#VALUE!</v>
      </c>
      <c r="BK100" s="400">
        <f t="shared" si="37"/>
        <v>50</v>
      </c>
      <c r="BL100" s="491" t="e">
        <f t="shared" si="41"/>
        <v>#VALUE!</v>
      </c>
      <c r="BM100" s="491" t="e">
        <f t="shared" si="41"/>
        <v>#VALUE!</v>
      </c>
      <c r="BN100" s="491" t="e">
        <f t="shared" si="41"/>
        <v>#VALUE!</v>
      </c>
      <c r="BO100" s="491" t="e">
        <f t="shared" si="41"/>
        <v>#VALUE!</v>
      </c>
      <c r="BP100" s="622" t="e">
        <f t="shared" si="39"/>
        <v>#VALUE!</v>
      </c>
      <c r="BQ100" s="274" t="e">
        <f>IF(L100="","Column",IF(OR(C100&lt;MAX(ColSpa1,Geometry!$J$107),C100&gt;MAX(MAX(Geometry!$I$107:$I$116),MAX(Geometry!$J$107:$J$116))),MIN(6,INDEX($O$45:$O$48,MATCH(L100,$O$45:$O$48,1),1)),INDEX($O$45:$O$48,MATCH(L100,$O$45:$O$48,1),1)))</f>
        <v>#VALUE!</v>
      </c>
    </row>
    <row r="101" spans="1:69">
      <c r="A101" s="339"/>
      <c r="B101" s="96" t="e">
        <f>IF(MIN(ABS(C101-INDEX(Geometry!$Q$104:$Q$113,IF(ISERROR(MATCH(C101,Geometry!$Q$104:$Q$113,1)),1,MATCH(C101,Geometry!$Q$104:$Q$113,1)),1)),ABS(C101-INDEX(Geometry!$Q$104:$Q$113,IF(ISERROR(MAX(11-MATCH(C101,Geometry!$R$104:$R$113,-1),1)),1,MAX(11-MATCH(C101,Geometry!$R$104:$R$113,-1),1)),1)))&lt;(halfeffectiveface/12),"#","")</f>
        <v>#VALUE!</v>
      </c>
      <c r="C101" s="96" t="str">
        <f>'CAP18 Out(1)'!D59</f>
        <v/>
      </c>
      <c r="D101" s="184" t="str">
        <f>'CAP18 Out(1)'!M59</f>
        <v/>
      </c>
      <c r="E101" s="179" t="e">
        <f t="shared" si="13"/>
        <v>#VALUE!</v>
      </c>
      <c r="F101" s="87" t="e">
        <f t="shared" si="14"/>
        <v>#VALUE!</v>
      </c>
      <c r="G101" s="87" t="e">
        <f t="shared" si="15"/>
        <v>#VALUE!</v>
      </c>
      <c r="H101" s="185" t="e">
        <f t="shared" si="16"/>
        <v>#VALUE!</v>
      </c>
      <c r="I101" s="184" t="e">
        <f t="shared" si="17"/>
        <v>#VALUE!</v>
      </c>
      <c r="J101" s="184">
        <f t="shared" si="18"/>
        <v>0</v>
      </c>
      <c r="K101" s="184">
        <f t="shared" si="19"/>
        <v>0</v>
      </c>
      <c r="L101" s="296" t="e">
        <f t="shared" si="20"/>
        <v>#VALUE!</v>
      </c>
      <c r="M101" s="294" t="e">
        <f>IF(L101="Column","",IF(OR(C101&lt;MAX(ColSpa1,Geometry!$J$107),C101&gt;MAX(MAX(Geometry!$I$107:$I$116),MAX(Geometry!$J$107:$J$116))),"OH - 6''",""))</f>
        <v>#VALUE!</v>
      </c>
      <c r="N101" s="1053">
        <v>35.770590455816048</v>
      </c>
      <c r="O101" s="489">
        <f t="shared" si="21"/>
        <v>0</v>
      </c>
      <c r="P101" s="489">
        <f t="shared" si="22"/>
        <v>0</v>
      </c>
      <c r="Q101" s="400" t="e">
        <f>'CAP18 Out(1)'!I59</f>
        <v>#VALUE!</v>
      </c>
      <c r="R101" s="400" t="e">
        <f>'CAP18 Out(1)'!J59</f>
        <v>#VALUE!</v>
      </c>
      <c r="S101" s="400" t="e">
        <f>IF(E101=ABS(Q101),VLOOKUP('Bars B'!$F$10,BarTable,4,FALSE)/12,1.3*VLOOKUP('Bars A'!$F$10,BarTable,4,FALSE)/12)</f>
        <v>#VALUE!</v>
      </c>
      <c r="T101" s="626" t="e">
        <f t="shared" si="23"/>
        <v>#VALUE!</v>
      </c>
      <c r="U101" s="489" t="e">
        <f>IF(T101&gt;S101,IF(E101=ABS(R101),'Bars A'!$I$13,'Bars B'!$I$13),0.0000000001)</f>
        <v>#VALUE!</v>
      </c>
      <c r="V101" s="483" t="e">
        <f t="shared" si="24"/>
        <v>#VALUE!</v>
      </c>
      <c r="W101" s="627" t="e">
        <f t="shared" si="25"/>
        <v>#VALUE!</v>
      </c>
      <c r="X101" s="628" t="e">
        <f t="shared" si="26"/>
        <v>#VALUE!</v>
      </c>
      <c r="Y101" s="489" t="e">
        <f t="shared" si="27"/>
        <v>#VALUE!</v>
      </c>
      <c r="Z101" s="629" t="e">
        <f t="shared" si="28"/>
        <v>#VALUE!</v>
      </c>
      <c r="AA101" s="626" t="e">
        <f t="shared" si="29"/>
        <v>#VALUE!</v>
      </c>
      <c r="AB101" s="481" t="e">
        <f>MATCH(V101,Reference!$S$7:$S$17,1)</f>
        <v>#VALUE!</v>
      </c>
      <c r="AC101" s="1388" t="e">
        <f>12-MATCH(V101,Reference!$AD$6:$AD$16,-1)</f>
        <v>#VALUE!</v>
      </c>
      <c r="AD101" s="482" t="e">
        <f>MATCH(X101,Reference!$T$6:$AB$6,1)</f>
        <v>#VALUE!</v>
      </c>
      <c r="AE101" s="482" t="e">
        <f>10-MATCH(X101,Reference!$AD$18:$AL$18,-1)</f>
        <v>#VALUE!</v>
      </c>
      <c r="AF101" s="482" t="e">
        <f>INDEX(Reference!$T$7:$AB$17,AB101,AD101)</f>
        <v>#VALUE!</v>
      </c>
      <c r="AG101" s="482" t="e">
        <f>INDEX(Reference!$T$7:$AB$17,AB101,AE101)</f>
        <v>#VALUE!</v>
      </c>
      <c r="AH101" s="482" t="e">
        <f>INDEX(Reference!$T$7:$AB$17,AC101,AD101)</f>
        <v>#VALUE!</v>
      </c>
      <c r="AI101" s="482" t="e">
        <f>INDEX(Reference!$T$7:$AB$17,AC101,AE101)</f>
        <v>#VALUE!</v>
      </c>
      <c r="AJ101" s="482" t="e">
        <f>INDEX(Reference!$T$23:$AB$33,AB101,AD101)</f>
        <v>#VALUE!</v>
      </c>
      <c r="AK101" s="482" t="e">
        <f>INDEX(Reference!$T$23:$AB$33,AB101,AE101)</f>
        <v>#VALUE!</v>
      </c>
      <c r="AL101" s="482" t="e">
        <f>INDEX(Reference!$T$23:$AB$33,AC101,AD101)</f>
        <v>#VALUE!</v>
      </c>
      <c r="AM101" s="482" t="e">
        <f>INDEX(Reference!$T$23:$AB$33,AC101,AE101)</f>
        <v>#VALUE!</v>
      </c>
      <c r="AN101" s="483" t="e">
        <f>INDEX(Reference!$S$7:$S$17,AB101,1)</f>
        <v>#VALUE!</v>
      </c>
      <c r="AO101" s="483" t="e">
        <f>INDEX(Reference!$S$7:$S$17,AC101,1)</f>
        <v>#VALUE!</v>
      </c>
      <c r="AP101" s="484" t="e">
        <f>INDEX(Reference!$T$6:$AB$6,1,AD101)</f>
        <v>#VALUE!</v>
      </c>
      <c r="AQ101" s="484" t="e">
        <f>INDEX(Reference!$T$6:$AB$6,1,AE101)</f>
        <v>#VALUE!</v>
      </c>
      <c r="AR101" s="629" t="e">
        <f t="shared" si="30"/>
        <v>#VALUE!</v>
      </c>
      <c r="AS101" s="629" t="e">
        <f t="shared" si="31"/>
        <v>#VALUE!</v>
      </c>
      <c r="AT101" s="629" t="e">
        <f t="shared" si="32"/>
        <v>#VALUE!</v>
      </c>
      <c r="AU101" s="629" t="e">
        <f t="shared" si="33"/>
        <v>#VALUE!</v>
      </c>
      <c r="AV101" s="629" t="e">
        <f t="shared" si="34"/>
        <v>#VALUE!</v>
      </c>
      <c r="AW101" s="630" t="e">
        <f t="shared" si="35"/>
        <v>#VALUE!</v>
      </c>
      <c r="AZ101" s="489" t="str">
        <f t="shared" si="36"/>
        <v/>
      </c>
      <c r="BA101" s="631" t="e">
        <f t="shared" si="42"/>
        <v>#VALUE!</v>
      </c>
      <c r="BB101" s="491" t="e">
        <f t="shared" si="42"/>
        <v>#VALUE!</v>
      </c>
      <c r="BC101" s="491" t="e">
        <f t="shared" si="42"/>
        <v>#VALUE!</v>
      </c>
      <c r="BD101" s="491" t="e">
        <f t="shared" si="42"/>
        <v>#VALUE!</v>
      </c>
      <c r="BE101" s="491" t="e">
        <f t="shared" si="42"/>
        <v>#VALUE!</v>
      </c>
      <c r="BF101" s="491" t="e">
        <f t="shared" si="42"/>
        <v>#VALUE!</v>
      </c>
      <c r="BG101" s="491" t="e">
        <f t="shared" si="42"/>
        <v>#VALUE!</v>
      </c>
      <c r="BH101" s="491" t="e">
        <f t="shared" si="42"/>
        <v>#VALUE!</v>
      </c>
      <c r="BI101" s="491" t="e">
        <f t="shared" si="42"/>
        <v>#VALUE!</v>
      </c>
      <c r="BJ101" s="491" t="e">
        <f t="shared" si="42"/>
        <v>#VALUE!</v>
      </c>
      <c r="BK101" s="400">
        <f t="shared" si="37"/>
        <v>51</v>
      </c>
      <c r="BL101" s="491" t="e">
        <f t="shared" si="41"/>
        <v>#VALUE!</v>
      </c>
      <c r="BM101" s="491" t="e">
        <f t="shared" si="41"/>
        <v>#VALUE!</v>
      </c>
      <c r="BN101" s="491" t="e">
        <f t="shared" si="41"/>
        <v>#VALUE!</v>
      </c>
      <c r="BO101" s="491" t="e">
        <f t="shared" si="41"/>
        <v>#VALUE!</v>
      </c>
      <c r="BP101" s="622" t="e">
        <f t="shared" si="39"/>
        <v>#VALUE!</v>
      </c>
      <c r="BQ101" s="274" t="e">
        <f>IF(L101="","Column",IF(OR(C101&lt;MAX(ColSpa1,Geometry!$J$107),C101&gt;MAX(MAX(Geometry!$I$107:$I$116),MAX(Geometry!$J$107:$J$116))),MIN(6,INDEX($O$45:$O$48,MATCH(L101,$O$45:$O$48,1),1)),INDEX($O$45:$O$48,MATCH(L101,$O$45:$O$48,1),1)))</f>
        <v>#VALUE!</v>
      </c>
    </row>
    <row r="102" spans="1:69">
      <c r="A102" s="339"/>
      <c r="B102" s="96" t="e">
        <f>IF(MIN(ABS(C102-INDEX(Geometry!$Q$104:$Q$113,IF(ISERROR(MATCH(C102,Geometry!$Q$104:$Q$113,1)),1,MATCH(C102,Geometry!$Q$104:$Q$113,1)),1)),ABS(C102-INDEX(Geometry!$Q$104:$Q$113,IF(ISERROR(MAX(11-MATCH(C102,Geometry!$R$104:$R$113,-1),1)),1,MAX(11-MATCH(C102,Geometry!$R$104:$R$113,-1),1)),1)))&lt;(halfeffectiveface/12),"#","")</f>
        <v>#VALUE!</v>
      </c>
      <c r="C102" s="96" t="str">
        <f>'CAP18 Out(1)'!D60</f>
        <v/>
      </c>
      <c r="D102" s="184" t="str">
        <f>'CAP18 Out(1)'!M60</f>
        <v/>
      </c>
      <c r="E102" s="179" t="e">
        <f t="shared" si="13"/>
        <v>#VALUE!</v>
      </c>
      <c r="F102" s="87" t="e">
        <f t="shared" si="14"/>
        <v>#VALUE!</v>
      </c>
      <c r="G102" s="87" t="e">
        <f t="shared" si="15"/>
        <v>#VALUE!</v>
      </c>
      <c r="H102" s="185" t="e">
        <f t="shared" si="16"/>
        <v>#VALUE!</v>
      </c>
      <c r="I102" s="184" t="e">
        <f t="shared" si="17"/>
        <v>#VALUE!</v>
      </c>
      <c r="J102" s="184">
        <f t="shared" si="18"/>
        <v>0</v>
      </c>
      <c r="K102" s="184">
        <f t="shared" si="19"/>
        <v>0</v>
      </c>
      <c r="L102" s="296" t="e">
        <f t="shared" si="20"/>
        <v>#VALUE!</v>
      </c>
      <c r="M102" s="294" t="e">
        <f>IF(L102="Column","",IF(OR(C102&lt;MAX(ColSpa1,Geometry!$J$107),C102&gt;MAX(MAX(Geometry!$I$107:$I$116),MAX(Geometry!$J$107:$J$116))),"OH - 6''",""))</f>
        <v>#VALUE!</v>
      </c>
      <c r="N102" s="1053">
        <v>35.762184152669903</v>
      </c>
      <c r="O102" s="489">
        <f t="shared" si="21"/>
        <v>0</v>
      </c>
      <c r="P102" s="489">
        <f t="shared" si="22"/>
        <v>0</v>
      </c>
      <c r="Q102" s="400" t="e">
        <f>'CAP18 Out(1)'!I60</f>
        <v>#VALUE!</v>
      </c>
      <c r="R102" s="400" t="e">
        <f>'CAP18 Out(1)'!J60</f>
        <v>#VALUE!</v>
      </c>
      <c r="S102" s="400" t="e">
        <f>IF(E102=ABS(Q102),VLOOKUP('Bars B'!$F$10,BarTable,4,FALSE)/12,1.3*VLOOKUP('Bars A'!$F$10,BarTable,4,FALSE)/12)</f>
        <v>#VALUE!</v>
      </c>
      <c r="T102" s="626" t="e">
        <f t="shared" si="23"/>
        <v>#VALUE!</v>
      </c>
      <c r="U102" s="489" t="e">
        <f>IF(T102&gt;S102,IF(E102=ABS(R102),'Bars A'!$I$13,'Bars B'!$I$13),0.0000000001)</f>
        <v>#VALUE!</v>
      </c>
      <c r="V102" s="483" t="e">
        <f t="shared" si="24"/>
        <v>#VALUE!</v>
      </c>
      <c r="W102" s="627" t="e">
        <f t="shared" si="25"/>
        <v>#VALUE!</v>
      </c>
      <c r="X102" s="628" t="e">
        <f t="shared" si="26"/>
        <v>#VALUE!</v>
      </c>
      <c r="Y102" s="489" t="e">
        <f t="shared" si="27"/>
        <v>#VALUE!</v>
      </c>
      <c r="Z102" s="629" t="e">
        <f t="shared" si="28"/>
        <v>#VALUE!</v>
      </c>
      <c r="AA102" s="626" t="e">
        <f t="shared" si="29"/>
        <v>#VALUE!</v>
      </c>
      <c r="AB102" s="481" t="e">
        <f>MATCH(V102,Reference!$S$7:$S$17,1)</f>
        <v>#VALUE!</v>
      </c>
      <c r="AC102" s="1388" t="e">
        <f>12-MATCH(V102,Reference!$AD$6:$AD$16,-1)</f>
        <v>#VALUE!</v>
      </c>
      <c r="AD102" s="482" t="e">
        <f>MATCH(X102,Reference!$T$6:$AB$6,1)</f>
        <v>#VALUE!</v>
      </c>
      <c r="AE102" s="482" t="e">
        <f>10-MATCH(X102,Reference!$AD$18:$AL$18,-1)</f>
        <v>#VALUE!</v>
      </c>
      <c r="AF102" s="482" t="e">
        <f>INDEX(Reference!$T$7:$AB$17,AB102,AD102)</f>
        <v>#VALUE!</v>
      </c>
      <c r="AG102" s="482" t="e">
        <f>INDEX(Reference!$T$7:$AB$17,AB102,AE102)</f>
        <v>#VALUE!</v>
      </c>
      <c r="AH102" s="482" t="e">
        <f>INDEX(Reference!$T$7:$AB$17,AC102,AD102)</f>
        <v>#VALUE!</v>
      </c>
      <c r="AI102" s="482" t="e">
        <f>INDEX(Reference!$T$7:$AB$17,AC102,AE102)</f>
        <v>#VALUE!</v>
      </c>
      <c r="AJ102" s="482" t="e">
        <f>INDEX(Reference!$T$23:$AB$33,AB102,AD102)</f>
        <v>#VALUE!</v>
      </c>
      <c r="AK102" s="482" t="e">
        <f>INDEX(Reference!$T$23:$AB$33,AB102,AE102)</f>
        <v>#VALUE!</v>
      </c>
      <c r="AL102" s="482" t="e">
        <f>INDEX(Reference!$T$23:$AB$33,AC102,AD102)</f>
        <v>#VALUE!</v>
      </c>
      <c r="AM102" s="482" t="e">
        <f>INDEX(Reference!$T$23:$AB$33,AC102,AE102)</f>
        <v>#VALUE!</v>
      </c>
      <c r="AN102" s="483" t="e">
        <f>INDEX(Reference!$S$7:$S$17,AB102,1)</f>
        <v>#VALUE!</v>
      </c>
      <c r="AO102" s="483" t="e">
        <f>INDEX(Reference!$S$7:$S$17,AC102,1)</f>
        <v>#VALUE!</v>
      </c>
      <c r="AP102" s="484" t="e">
        <f>INDEX(Reference!$T$6:$AB$6,1,AD102)</f>
        <v>#VALUE!</v>
      </c>
      <c r="AQ102" s="484" t="e">
        <f>INDEX(Reference!$T$6:$AB$6,1,AE102)</f>
        <v>#VALUE!</v>
      </c>
      <c r="AR102" s="629" t="e">
        <f t="shared" si="30"/>
        <v>#VALUE!</v>
      </c>
      <c r="AS102" s="629" t="e">
        <f t="shared" si="31"/>
        <v>#VALUE!</v>
      </c>
      <c r="AT102" s="629" t="e">
        <f t="shared" si="32"/>
        <v>#VALUE!</v>
      </c>
      <c r="AU102" s="629" t="e">
        <f t="shared" si="33"/>
        <v>#VALUE!</v>
      </c>
      <c r="AV102" s="629" t="e">
        <f t="shared" si="34"/>
        <v>#VALUE!</v>
      </c>
      <c r="AW102" s="630" t="e">
        <f t="shared" si="35"/>
        <v>#VALUE!</v>
      </c>
      <c r="AZ102" s="489" t="str">
        <f t="shared" si="36"/>
        <v/>
      </c>
      <c r="BA102" s="631" t="e">
        <f t="shared" si="42"/>
        <v>#VALUE!</v>
      </c>
      <c r="BB102" s="491" t="e">
        <f t="shared" si="42"/>
        <v>#VALUE!</v>
      </c>
      <c r="BC102" s="491" t="e">
        <f t="shared" si="42"/>
        <v>#VALUE!</v>
      </c>
      <c r="BD102" s="491" t="e">
        <f t="shared" si="42"/>
        <v>#VALUE!</v>
      </c>
      <c r="BE102" s="491" t="e">
        <f t="shared" si="42"/>
        <v>#VALUE!</v>
      </c>
      <c r="BF102" s="491" t="e">
        <f t="shared" si="42"/>
        <v>#VALUE!</v>
      </c>
      <c r="BG102" s="491" t="e">
        <f t="shared" si="42"/>
        <v>#VALUE!</v>
      </c>
      <c r="BH102" s="491" t="e">
        <f t="shared" si="42"/>
        <v>#VALUE!</v>
      </c>
      <c r="BI102" s="491" t="e">
        <f t="shared" si="42"/>
        <v>#VALUE!</v>
      </c>
      <c r="BJ102" s="491" t="e">
        <f t="shared" si="42"/>
        <v>#VALUE!</v>
      </c>
      <c r="BK102" s="400">
        <f t="shared" si="37"/>
        <v>52</v>
      </c>
      <c r="BL102" s="491" t="e">
        <f t="shared" si="41"/>
        <v>#VALUE!</v>
      </c>
      <c r="BM102" s="491" t="e">
        <f t="shared" si="41"/>
        <v>#VALUE!</v>
      </c>
      <c r="BN102" s="491" t="e">
        <f t="shared" si="41"/>
        <v>#VALUE!</v>
      </c>
      <c r="BO102" s="491" t="e">
        <f t="shared" si="41"/>
        <v>#VALUE!</v>
      </c>
      <c r="BP102" s="622" t="e">
        <f t="shared" si="39"/>
        <v>#VALUE!</v>
      </c>
      <c r="BQ102" s="274" t="e">
        <f>IF(L102="","Column",IF(OR(C102&lt;MAX(ColSpa1,Geometry!$J$107),C102&gt;MAX(MAX(Geometry!$I$107:$I$116),MAX(Geometry!$J$107:$J$116))),MIN(6,INDEX($O$45:$O$48,MATCH(L102,$O$45:$O$48,1),1)),INDEX($O$45:$O$48,MATCH(L102,$O$45:$O$48,1),1)))</f>
        <v>#VALUE!</v>
      </c>
    </row>
    <row r="103" spans="1:69">
      <c r="A103" s="339"/>
      <c r="B103" s="96" t="e">
        <f>IF(MIN(ABS(C103-INDEX(Geometry!$Q$104:$Q$113,IF(ISERROR(MATCH(C103,Geometry!$Q$104:$Q$113,1)),1,MATCH(C103,Geometry!$Q$104:$Q$113,1)),1)),ABS(C103-INDEX(Geometry!$Q$104:$Q$113,IF(ISERROR(MAX(11-MATCH(C103,Geometry!$R$104:$R$113,-1),1)),1,MAX(11-MATCH(C103,Geometry!$R$104:$R$113,-1),1)),1)))&lt;(halfeffectiveface/12),"#","")</f>
        <v>#VALUE!</v>
      </c>
      <c r="C103" s="96" t="str">
        <f>'CAP18 Out(1)'!D61</f>
        <v/>
      </c>
      <c r="D103" s="184" t="str">
        <f>'CAP18 Out(1)'!M61</f>
        <v/>
      </c>
      <c r="E103" s="179" t="e">
        <f t="shared" si="13"/>
        <v>#VALUE!</v>
      </c>
      <c r="F103" s="87" t="e">
        <f t="shared" si="14"/>
        <v>#VALUE!</v>
      </c>
      <c r="G103" s="87" t="e">
        <f t="shared" si="15"/>
        <v>#VALUE!</v>
      </c>
      <c r="H103" s="185" t="e">
        <f t="shared" si="16"/>
        <v>#VALUE!</v>
      </c>
      <c r="I103" s="184" t="e">
        <f t="shared" si="17"/>
        <v>#VALUE!</v>
      </c>
      <c r="J103" s="184">
        <f t="shared" si="18"/>
        <v>0</v>
      </c>
      <c r="K103" s="184">
        <f t="shared" si="19"/>
        <v>0</v>
      </c>
      <c r="L103" s="296" t="e">
        <f t="shared" si="20"/>
        <v>#VALUE!</v>
      </c>
      <c r="M103" s="294" t="e">
        <f>IF(L103="Column","",IF(OR(C103&lt;MAX(ColSpa1,Geometry!$J$107),C103&gt;MAX(MAX(Geometry!$I$107:$I$116),MAX(Geometry!$J$107:$J$116))),"OH - 6''",""))</f>
        <v>#VALUE!</v>
      </c>
      <c r="N103" s="1053">
        <v>35.750910191530366</v>
      </c>
      <c r="O103" s="489">
        <f t="shared" si="21"/>
        <v>0</v>
      </c>
      <c r="P103" s="489">
        <f t="shared" si="22"/>
        <v>0</v>
      </c>
      <c r="Q103" s="400" t="e">
        <f>'CAP18 Out(1)'!I61</f>
        <v>#VALUE!</v>
      </c>
      <c r="R103" s="400" t="e">
        <f>'CAP18 Out(1)'!J61</f>
        <v>#VALUE!</v>
      </c>
      <c r="S103" s="400" t="e">
        <f>IF(E103=ABS(Q103),VLOOKUP('Bars B'!$F$10,BarTable,4,FALSE)/12,1.3*VLOOKUP('Bars A'!$F$10,BarTable,4,FALSE)/12)</f>
        <v>#VALUE!</v>
      </c>
      <c r="T103" s="626" t="e">
        <f t="shared" si="23"/>
        <v>#VALUE!</v>
      </c>
      <c r="U103" s="489" t="e">
        <f>IF(T103&gt;S103,IF(E103=ABS(R103),'Bars A'!$I$13,'Bars B'!$I$13),0.0000000001)</f>
        <v>#VALUE!</v>
      </c>
      <c r="V103" s="483" t="e">
        <f t="shared" si="24"/>
        <v>#VALUE!</v>
      </c>
      <c r="W103" s="627" t="e">
        <f t="shared" si="25"/>
        <v>#VALUE!</v>
      </c>
      <c r="X103" s="628" t="e">
        <f t="shared" si="26"/>
        <v>#VALUE!</v>
      </c>
      <c r="Y103" s="489" t="e">
        <f t="shared" si="27"/>
        <v>#VALUE!</v>
      </c>
      <c r="Z103" s="629" t="e">
        <f t="shared" si="28"/>
        <v>#VALUE!</v>
      </c>
      <c r="AA103" s="626" t="e">
        <f t="shared" si="29"/>
        <v>#VALUE!</v>
      </c>
      <c r="AB103" s="481" t="e">
        <f>MATCH(V103,Reference!$S$7:$S$17,1)</f>
        <v>#VALUE!</v>
      </c>
      <c r="AC103" s="1388" t="e">
        <f>12-MATCH(V103,Reference!$AD$6:$AD$16,-1)</f>
        <v>#VALUE!</v>
      </c>
      <c r="AD103" s="482" t="e">
        <f>MATCH(X103,Reference!$T$6:$AB$6,1)</f>
        <v>#VALUE!</v>
      </c>
      <c r="AE103" s="482" t="e">
        <f>10-MATCH(X103,Reference!$AD$18:$AL$18,-1)</f>
        <v>#VALUE!</v>
      </c>
      <c r="AF103" s="482" t="e">
        <f>INDEX(Reference!$T$7:$AB$17,AB103,AD103)</f>
        <v>#VALUE!</v>
      </c>
      <c r="AG103" s="482" t="e">
        <f>INDEX(Reference!$T$7:$AB$17,AB103,AE103)</f>
        <v>#VALUE!</v>
      </c>
      <c r="AH103" s="482" t="e">
        <f>INDEX(Reference!$T$7:$AB$17,AC103,AD103)</f>
        <v>#VALUE!</v>
      </c>
      <c r="AI103" s="482" t="e">
        <f>INDEX(Reference!$T$7:$AB$17,AC103,AE103)</f>
        <v>#VALUE!</v>
      </c>
      <c r="AJ103" s="482" t="e">
        <f>INDEX(Reference!$T$23:$AB$33,AB103,AD103)</f>
        <v>#VALUE!</v>
      </c>
      <c r="AK103" s="482" t="e">
        <f>INDEX(Reference!$T$23:$AB$33,AB103,AE103)</f>
        <v>#VALUE!</v>
      </c>
      <c r="AL103" s="482" t="e">
        <f>INDEX(Reference!$T$23:$AB$33,AC103,AD103)</f>
        <v>#VALUE!</v>
      </c>
      <c r="AM103" s="482" t="e">
        <f>INDEX(Reference!$T$23:$AB$33,AC103,AE103)</f>
        <v>#VALUE!</v>
      </c>
      <c r="AN103" s="483" t="e">
        <f>INDEX(Reference!$S$7:$S$17,AB103,1)</f>
        <v>#VALUE!</v>
      </c>
      <c r="AO103" s="483" t="e">
        <f>INDEX(Reference!$S$7:$S$17,AC103,1)</f>
        <v>#VALUE!</v>
      </c>
      <c r="AP103" s="484" t="e">
        <f>INDEX(Reference!$T$6:$AB$6,1,AD103)</f>
        <v>#VALUE!</v>
      </c>
      <c r="AQ103" s="484" t="e">
        <f>INDEX(Reference!$T$6:$AB$6,1,AE103)</f>
        <v>#VALUE!</v>
      </c>
      <c r="AR103" s="629" t="e">
        <f t="shared" si="30"/>
        <v>#VALUE!</v>
      </c>
      <c r="AS103" s="629" t="e">
        <f t="shared" si="31"/>
        <v>#VALUE!</v>
      </c>
      <c r="AT103" s="629" t="e">
        <f t="shared" si="32"/>
        <v>#VALUE!</v>
      </c>
      <c r="AU103" s="629" t="e">
        <f t="shared" si="33"/>
        <v>#VALUE!</v>
      </c>
      <c r="AV103" s="629" t="e">
        <f t="shared" si="34"/>
        <v>#VALUE!</v>
      </c>
      <c r="AW103" s="630" t="e">
        <f t="shared" si="35"/>
        <v>#VALUE!</v>
      </c>
      <c r="AZ103" s="489" t="str">
        <f t="shared" si="36"/>
        <v/>
      </c>
      <c r="BA103" s="631" t="e">
        <f t="shared" si="42"/>
        <v>#VALUE!</v>
      </c>
      <c r="BB103" s="491" t="e">
        <f t="shared" si="42"/>
        <v>#VALUE!</v>
      </c>
      <c r="BC103" s="491" t="e">
        <f t="shared" si="42"/>
        <v>#VALUE!</v>
      </c>
      <c r="BD103" s="491" t="e">
        <f t="shared" si="42"/>
        <v>#VALUE!</v>
      </c>
      <c r="BE103" s="491" t="e">
        <f t="shared" si="42"/>
        <v>#VALUE!</v>
      </c>
      <c r="BF103" s="491" t="e">
        <f t="shared" si="42"/>
        <v>#VALUE!</v>
      </c>
      <c r="BG103" s="491" t="e">
        <f t="shared" si="42"/>
        <v>#VALUE!</v>
      </c>
      <c r="BH103" s="491" t="e">
        <f t="shared" si="42"/>
        <v>#VALUE!</v>
      </c>
      <c r="BI103" s="491" t="e">
        <f t="shared" si="42"/>
        <v>#VALUE!</v>
      </c>
      <c r="BJ103" s="491" t="e">
        <f t="shared" si="42"/>
        <v>#VALUE!</v>
      </c>
      <c r="BK103" s="400">
        <f t="shared" si="37"/>
        <v>53</v>
      </c>
      <c r="BL103" s="491" t="e">
        <f t="shared" si="41"/>
        <v>#VALUE!</v>
      </c>
      <c r="BM103" s="491" t="e">
        <f t="shared" si="41"/>
        <v>#VALUE!</v>
      </c>
      <c r="BN103" s="491" t="e">
        <f t="shared" si="41"/>
        <v>#VALUE!</v>
      </c>
      <c r="BO103" s="491" t="e">
        <f t="shared" si="41"/>
        <v>#VALUE!</v>
      </c>
      <c r="BP103" s="622" t="e">
        <f t="shared" si="39"/>
        <v>#VALUE!</v>
      </c>
      <c r="BQ103" s="274" t="e">
        <f>IF(L103="","Column",IF(OR(C103&lt;MAX(ColSpa1,Geometry!$J$107),C103&gt;MAX(MAX(Geometry!$I$107:$I$116),MAX(Geometry!$J$107:$J$116))),MIN(6,INDEX($O$45:$O$48,MATCH(L103,$O$45:$O$48,1),1)),INDEX($O$45:$O$48,MATCH(L103,$O$45:$O$48,1),1)))</f>
        <v>#VALUE!</v>
      </c>
    </row>
    <row r="104" spans="1:69">
      <c r="A104" s="339"/>
      <c r="B104" s="96" t="e">
        <f>IF(MIN(ABS(C104-INDEX(Geometry!$Q$104:$Q$113,IF(ISERROR(MATCH(C104,Geometry!$Q$104:$Q$113,1)),1,MATCH(C104,Geometry!$Q$104:$Q$113,1)),1)),ABS(C104-INDEX(Geometry!$Q$104:$Q$113,IF(ISERROR(MAX(11-MATCH(C104,Geometry!$R$104:$R$113,-1),1)),1,MAX(11-MATCH(C104,Geometry!$R$104:$R$113,-1),1)),1)))&lt;(halfeffectiveface/12),"#","")</f>
        <v>#VALUE!</v>
      </c>
      <c r="C104" s="96" t="str">
        <f>'CAP18 Out(1)'!D62</f>
        <v/>
      </c>
      <c r="D104" s="184" t="str">
        <f>'CAP18 Out(1)'!M62</f>
        <v/>
      </c>
      <c r="E104" s="179" t="e">
        <f t="shared" si="13"/>
        <v>#VALUE!</v>
      </c>
      <c r="F104" s="87" t="e">
        <f t="shared" si="14"/>
        <v>#VALUE!</v>
      </c>
      <c r="G104" s="87" t="e">
        <f t="shared" si="15"/>
        <v>#VALUE!</v>
      </c>
      <c r="H104" s="185" t="e">
        <f t="shared" si="16"/>
        <v>#VALUE!</v>
      </c>
      <c r="I104" s="184" t="e">
        <f t="shared" si="17"/>
        <v>#VALUE!</v>
      </c>
      <c r="J104" s="184">
        <f t="shared" si="18"/>
        <v>0</v>
      </c>
      <c r="K104" s="184">
        <f t="shared" si="19"/>
        <v>0</v>
      </c>
      <c r="L104" s="296" t="e">
        <f t="shared" si="20"/>
        <v>#VALUE!</v>
      </c>
      <c r="M104" s="294" t="e">
        <f>IF(L104="Column","",IF(OR(C104&lt;MAX(ColSpa1,Geometry!$J$107),C104&gt;MAX(MAX(Geometry!$I$107:$I$116),MAX(Geometry!$J$107:$J$116))),"OH - 6''",""))</f>
        <v>#VALUE!</v>
      </c>
      <c r="N104" s="1053">
        <v>35.735952333916472</v>
      </c>
      <c r="O104" s="489">
        <f t="shared" si="21"/>
        <v>0</v>
      </c>
      <c r="P104" s="489">
        <f t="shared" si="22"/>
        <v>0</v>
      </c>
      <c r="Q104" s="400" t="e">
        <f>'CAP18 Out(1)'!I62</f>
        <v>#VALUE!</v>
      </c>
      <c r="R104" s="400" t="e">
        <f>'CAP18 Out(1)'!J62</f>
        <v>#VALUE!</v>
      </c>
      <c r="S104" s="400" t="e">
        <f>IF(E104=ABS(Q104),VLOOKUP('Bars B'!$F$10,BarTable,4,FALSE)/12,1.3*VLOOKUP('Bars A'!$F$10,BarTable,4,FALSE)/12)</f>
        <v>#VALUE!</v>
      </c>
      <c r="T104" s="626" t="e">
        <f t="shared" si="23"/>
        <v>#VALUE!</v>
      </c>
      <c r="U104" s="489" t="e">
        <f>IF(T104&gt;S104,IF(E104=ABS(R104),'Bars A'!$I$13,'Bars B'!$I$13),0.0000000001)</f>
        <v>#VALUE!</v>
      </c>
      <c r="V104" s="483" t="e">
        <f t="shared" si="24"/>
        <v>#VALUE!</v>
      </c>
      <c r="W104" s="627" t="e">
        <f t="shared" si="25"/>
        <v>#VALUE!</v>
      </c>
      <c r="X104" s="628" t="e">
        <f t="shared" si="26"/>
        <v>#VALUE!</v>
      </c>
      <c r="Y104" s="489" t="e">
        <f t="shared" si="27"/>
        <v>#VALUE!</v>
      </c>
      <c r="Z104" s="629" t="e">
        <f t="shared" si="28"/>
        <v>#VALUE!</v>
      </c>
      <c r="AA104" s="626" t="e">
        <f t="shared" si="29"/>
        <v>#VALUE!</v>
      </c>
      <c r="AB104" s="481" t="e">
        <f>MATCH(V104,Reference!$S$7:$S$17,1)</f>
        <v>#VALUE!</v>
      </c>
      <c r="AC104" s="1388" t="e">
        <f>12-MATCH(V104,Reference!$AD$6:$AD$16,-1)</f>
        <v>#VALUE!</v>
      </c>
      <c r="AD104" s="482" t="e">
        <f>MATCH(X104,Reference!$T$6:$AB$6,1)</f>
        <v>#VALUE!</v>
      </c>
      <c r="AE104" s="482" t="e">
        <f>10-MATCH(X104,Reference!$AD$18:$AL$18,-1)</f>
        <v>#VALUE!</v>
      </c>
      <c r="AF104" s="482" t="e">
        <f>INDEX(Reference!$T$7:$AB$17,AB104,AD104)</f>
        <v>#VALUE!</v>
      </c>
      <c r="AG104" s="482" t="e">
        <f>INDEX(Reference!$T$7:$AB$17,AB104,AE104)</f>
        <v>#VALUE!</v>
      </c>
      <c r="AH104" s="482" t="e">
        <f>INDEX(Reference!$T$7:$AB$17,AC104,AD104)</f>
        <v>#VALUE!</v>
      </c>
      <c r="AI104" s="482" t="e">
        <f>INDEX(Reference!$T$7:$AB$17,AC104,AE104)</f>
        <v>#VALUE!</v>
      </c>
      <c r="AJ104" s="482" t="e">
        <f>INDEX(Reference!$T$23:$AB$33,AB104,AD104)</f>
        <v>#VALUE!</v>
      </c>
      <c r="AK104" s="482" t="e">
        <f>INDEX(Reference!$T$23:$AB$33,AB104,AE104)</f>
        <v>#VALUE!</v>
      </c>
      <c r="AL104" s="482" t="e">
        <f>INDEX(Reference!$T$23:$AB$33,AC104,AD104)</f>
        <v>#VALUE!</v>
      </c>
      <c r="AM104" s="482" t="e">
        <f>INDEX(Reference!$T$23:$AB$33,AC104,AE104)</f>
        <v>#VALUE!</v>
      </c>
      <c r="AN104" s="483" t="e">
        <f>INDEX(Reference!$S$7:$S$17,AB104,1)</f>
        <v>#VALUE!</v>
      </c>
      <c r="AO104" s="483" t="e">
        <f>INDEX(Reference!$S$7:$S$17,AC104,1)</f>
        <v>#VALUE!</v>
      </c>
      <c r="AP104" s="484" t="e">
        <f>INDEX(Reference!$T$6:$AB$6,1,AD104)</f>
        <v>#VALUE!</v>
      </c>
      <c r="AQ104" s="484" t="e">
        <f>INDEX(Reference!$T$6:$AB$6,1,AE104)</f>
        <v>#VALUE!</v>
      </c>
      <c r="AR104" s="629" t="e">
        <f t="shared" si="30"/>
        <v>#VALUE!</v>
      </c>
      <c r="AS104" s="629" t="e">
        <f t="shared" si="31"/>
        <v>#VALUE!</v>
      </c>
      <c r="AT104" s="629" t="e">
        <f t="shared" si="32"/>
        <v>#VALUE!</v>
      </c>
      <c r="AU104" s="629" t="e">
        <f t="shared" si="33"/>
        <v>#VALUE!</v>
      </c>
      <c r="AV104" s="629" t="e">
        <f t="shared" si="34"/>
        <v>#VALUE!</v>
      </c>
      <c r="AW104" s="630" t="e">
        <f t="shared" si="35"/>
        <v>#VALUE!</v>
      </c>
      <c r="AZ104" s="489" t="str">
        <f t="shared" si="36"/>
        <v/>
      </c>
      <c r="BA104" s="631" t="e">
        <f t="shared" si="42"/>
        <v>#VALUE!</v>
      </c>
      <c r="BB104" s="491" t="e">
        <f t="shared" si="42"/>
        <v>#VALUE!</v>
      </c>
      <c r="BC104" s="491" t="e">
        <f t="shared" si="42"/>
        <v>#VALUE!</v>
      </c>
      <c r="BD104" s="491" t="e">
        <f t="shared" si="42"/>
        <v>#VALUE!</v>
      </c>
      <c r="BE104" s="491" t="e">
        <f t="shared" si="42"/>
        <v>#VALUE!</v>
      </c>
      <c r="BF104" s="491" t="e">
        <f t="shared" si="42"/>
        <v>#VALUE!</v>
      </c>
      <c r="BG104" s="491" t="e">
        <f t="shared" si="42"/>
        <v>#VALUE!</v>
      </c>
      <c r="BH104" s="491" t="e">
        <f t="shared" si="42"/>
        <v>#VALUE!</v>
      </c>
      <c r="BI104" s="491" t="e">
        <f t="shared" si="42"/>
        <v>#VALUE!</v>
      </c>
      <c r="BJ104" s="491" t="e">
        <f t="shared" si="42"/>
        <v>#VALUE!</v>
      </c>
      <c r="BK104" s="400">
        <f t="shared" si="37"/>
        <v>54</v>
      </c>
      <c r="BL104" s="491" t="e">
        <f t="shared" si="41"/>
        <v>#VALUE!</v>
      </c>
      <c r="BM104" s="491" t="e">
        <f t="shared" si="41"/>
        <v>#VALUE!</v>
      </c>
      <c r="BN104" s="491" t="e">
        <f t="shared" si="41"/>
        <v>#VALUE!</v>
      </c>
      <c r="BO104" s="491" t="e">
        <f t="shared" si="41"/>
        <v>#VALUE!</v>
      </c>
      <c r="BP104" s="622" t="e">
        <f t="shared" si="39"/>
        <v>#VALUE!</v>
      </c>
      <c r="BQ104" s="274" t="e">
        <f>IF(L104="","Column",IF(OR(C104&lt;MAX(ColSpa1,Geometry!$J$107),C104&gt;MAX(MAX(Geometry!$I$107:$I$116),MAX(Geometry!$J$107:$J$116))),MIN(6,INDEX($O$45:$O$48,MATCH(L104,$O$45:$O$48,1),1)),INDEX($O$45:$O$48,MATCH(L104,$O$45:$O$48,1),1)))</f>
        <v>#VALUE!</v>
      </c>
    </row>
    <row r="105" spans="1:69">
      <c r="A105" s="339"/>
      <c r="B105" s="96" t="e">
        <f>IF(MIN(ABS(C105-INDEX(Geometry!$Q$104:$Q$113,IF(ISERROR(MATCH(C105,Geometry!$Q$104:$Q$113,1)),1,MATCH(C105,Geometry!$Q$104:$Q$113,1)),1)),ABS(C105-INDEX(Geometry!$Q$104:$Q$113,IF(ISERROR(MAX(11-MATCH(C105,Geometry!$R$104:$R$113,-1),1)),1,MAX(11-MATCH(C105,Geometry!$R$104:$R$113,-1),1)),1)))&lt;(halfeffectiveface/12),"#","")</f>
        <v>#VALUE!</v>
      </c>
      <c r="C105" s="96" t="str">
        <f>'CAP18 Out(1)'!D63</f>
        <v/>
      </c>
      <c r="D105" s="184" t="str">
        <f>'CAP18 Out(1)'!M63</f>
        <v/>
      </c>
      <c r="E105" s="179" t="e">
        <f t="shared" si="13"/>
        <v>#VALUE!</v>
      </c>
      <c r="F105" s="87" t="e">
        <f t="shared" si="14"/>
        <v>#VALUE!</v>
      </c>
      <c r="G105" s="87" t="e">
        <f t="shared" si="15"/>
        <v>#VALUE!</v>
      </c>
      <c r="H105" s="185" t="e">
        <f t="shared" si="16"/>
        <v>#VALUE!</v>
      </c>
      <c r="I105" s="184" t="e">
        <f t="shared" si="17"/>
        <v>#VALUE!</v>
      </c>
      <c r="J105" s="184">
        <f t="shared" si="18"/>
        <v>0</v>
      </c>
      <c r="K105" s="184">
        <f t="shared" si="19"/>
        <v>0</v>
      </c>
      <c r="L105" s="296" t="e">
        <f t="shared" si="20"/>
        <v>#VALUE!</v>
      </c>
      <c r="M105" s="294" t="e">
        <f>IF(L105="Column","",IF(OR(C105&lt;MAX(ColSpa1,Geometry!$J$107),C105&gt;MAX(MAX(Geometry!$I$107:$I$116),MAX(Geometry!$J$107:$J$116))),"OH - 6''",""))</f>
        <v>#VALUE!</v>
      </c>
      <c r="N105" s="1053">
        <v>35.727850564630138</v>
      </c>
      <c r="O105" s="489">
        <f t="shared" si="21"/>
        <v>0</v>
      </c>
      <c r="P105" s="489">
        <f t="shared" si="22"/>
        <v>0</v>
      </c>
      <c r="Q105" s="400" t="e">
        <f>'CAP18 Out(1)'!I63</f>
        <v>#VALUE!</v>
      </c>
      <c r="R105" s="400" t="e">
        <f>'CAP18 Out(1)'!J63</f>
        <v>#VALUE!</v>
      </c>
      <c r="S105" s="400" t="e">
        <f>IF(E105=ABS(Q105),VLOOKUP('Bars B'!$F$10,BarTable,4,FALSE)/12,1.3*VLOOKUP('Bars A'!$F$10,BarTable,4,FALSE)/12)</f>
        <v>#VALUE!</v>
      </c>
      <c r="T105" s="626" t="e">
        <f t="shared" si="23"/>
        <v>#VALUE!</v>
      </c>
      <c r="U105" s="489" t="e">
        <f>IF(T105&gt;S105,IF(E105=ABS(R105),'Bars A'!$I$13,'Bars B'!$I$13),0.0000000001)</f>
        <v>#VALUE!</v>
      </c>
      <c r="V105" s="483" t="e">
        <f t="shared" si="24"/>
        <v>#VALUE!</v>
      </c>
      <c r="W105" s="627" t="e">
        <f t="shared" si="25"/>
        <v>#VALUE!</v>
      </c>
      <c r="X105" s="628" t="e">
        <f t="shared" si="26"/>
        <v>#VALUE!</v>
      </c>
      <c r="Y105" s="489" t="e">
        <f t="shared" si="27"/>
        <v>#VALUE!</v>
      </c>
      <c r="Z105" s="629" t="e">
        <f t="shared" si="28"/>
        <v>#VALUE!</v>
      </c>
      <c r="AA105" s="626" t="e">
        <f t="shared" si="29"/>
        <v>#VALUE!</v>
      </c>
      <c r="AB105" s="481" t="e">
        <f>MATCH(V105,Reference!$S$7:$S$17,1)</f>
        <v>#VALUE!</v>
      </c>
      <c r="AC105" s="1388" t="e">
        <f>12-MATCH(V105,Reference!$AD$6:$AD$16,-1)</f>
        <v>#VALUE!</v>
      </c>
      <c r="AD105" s="482" t="e">
        <f>MATCH(X105,Reference!$T$6:$AB$6,1)</f>
        <v>#VALUE!</v>
      </c>
      <c r="AE105" s="482" t="e">
        <f>10-MATCH(X105,Reference!$AD$18:$AL$18,-1)</f>
        <v>#VALUE!</v>
      </c>
      <c r="AF105" s="482" t="e">
        <f>INDEX(Reference!$T$7:$AB$17,AB105,AD105)</f>
        <v>#VALUE!</v>
      </c>
      <c r="AG105" s="482" t="e">
        <f>INDEX(Reference!$T$7:$AB$17,AB105,AE105)</f>
        <v>#VALUE!</v>
      </c>
      <c r="AH105" s="482" t="e">
        <f>INDEX(Reference!$T$7:$AB$17,AC105,AD105)</f>
        <v>#VALUE!</v>
      </c>
      <c r="AI105" s="482" t="e">
        <f>INDEX(Reference!$T$7:$AB$17,AC105,AE105)</f>
        <v>#VALUE!</v>
      </c>
      <c r="AJ105" s="482" t="e">
        <f>INDEX(Reference!$T$23:$AB$33,AB105,AD105)</f>
        <v>#VALUE!</v>
      </c>
      <c r="AK105" s="482" t="e">
        <f>INDEX(Reference!$T$23:$AB$33,AB105,AE105)</f>
        <v>#VALUE!</v>
      </c>
      <c r="AL105" s="482" t="e">
        <f>INDEX(Reference!$T$23:$AB$33,AC105,AD105)</f>
        <v>#VALUE!</v>
      </c>
      <c r="AM105" s="482" t="e">
        <f>INDEX(Reference!$T$23:$AB$33,AC105,AE105)</f>
        <v>#VALUE!</v>
      </c>
      <c r="AN105" s="483" t="e">
        <f>INDEX(Reference!$S$7:$S$17,AB105,1)</f>
        <v>#VALUE!</v>
      </c>
      <c r="AO105" s="483" t="e">
        <f>INDEX(Reference!$S$7:$S$17,AC105,1)</f>
        <v>#VALUE!</v>
      </c>
      <c r="AP105" s="484" t="e">
        <f>INDEX(Reference!$T$6:$AB$6,1,AD105)</f>
        <v>#VALUE!</v>
      </c>
      <c r="AQ105" s="484" t="e">
        <f>INDEX(Reference!$T$6:$AB$6,1,AE105)</f>
        <v>#VALUE!</v>
      </c>
      <c r="AR105" s="629" t="e">
        <f t="shared" si="30"/>
        <v>#VALUE!</v>
      </c>
      <c r="AS105" s="629" t="e">
        <f t="shared" si="31"/>
        <v>#VALUE!</v>
      </c>
      <c r="AT105" s="629" t="e">
        <f t="shared" si="32"/>
        <v>#VALUE!</v>
      </c>
      <c r="AU105" s="629" t="e">
        <f t="shared" si="33"/>
        <v>#VALUE!</v>
      </c>
      <c r="AV105" s="629" t="e">
        <f t="shared" si="34"/>
        <v>#VALUE!</v>
      </c>
      <c r="AW105" s="630" t="e">
        <f t="shared" si="35"/>
        <v>#VALUE!</v>
      </c>
      <c r="AZ105" s="489" t="str">
        <f t="shared" si="36"/>
        <v/>
      </c>
      <c r="BA105" s="631" t="e">
        <f t="shared" si="42"/>
        <v>#VALUE!</v>
      </c>
      <c r="BB105" s="491" t="e">
        <f t="shared" si="42"/>
        <v>#VALUE!</v>
      </c>
      <c r="BC105" s="491" t="e">
        <f t="shared" si="42"/>
        <v>#VALUE!</v>
      </c>
      <c r="BD105" s="491" t="e">
        <f t="shared" si="42"/>
        <v>#VALUE!</v>
      </c>
      <c r="BE105" s="491" t="e">
        <f t="shared" si="42"/>
        <v>#VALUE!</v>
      </c>
      <c r="BF105" s="491" t="e">
        <f t="shared" si="42"/>
        <v>#VALUE!</v>
      </c>
      <c r="BG105" s="491" t="e">
        <f t="shared" si="42"/>
        <v>#VALUE!</v>
      </c>
      <c r="BH105" s="491" t="e">
        <f t="shared" si="42"/>
        <v>#VALUE!</v>
      </c>
      <c r="BI105" s="491" t="e">
        <f t="shared" si="42"/>
        <v>#VALUE!</v>
      </c>
      <c r="BJ105" s="491" t="e">
        <f t="shared" si="42"/>
        <v>#VALUE!</v>
      </c>
      <c r="BK105" s="400">
        <f t="shared" si="37"/>
        <v>55</v>
      </c>
      <c r="BL105" s="491" t="e">
        <f t="shared" si="41"/>
        <v>#VALUE!</v>
      </c>
      <c r="BM105" s="491" t="e">
        <f t="shared" si="41"/>
        <v>#VALUE!</v>
      </c>
      <c r="BN105" s="491" t="e">
        <f t="shared" si="41"/>
        <v>#VALUE!</v>
      </c>
      <c r="BO105" s="491" t="e">
        <f t="shared" si="41"/>
        <v>#VALUE!</v>
      </c>
      <c r="BP105" s="622" t="e">
        <f t="shared" si="39"/>
        <v>#VALUE!</v>
      </c>
      <c r="BQ105" s="274" t="e">
        <f>IF(L105="","Column",IF(OR(C105&lt;MAX(ColSpa1,Geometry!$J$107),C105&gt;MAX(MAX(Geometry!$I$107:$I$116),MAX(Geometry!$J$107:$J$116))),MIN(6,INDEX($O$45:$O$48,MATCH(L105,$O$45:$O$48,1),1)),INDEX($O$45:$O$48,MATCH(L105,$O$45:$O$48,1),1)))</f>
        <v>#VALUE!</v>
      </c>
    </row>
    <row r="106" spans="1:69">
      <c r="A106" s="339"/>
      <c r="B106" s="96" t="e">
        <f>IF(MIN(ABS(C106-INDEX(Geometry!$Q$104:$Q$113,IF(ISERROR(MATCH(C106,Geometry!$Q$104:$Q$113,1)),1,MATCH(C106,Geometry!$Q$104:$Q$113,1)),1)),ABS(C106-INDEX(Geometry!$Q$104:$Q$113,IF(ISERROR(MAX(11-MATCH(C106,Geometry!$R$104:$R$113,-1),1)),1,MAX(11-MATCH(C106,Geometry!$R$104:$R$113,-1),1)),1)))&lt;(halfeffectiveface/12),"#","")</f>
        <v>#VALUE!</v>
      </c>
      <c r="C106" s="96" t="str">
        <f>'CAP18 Out(1)'!D64</f>
        <v/>
      </c>
      <c r="D106" s="184" t="str">
        <f>'CAP18 Out(1)'!M64</f>
        <v/>
      </c>
      <c r="E106" s="179" t="e">
        <f t="shared" si="13"/>
        <v>#VALUE!</v>
      </c>
      <c r="F106" s="87" t="e">
        <f t="shared" si="14"/>
        <v>#VALUE!</v>
      </c>
      <c r="G106" s="87" t="e">
        <f t="shared" si="15"/>
        <v>#VALUE!</v>
      </c>
      <c r="H106" s="185" t="e">
        <f t="shared" si="16"/>
        <v>#VALUE!</v>
      </c>
      <c r="I106" s="184" t="e">
        <f t="shared" si="17"/>
        <v>#VALUE!</v>
      </c>
      <c r="J106" s="184">
        <f t="shared" si="18"/>
        <v>0</v>
      </c>
      <c r="K106" s="184">
        <f t="shared" si="19"/>
        <v>0</v>
      </c>
      <c r="L106" s="296" t="e">
        <f t="shared" si="20"/>
        <v>#VALUE!</v>
      </c>
      <c r="M106" s="294" t="e">
        <f>IF(L106="Column","",IF(OR(C106&lt;MAX(ColSpa1,Geometry!$J$107),C106&gt;MAX(MAX(Geometry!$I$107:$I$116),MAX(Geometry!$J$107:$J$116))),"OH - 6''",""))</f>
        <v>#VALUE!</v>
      </c>
      <c r="N106" s="1053">
        <v>35.74364983477809</v>
      </c>
      <c r="O106" s="489">
        <f t="shared" si="21"/>
        <v>0</v>
      </c>
      <c r="P106" s="489">
        <f t="shared" si="22"/>
        <v>0</v>
      </c>
      <c r="Q106" s="400" t="e">
        <f>'CAP18 Out(1)'!I64</f>
        <v>#VALUE!</v>
      </c>
      <c r="R106" s="400" t="e">
        <f>'CAP18 Out(1)'!J64</f>
        <v>#VALUE!</v>
      </c>
      <c r="S106" s="400" t="e">
        <f>IF(E106=ABS(Q106),VLOOKUP('Bars B'!$F$10,BarTable,4,FALSE)/12,1.3*VLOOKUP('Bars A'!$F$10,BarTable,4,FALSE)/12)</f>
        <v>#VALUE!</v>
      </c>
      <c r="T106" s="626" t="e">
        <f t="shared" si="23"/>
        <v>#VALUE!</v>
      </c>
      <c r="U106" s="489" t="e">
        <f>IF(T106&gt;S106,IF(E106=ABS(R106),'Bars A'!$I$13,'Bars B'!$I$13),0.0000000001)</f>
        <v>#VALUE!</v>
      </c>
      <c r="V106" s="483" t="e">
        <f t="shared" si="24"/>
        <v>#VALUE!</v>
      </c>
      <c r="W106" s="627" t="e">
        <f t="shared" si="25"/>
        <v>#VALUE!</v>
      </c>
      <c r="X106" s="628" t="e">
        <f t="shared" si="26"/>
        <v>#VALUE!</v>
      </c>
      <c r="Y106" s="489" t="e">
        <f t="shared" si="27"/>
        <v>#VALUE!</v>
      </c>
      <c r="Z106" s="629" t="e">
        <f t="shared" si="28"/>
        <v>#VALUE!</v>
      </c>
      <c r="AA106" s="626" t="e">
        <f t="shared" si="29"/>
        <v>#VALUE!</v>
      </c>
      <c r="AB106" s="481" t="e">
        <f>MATCH(V106,Reference!$S$7:$S$17,1)</f>
        <v>#VALUE!</v>
      </c>
      <c r="AC106" s="1388" t="e">
        <f>12-MATCH(V106,Reference!$AD$6:$AD$16,-1)</f>
        <v>#VALUE!</v>
      </c>
      <c r="AD106" s="482" t="e">
        <f>MATCH(X106,Reference!$T$6:$AB$6,1)</f>
        <v>#VALUE!</v>
      </c>
      <c r="AE106" s="482" t="e">
        <f>10-MATCH(X106,Reference!$AD$18:$AL$18,-1)</f>
        <v>#VALUE!</v>
      </c>
      <c r="AF106" s="482" t="e">
        <f>INDEX(Reference!$T$7:$AB$17,AB106,AD106)</f>
        <v>#VALUE!</v>
      </c>
      <c r="AG106" s="482" t="e">
        <f>INDEX(Reference!$T$7:$AB$17,AB106,AE106)</f>
        <v>#VALUE!</v>
      </c>
      <c r="AH106" s="482" t="e">
        <f>INDEX(Reference!$T$7:$AB$17,AC106,AD106)</f>
        <v>#VALUE!</v>
      </c>
      <c r="AI106" s="482" t="e">
        <f>INDEX(Reference!$T$7:$AB$17,AC106,AE106)</f>
        <v>#VALUE!</v>
      </c>
      <c r="AJ106" s="482" t="e">
        <f>INDEX(Reference!$T$23:$AB$33,AB106,AD106)</f>
        <v>#VALUE!</v>
      </c>
      <c r="AK106" s="482" t="e">
        <f>INDEX(Reference!$T$23:$AB$33,AB106,AE106)</f>
        <v>#VALUE!</v>
      </c>
      <c r="AL106" s="482" t="e">
        <f>INDEX(Reference!$T$23:$AB$33,AC106,AD106)</f>
        <v>#VALUE!</v>
      </c>
      <c r="AM106" s="482" t="e">
        <f>INDEX(Reference!$T$23:$AB$33,AC106,AE106)</f>
        <v>#VALUE!</v>
      </c>
      <c r="AN106" s="483" t="e">
        <f>INDEX(Reference!$S$7:$S$17,AB106,1)</f>
        <v>#VALUE!</v>
      </c>
      <c r="AO106" s="483" t="e">
        <f>INDEX(Reference!$S$7:$S$17,AC106,1)</f>
        <v>#VALUE!</v>
      </c>
      <c r="AP106" s="484" t="e">
        <f>INDEX(Reference!$T$6:$AB$6,1,AD106)</f>
        <v>#VALUE!</v>
      </c>
      <c r="AQ106" s="484" t="e">
        <f>INDEX(Reference!$T$6:$AB$6,1,AE106)</f>
        <v>#VALUE!</v>
      </c>
      <c r="AR106" s="629" t="e">
        <f t="shared" si="30"/>
        <v>#VALUE!</v>
      </c>
      <c r="AS106" s="629" t="e">
        <f t="shared" si="31"/>
        <v>#VALUE!</v>
      </c>
      <c r="AT106" s="629" t="e">
        <f t="shared" si="32"/>
        <v>#VALUE!</v>
      </c>
      <c r="AU106" s="629" t="e">
        <f t="shared" si="33"/>
        <v>#VALUE!</v>
      </c>
      <c r="AV106" s="629" t="e">
        <f t="shared" si="34"/>
        <v>#VALUE!</v>
      </c>
      <c r="AW106" s="630" t="e">
        <f t="shared" si="35"/>
        <v>#VALUE!</v>
      </c>
      <c r="AZ106" s="489" t="str">
        <f t="shared" si="36"/>
        <v/>
      </c>
      <c r="BA106" s="631" t="e">
        <f t="shared" si="42"/>
        <v>#VALUE!</v>
      </c>
      <c r="BB106" s="491" t="e">
        <f t="shared" si="42"/>
        <v>#VALUE!</v>
      </c>
      <c r="BC106" s="491" t="e">
        <f t="shared" si="42"/>
        <v>#VALUE!</v>
      </c>
      <c r="BD106" s="491" t="e">
        <f t="shared" si="42"/>
        <v>#VALUE!</v>
      </c>
      <c r="BE106" s="491" t="e">
        <f t="shared" si="42"/>
        <v>#VALUE!</v>
      </c>
      <c r="BF106" s="491" t="e">
        <f t="shared" si="42"/>
        <v>#VALUE!</v>
      </c>
      <c r="BG106" s="491" t="e">
        <f t="shared" si="42"/>
        <v>#VALUE!</v>
      </c>
      <c r="BH106" s="491" t="e">
        <f t="shared" si="42"/>
        <v>#VALUE!</v>
      </c>
      <c r="BI106" s="491" t="e">
        <f t="shared" si="42"/>
        <v>#VALUE!</v>
      </c>
      <c r="BJ106" s="491" t="e">
        <f t="shared" si="42"/>
        <v>#VALUE!</v>
      </c>
      <c r="BK106" s="400">
        <f t="shared" si="37"/>
        <v>56</v>
      </c>
      <c r="BL106" s="491" t="e">
        <f t="shared" si="41"/>
        <v>#VALUE!</v>
      </c>
      <c r="BM106" s="491" t="e">
        <f t="shared" si="41"/>
        <v>#VALUE!</v>
      </c>
      <c r="BN106" s="491" t="e">
        <f t="shared" si="41"/>
        <v>#VALUE!</v>
      </c>
      <c r="BO106" s="491" t="e">
        <f t="shared" si="41"/>
        <v>#VALUE!</v>
      </c>
      <c r="BP106" s="622" t="e">
        <f t="shared" si="39"/>
        <v>#VALUE!</v>
      </c>
      <c r="BQ106" s="274" t="e">
        <f>IF(L106="","Column",IF(OR(C106&lt;MAX(ColSpa1,Geometry!$J$107),C106&gt;MAX(MAX(Geometry!$I$107:$I$116),MAX(Geometry!$J$107:$J$116))),MIN(6,INDEX($O$45:$O$48,MATCH(L106,$O$45:$O$48,1),1)),INDEX($O$45:$O$48,MATCH(L106,$O$45:$O$48,1),1)))</f>
        <v>#VALUE!</v>
      </c>
    </row>
    <row r="107" spans="1:69">
      <c r="A107" s="339"/>
      <c r="B107" s="96" t="e">
        <f>IF(MIN(ABS(C107-INDEX(Geometry!$Q$104:$Q$113,IF(ISERROR(MATCH(C107,Geometry!$Q$104:$Q$113,1)),1,MATCH(C107,Geometry!$Q$104:$Q$113,1)),1)),ABS(C107-INDEX(Geometry!$Q$104:$Q$113,IF(ISERROR(MAX(11-MATCH(C107,Geometry!$R$104:$R$113,-1),1)),1,MAX(11-MATCH(C107,Geometry!$R$104:$R$113,-1),1)),1)))&lt;(halfeffectiveface/12),"#","")</f>
        <v>#VALUE!</v>
      </c>
      <c r="C107" s="96" t="str">
        <f>'CAP18 Out(1)'!D65</f>
        <v/>
      </c>
      <c r="D107" s="184" t="str">
        <f>'CAP18 Out(1)'!M65</f>
        <v/>
      </c>
      <c r="E107" s="179" t="e">
        <f t="shared" si="13"/>
        <v>#VALUE!</v>
      </c>
      <c r="F107" s="87" t="e">
        <f t="shared" si="14"/>
        <v>#VALUE!</v>
      </c>
      <c r="G107" s="87" t="e">
        <f t="shared" si="15"/>
        <v>#VALUE!</v>
      </c>
      <c r="H107" s="185" t="e">
        <f t="shared" si="16"/>
        <v>#VALUE!</v>
      </c>
      <c r="I107" s="184" t="e">
        <f t="shared" si="17"/>
        <v>#VALUE!</v>
      </c>
      <c r="J107" s="184">
        <f t="shared" si="18"/>
        <v>0</v>
      </c>
      <c r="K107" s="184">
        <f t="shared" si="19"/>
        <v>0</v>
      </c>
      <c r="L107" s="296" t="e">
        <f t="shared" si="20"/>
        <v>#VALUE!</v>
      </c>
      <c r="M107" s="294" t="e">
        <f>IF(L107="Column","",IF(OR(C107&lt;MAX(ColSpa1,Geometry!$J$107),C107&gt;MAX(MAX(Geometry!$I$107:$I$116),MAX(Geometry!$J$107:$J$116))),"OH - 6''",""))</f>
        <v>#VALUE!</v>
      </c>
      <c r="N107" s="1053">
        <v>35.756581567653562</v>
      </c>
      <c r="O107" s="489">
        <f t="shared" si="21"/>
        <v>0</v>
      </c>
      <c r="P107" s="489">
        <f t="shared" si="22"/>
        <v>0</v>
      </c>
      <c r="Q107" s="400" t="e">
        <f>'CAP18 Out(1)'!I65</f>
        <v>#VALUE!</v>
      </c>
      <c r="R107" s="400" t="e">
        <f>'CAP18 Out(1)'!J65</f>
        <v>#VALUE!</v>
      </c>
      <c r="S107" s="400" t="e">
        <f>IF(E107=ABS(Q107),VLOOKUP('Bars B'!$F$10,BarTable,4,FALSE)/12,1.3*VLOOKUP('Bars A'!$F$10,BarTable,4,FALSE)/12)</f>
        <v>#VALUE!</v>
      </c>
      <c r="T107" s="626" t="e">
        <f t="shared" si="23"/>
        <v>#VALUE!</v>
      </c>
      <c r="U107" s="489" t="e">
        <f>IF(T107&gt;S107,IF(E107=ABS(R107),'Bars A'!$I$13,'Bars B'!$I$13),0.0000000001)</f>
        <v>#VALUE!</v>
      </c>
      <c r="V107" s="483" t="e">
        <f t="shared" si="24"/>
        <v>#VALUE!</v>
      </c>
      <c r="W107" s="627" t="e">
        <f t="shared" si="25"/>
        <v>#VALUE!</v>
      </c>
      <c r="X107" s="628" t="e">
        <f t="shared" si="26"/>
        <v>#VALUE!</v>
      </c>
      <c r="Y107" s="489" t="e">
        <f t="shared" si="27"/>
        <v>#VALUE!</v>
      </c>
      <c r="Z107" s="629" t="e">
        <f t="shared" si="28"/>
        <v>#VALUE!</v>
      </c>
      <c r="AA107" s="626" t="e">
        <f t="shared" si="29"/>
        <v>#VALUE!</v>
      </c>
      <c r="AB107" s="481" t="e">
        <f>MATCH(V107,Reference!$S$7:$S$17,1)</f>
        <v>#VALUE!</v>
      </c>
      <c r="AC107" s="1388" t="e">
        <f>12-MATCH(V107,Reference!$AD$6:$AD$16,-1)</f>
        <v>#VALUE!</v>
      </c>
      <c r="AD107" s="482" t="e">
        <f>MATCH(X107,Reference!$T$6:$AB$6,1)</f>
        <v>#VALUE!</v>
      </c>
      <c r="AE107" s="482" t="e">
        <f>10-MATCH(X107,Reference!$AD$18:$AL$18,-1)</f>
        <v>#VALUE!</v>
      </c>
      <c r="AF107" s="482" t="e">
        <f>INDEX(Reference!$T$7:$AB$17,AB107,AD107)</f>
        <v>#VALUE!</v>
      </c>
      <c r="AG107" s="482" t="e">
        <f>INDEX(Reference!$T$7:$AB$17,AB107,AE107)</f>
        <v>#VALUE!</v>
      </c>
      <c r="AH107" s="482" t="e">
        <f>INDEX(Reference!$T$7:$AB$17,AC107,AD107)</f>
        <v>#VALUE!</v>
      </c>
      <c r="AI107" s="482" t="e">
        <f>INDEX(Reference!$T$7:$AB$17,AC107,AE107)</f>
        <v>#VALUE!</v>
      </c>
      <c r="AJ107" s="482" t="e">
        <f>INDEX(Reference!$T$23:$AB$33,AB107,AD107)</f>
        <v>#VALUE!</v>
      </c>
      <c r="AK107" s="482" t="e">
        <f>INDEX(Reference!$T$23:$AB$33,AB107,AE107)</f>
        <v>#VALUE!</v>
      </c>
      <c r="AL107" s="482" t="e">
        <f>INDEX(Reference!$T$23:$AB$33,AC107,AD107)</f>
        <v>#VALUE!</v>
      </c>
      <c r="AM107" s="482" t="e">
        <f>INDEX(Reference!$T$23:$AB$33,AC107,AE107)</f>
        <v>#VALUE!</v>
      </c>
      <c r="AN107" s="483" t="e">
        <f>INDEX(Reference!$S$7:$S$17,AB107,1)</f>
        <v>#VALUE!</v>
      </c>
      <c r="AO107" s="483" t="e">
        <f>INDEX(Reference!$S$7:$S$17,AC107,1)</f>
        <v>#VALUE!</v>
      </c>
      <c r="AP107" s="484" t="e">
        <f>INDEX(Reference!$T$6:$AB$6,1,AD107)</f>
        <v>#VALUE!</v>
      </c>
      <c r="AQ107" s="484" t="e">
        <f>INDEX(Reference!$T$6:$AB$6,1,AE107)</f>
        <v>#VALUE!</v>
      </c>
      <c r="AR107" s="629" t="e">
        <f t="shared" si="30"/>
        <v>#VALUE!</v>
      </c>
      <c r="AS107" s="629" t="e">
        <f t="shared" si="31"/>
        <v>#VALUE!</v>
      </c>
      <c r="AT107" s="629" t="e">
        <f t="shared" si="32"/>
        <v>#VALUE!</v>
      </c>
      <c r="AU107" s="629" t="e">
        <f t="shared" si="33"/>
        <v>#VALUE!</v>
      </c>
      <c r="AV107" s="629" t="e">
        <f t="shared" si="34"/>
        <v>#VALUE!</v>
      </c>
      <c r="AW107" s="630" t="e">
        <f t="shared" si="35"/>
        <v>#VALUE!</v>
      </c>
      <c r="AZ107" s="489" t="str">
        <f t="shared" si="36"/>
        <v/>
      </c>
      <c r="BA107" s="631" t="e">
        <f t="shared" si="42"/>
        <v>#VALUE!</v>
      </c>
      <c r="BB107" s="491" t="e">
        <f t="shared" si="42"/>
        <v>#VALUE!</v>
      </c>
      <c r="BC107" s="491" t="e">
        <f t="shared" si="42"/>
        <v>#VALUE!</v>
      </c>
      <c r="BD107" s="491" t="e">
        <f t="shared" si="42"/>
        <v>#VALUE!</v>
      </c>
      <c r="BE107" s="491" t="e">
        <f t="shared" si="42"/>
        <v>#VALUE!</v>
      </c>
      <c r="BF107" s="491" t="e">
        <f t="shared" si="42"/>
        <v>#VALUE!</v>
      </c>
      <c r="BG107" s="491" t="e">
        <f t="shared" si="42"/>
        <v>#VALUE!</v>
      </c>
      <c r="BH107" s="491" t="e">
        <f t="shared" si="42"/>
        <v>#VALUE!</v>
      </c>
      <c r="BI107" s="491" t="e">
        <f t="shared" si="42"/>
        <v>#VALUE!</v>
      </c>
      <c r="BJ107" s="491" t="e">
        <f t="shared" si="42"/>
        <v>#VALUE!</v>
      </c>
      <c r="BK107" s="400">
        <f t="shared" si="37"/>
        <v>57</v>
      </c>
      <c r="BL107" s="491" t="e">
        <f t="shared" si="41"/>
        <v>#VALUE!</v>
      </c>
      <c r="BM107" s="491" t="e">
        <f t="shared" si="41"/>
        <v>#VALUE!</v>
      </c>
      <c r="BN107" s="491" t="e">
        <f t="shared" si="41"/>
        <v>#VALUE!</v>
      </c>
      <c r="BO107" s="491" t="e">
        <f t="shared" si="41"/>
        <v>#VALUE!</v>
      </c>
      <c r="BP107" s="622" t="e">
        <f t="shared" si="39"/>
        <v>#VALUE!</v>
      </c>
      <c r="BQ107" s="274" t="e">
        <f>IF(L107="","Column",IF(OR(C107&lt;MAX(ColSpa1,Geometry!$J$107),C107&gt;MAX(MAX(Geometry!$I$107:$I$116),MAX(Geometry!$J$107:$J$116))),MIN(6,INDEX($O$45:$O$48,MATCH(L107,$O$45:$O$48,1),1)),INDEX($O$45:$O$48,MATCH(L107,$O$45:$O$48,1),1)))</f>
        <v>#VALUE!</v>
      </c>
    </row>
    <row r="108" spans="1:69">
      <c r="A108" s="339"/>
      <c r="B108" s="96" t="e">
        <f>IF(MIN(ABS(C108-INDEX(Geometry!$Q$104:$Q$113,IF(ISERROR(MATCH(C108,Geometry!$Q$104:$Q$113,1)),1,MATCH(C108,Geometry!$Q$104:$Q$113,1)),1)),ABS(C108-INDEX(Geometry!$Q$104:$Q$113,IF(ISERROR(MAX(11-MATCH(C108,Geometry!$R$104:$R$113,-1),1)),1,MAX(11-MATCH(C108,Geometry!$R$104:$R$113,-1),1)),1)))&lt;(halfeffectiveface/12),"#","")</f>
        <v>#VALUE!</v>
      </c>
      <c r="C108" s="96" t="str">
        <f>'CAP18 Out(1)'!D66</f>
        <v/>
      </c>
      <c r="D108" s="184" t="str">
        <f>'CAP18 Out(1)'!M66</f>
        <v/>
      </c>
      <c r="E108" s="179" t="e">
        <f t="shared" si="13"/>
        <v>#VALUE!</v>
      </c>
      <c r="F108" s="87" t="e">
        <f t="shared" si="14"/>
        <v>#VALUE!</v>
      </c>
      <c r="G108" s="87" t="e">
        <f t="shared" si="15"/>
        <v>#VALUE!</v>
      </c>
      <c r="H108" s="185" t="e">
        <f t="shared" si="16"/>
        <v>#VALUE!</v>
      </c>
      <c r="I108" s="184" t="e">
        <f t="shared" si="17"/>
        <v>#VALUE!</v>
      </c>
      <c r="J108" s="184">
        <f t="shared" si="18"/>
        <v>0</v>
      </c>
      <c r="K108" s="184">
        <f t="shared" si="19"/>
        <v>0</v>
      </c>
      <c r="L108" s="296" t="e">
        <f t="shared" si="20"/>
        <v>#VALUE!</v>
      </c>
      <c r="M108" s="294" t="e">
        <f>IF(L108="Column","",IF(OR(C108&lt;MAX(ColSpa1,Geometry!$J$107),C108&gt;MAX(MAX(Geometry!$I$107:$I$116),MAX(Geometry!$J$107:$J$116))),"OH - 6''",""))</f>
        <v>#VALUE!</v>
      </c>
      <c r="N108" s="1053">
        <v>35.767201264248001</v>
      </c>
      <c r="O108" s="489">
        <f t="shared" si="21"/>
        <v>0</v>
      </c>
      <c r="P108" s="489">
        <f t="shared" si="22"/>
        <v>0</v>
      </c>
      <c r="Q108" s="400" t="e">
        <f>'CAP18 Out(1)'!I66</f>
        <v>#VALUE!</v>
      </c>
      <c r="R108" s="400" t="e">
        <f>'CAP18 Out(1)'!J66</f>
        <v>#VALUE!</v>
      </c>
      <c r="S108" s="400" t="e">
        <f>IF(E108=ABS(Q108),VLOOKUP('Bars B'!$F$10,BarTable,4,FALSE)/12,1.3*VLOOKUP('Bars A'!$F$10,BarTable,4,FALSE)/12)</f>
        <v>#VALUE!</v>
      </c>
      <c r="T108" s="626" t="e">
        <f t="shared" si="23"/>
        <v>#VALUE!</v>
      </c>
      <c r="U108" s="489" t="e">
        <f>IF(T108&gt;S108,IF(E108=ABS(R108),'Bars A'!$I$13,'Bars B'!$I$13),0.0000000001)</f>
        <v>#VALUE!</v>
      </c>
      <c r="V108" s="483" t="e">
        <f t="shared" si="24"/>
        <v>#VALUE!</v>
      </c>
      <c r="W108" s="627" t="e">
        <f t="shared" si="25"/>
        <v>#VALUE!</v>
      </c>
      <c r="X108" s="628" t="e">
        <f t="shared" si="26"/>
        <v>#VALUE!</v>
      </c>
      <c r="Y108" s="489" t="e">
        <f t="shared" si="27"/>
        <v>#VALUE!</v>
      </c>
      <c r="Z108" s="629" t="e">
        <f t="shared" si="28"/>
        <v>#VALUE!</v>
      </c>
      <c r="AA108" s="626" t="e">
        <f t="shared" si="29"/>
        <v>#VALUE!</v>
      </c>
      <c r="AB108" s="481" t="e">
        <f>MATCH(V108,Reference!$S$7:$S$17,1)</f>
        <v>#VALUE!</v>
      </c>
      <c r="AC108" s="1388" t="e">
        <f>12-MATCH(V108,Reference!$AD$6:$AD$16,-1)</f>
        <v>#VALUE!</v>
      </c>
      <c r="AD108" s="482" t="e">
        <f>MATCH(X108,Reference!$T$6:$AB$6,1)</f>
        <v>#VALUE!</v>
      </c>
      <c r="AE108" s="482" t="e">
        <f>10-MATCH(X108,Reference!$AD$18:$AL$18,-1)</f>
        <v>#VALUE!</v>
      </c>
      <c r="AF108" s="482" t="e">
        <f>INDEX(Reference!$T$7:$AB$17,AB108,AD108)</f>
        <v>#VALUE!</v>
      </c>
      <c r="AG108" s="482" t="e">
        <f>INDEX(Reference!$T$7:$AB$17,AB108,AE108)</f>
        <v>#VALUE!</v>
      </c>
      <c r="AH108" s="482" t="e">
        <f>INDEX(Reference!$T$7:$AB$17,AC108,AD108)</f>
        <v>#VALUE!</v>
      </c>
      <c r="AI108" s="482" t="e">
        <f>INDEX(Reference!$T$7:$AB$17,AC108,AE108)</f>
        <v>#VALUE!</v>
      </c>
      <c r="AJ108" s="482" t="e">
        <f>INDEX(Reference!$T$23:$AB$33,AB108,AD108)</f>
        <v>#VALUE!</v>
      </c>
      <c r="AK108" s="482" t="e">
        <f>INDEX(Reference!$T$23:$AB$33,AB108,AE108)</f>
        <v>#VALUE!</v>
      </c>
      <c r="AL108" s="482" t="e">
        <f>INDEX(Reference!$T$23:$AB$33,AC108,AD108)</f>
        <v>#VALUE!</v>
      </c>
      <c r="AM108" s="482" t="e">
        <f>INDEX(Reference!$T$23:$AB$33,AC108,AE108)</f>
        <v>#VALUE!</v>
      </c>
      <c r="AN108" s="483" t="e">
        <f>INDEX(Reference!$S$7:$S$17,AB108,1)</f>
        <v>#VALUE!</v>
      </c>
      <c r="AO108" s="483" t="e">
        <f>INDEX(Reference!$S$7:$S$17,AC108,1)</f>
        <v>#VALUE!</v>
      </c>
      <c r="AP108" s="484" t="e">
        <f>INDEX(Reference!$T$6:$AB$6,1,AD108)</f>
        <v>#VALUE!</v>
      </c>
      <c r="AQ108" s="484" t="e">
        <f>INDEX(Reference!$T$6:$AB$6,1,AE108)</f>
        <v>#VALUE!</v>
      </c>
      <c r="AR108" s="629" t="e">
        <f t="shared" si="30"/>
        <v>#VALUE!</v>
      </c>
      <c r="AS108" s="629" t="e">
        <f t="shared" si="31"/>
        <v>#VALUE!</v>
      </c>
      <c r="AT108" s="629" t="e">
        <f t="shared" si="32"/>
        <v>#VALUE!</v>
      </c>
      <c r="AU108" s="629" t="e">
        <f t="shared" si="33"/>
        <v>#VALUE!</v>
      </c>
      <c r="AV108" s="629" t="e">
        <f t="shared" si="34"/>
        <v>#VALUE!</v>
      </c>
      <c r="AW108" s="630" t="e">
        <f t="shared" si="35"/>
        <v>#VALUE!</v>
      </c>
      <c r="AZ108" s="489" t="str">
        <f t="shared" si="36"/>
        <v/>
      </c>
      <c r="BA108" s="631" t="e">
        <f t="shared" si="42"/>
        <v>#VALUE!</v>
      </c>
      <c r="BB108" s="491" t="e">
        <f t="shared" si="42"/>
        <v>#VALUE!</v>
      </c>
      <c r="BC108" s="491" t="e">
        <f t="shared" si="42"/>
        <v>#VALUE!</v>
      </c>
      <c r="BD108" s="491" t="e">
        <f t="shared" si="42"/>
        <v>#VALUE!</v>
      </c>
      <c r="BE108" s="491" t="e">
        <f t="shared" si="42"/>
        <v>#VALUE!</v>
      </c>
      <c r="BF108" s="491" t="e">
        <f t="shared" si="42"/>
        <v>#VALUE!</v>
      </c>
      <c r="BG108" s="491" t="e">
        <f t="shared" si="42"/>
        <v>#VALUE!</v>
      </c>
      <c r="BH108" s="491" t="e">
        <f t="shared" si="42"/>
        <v>#VALUE!</v>
      </c>
      <c r="BI108" s="491" t="e">
        <f t="shared" si="42"/>
        <v>#VALUE!</v>
      </c>
      <c r="BJ108" s="491" t="e">
        <f t="shared" si="42"/>
        <v>#VALUE!</v>
      </c>
      <c r="BK108" s="400">
        <f t="shared" si="37"/>
        <v>58</v>
      </c>
      <c r="BL108" s="491" t="e">
        <f t="shared" si="41"/>
        <v>#VALUE!</v>
      </c>
      <c r="BM108" s="491" t="e">
        <f t="shared" si="41"/>
        <v>#VALUE!</v>
      </c>
      <c r="BN108" s="491" t="e">
        <f t="shared" si="41"/>
        <v>#VALUE!</v>
      </c>
      <c r="BO108" s="491" t="e">
        <f t="shared" si="41"/>
        <v>#VALUE!</v>
      </c>
      <c r="BP108" s="622" t="e">
        <f t="shared" si="39"/>
        <v>#VALUE!</v>
      </c>
      <c r="BQ108" s="274" t="e">
        <f>IF(L108="","Column",IF(OR(C108&lt;MAX(ColSpa1,Geometry!$J$107),C108&gt;MAX(MAX(Geometry!$I$107:$I$116),MAX(Geometry!$J$107:$J$116))),MIN(6,INDEX($O$45:$O$48,MATCH(L108,$O$45:$O$48,1),1)),INDEX($O$45:$O$48,MATCH(L108,$O$45:$O$48,1),1)))</f>
        <v>#VALUE!</v>
      </c>
    </row>
    <row r="109" spans="1:69">
      <c r="A109" s="339"/>
      <c r="B109" s="96" t="e">
        <f>IF(MIN(ABS(C109-INDEX(Geometry!$Q$104:$Q$113,IF(ISERROR(MATCH(C109,Geometry!$Q$104:$Q$113,1)),1,MATCH(C109,Geometry!$Q$104:$Q$113,1)),1)),ABS(C109-INDEX(Geometry!$Q$104:$Q$113,IF(ISERROR(MAX(11-MATCH(C109,Geometry!$R$104:$R$113,-1),1)),1,MAX(11-MATCH(C109,Geometry!$R$104:$R$113,-1),1)),1)))&lt;(halfeffectiveface/12),"#","")</f>
        <v>#VALUE!</v>
      </c>
      <c r="C109" s="96" t="str">
        <f>'CAP18 Out(1)'!D67</f>
        <v/>
      </c>
      <c r="D109" s="184" t="str">
        <f>'CAP18 Out(1)'!M67</f>
        <v/>
      </c>
      <c r="E109" s="179" t="e">
        <f t="shared" si="13"/>
        <v>#VALUE!</v>
      </c>
      <c r="F109" s="87" t="e">
        <f t="shared" si="14"/>
        <v>#VALUE!</v>
      </c>
      <c r="G109" s="87" t="e">
        <f t="shared" si="15"/>
        <v>#VALUE!</v>
      </c>
      <c r="H109" s="185" t="e">
        <f t="shared" si="16"/>
        <v>#VALUE!</v>
      </c>
      <c r="I109" s="184" t="e">
        <f t="shared" si="17"/>
        <v>#VALUE!</v>
      </c>
      <c r="J109" s="184">
        <f t="shared" si="18"/>
        <v>0</v>
      </c>
      <c r="K109" s="184">
        <f t="shared" si="19"/>
        <v>0</v>
      </c>
      <c r="L109" s="296" t="e">
        <f t="shared" si="20"/>
        <v>#VALUE!</v>
      </c>
      <c r="M109" s="294" t="e">
        <f>IF(L109="Column","",IF(OR(C109&lt;MAX(ColSpa1,Geometry!$J$107),C109&gt;MAX(MAX(Geometry!$I$107:$I$116),MAX(Geometry!$J$107:$J$116))),"OH - 6''",""))</f>
        <v>#VALUE!</v>
      </c>
      <c r="N109" s="1053">
        <v>35.774156058672553</v>
      </c>
      <c r="O109" s="489">
        <f t="shared" si="21"/>
        <v>0</v>
      </c>
      <c r="P109" s="489">
        <f t="shared" si="22"/>
        <v>0</v>
      </c>
      <c r="Q109" s="400" t="e">
        <f>'CAP18 Out(1)'!I67</f>
        <v>#VALUE!</v>
      </c>
      <c r="R109" s="400" t="e">
        <f>'CAP18 Out(1)'!J67</f>
        <v>#VALUE!</v>
      </c>
      <c r="S109" s="400" t="e">
        <f>IF(E109=ABS(Q109),VLOOKUP('Bars B'!$F$10,BarTable,4,FALSE)/12,1.3*VLOOKUP('Bars A'!$F$10,BarTable,4,FALSE)/12)</f>
        <v>#VALUE!</v>
      </c>
      <c r="T109" s="626" t="e">
        <f t="shared" si="23"/>
        <v>#VALUE!</v>
      </c>
      <c r="U109" s="489" t="e">
        <f>IF(T109&gt;S109,IF(E109=ABS(R109),'Bars A'!$I$13,'Bars B'!$I$13),0.0000000001)</f>
        <v>#VALUE!</v>
      </c>
      <c r="V109" s="483" t="e">
        <f t="shared" si="24"/>
        <v>#VALUE!</v>
      </c>
      <c r="W109" s="627" t="e">
        <f t="shared" si="25"/>
        <v>#VALUE!</v>
      </c>
      <c r="X109" s="628" t="e">
        <f t="shared" si="26"/>
        <v>#VALUE!</v>
      </c>
      <c r="Y109" s="489" t="e">
        <f t="shared" si="27"/>
        <v>#VALUE!</v>
      </c>
      <c r="Z109" s="629" t="e">
        <f t="shared" si="28"/>
        <v>#VALUE!</v>
      </c>
      <c r="AA109" s="626" t="e">
        <f t="shared" si="29"/>
        <v>#VALUE!</v>
      </c>
      <c r="AB109" s="481" t="e">
        <f>MATCH(V109,Reference!$S$7:$S$17,1)</f>
        <v>#VALUE!</v>
      </c>
      <c r="AC109" s="1388" t="e">
        <f>12-MATCH(V109,Reference!$AD$6:$AD$16,-1)</f>
        <v>#VALUE!</v>
      </c>
      <c r="AD109" s="482" t="e">
        <f>MATCH(X109,Reference!$T$6:$AB$6,1)</f>
        <v>#VALUE!</v>
      </c>
      <c r="AE109" s="482" t="e">
        <f>10-MATCH(X109,Reference!$AD$18:$AL$18,-1)</f>
        <v>#VALUE!</v>
      </c>
      <c r="AF109" s="482" t="e">
        <f>INDEX(Reference!$T$7:$AB$17,AB109,AD109)</f>
        <v>#VALUE!</v>
      </c>
      <c r="AG109" s="482" t="e">
        <f>INDEX(Reference!$T$7:$AB$17,AB109,AE109)</f>
        <v>#VALUE!</v>
      </c>
      <c r="AH109" s="482" t="e">
        <f>INDEX(Reference!$T$7:$AB$17,AC109,AD109)</f>
        <v>#VALUE!</v>
      </c>
      <c r="AI109" s="482" t="e">
        <f>INDEX(Reference!$T$7:$AB$17,AC109,AE109)</f>
        <v>#VALUE!</v>
      </c>
      <c r="AJ109" s="482" t="e">
        <f>INDEX(Reference!$T$23:$AB$33,AB109,AD109)</f>
        <v>#VALUE!</v>
      </c>
      <c r="AK109" s="482" t="e">
        <f>INDEX(Reference!$T$23:$AB$33,AB109,AE109)</f>
        <v>#VALUE!</v>
      </c>
      <c r="AL109" s="482" t="e">
        <f>INDEX(Reference!$T$23:$AB$33,AC109,AD109)</f>
        <v>#VALUE!</v>
      </c>
      <c r="AM109" s="482" t="e">
        <f>INDEX(Reference!$T$23:$AB$33,AC109,AE109)</f>
        <v>#VALUE!</v>
      </c>
      <c r="AN109" s="483" t="e">
        <f>INDEX(Reference!$S$7:$S$17,AB109,1)</f>
        <v>#VALUE!</v>
      </c>
      <c r="AO109" s="483" t="e">
        <f>INDEX(Reference!$S$7:$S$17,AC109,1)</f>
        <v>#VALUE!</v>
      </c>
      <c r="AP109" s="484" t="e">
        <f>INDEX(Reference!$T$6:$AB$6,1,AD109)</f>
        <v>#VALUE!</v>
      </c>
      <c r="AQ109" s="484" t="e">
        <f>INDEX(Reference!$T$6:$AB$6,1,AE109)</f>
        <v>#VALUE!</v>
      </c>
      <c r="AR109" s="629" t="e">
        <f t="shared" si="30"/>
        <v>#VALUE!</v>
      </c>
      <c r="AS109" s="629" t="e">
        <f t="shared" si="31"/>
        <v>#VALUE!</v>
      </c>
      <c r="AT109" s="629" t="e">
        <f t="shared" si="32"/>
        <v>#VALUE!</v>
      </c>
      <c r="AU109" s="629" t="e">
        <f t="shared" si="33"/>
        <v>#VALUE!</v>
      </c>
      <c r="AV109" s="629" t="e">
        <f t="shared" si="34"/>
        <v>#VALUE!</v>
      </c>
      <c r="AW109" s="630" t="e">
        <f t="shared" si="35"/>
        <v>#VALUE!</v>
      </c>
      <c r="AZ109" s="489" t="str">
        <f t="shared" si="36"/>
        <v/>
      </c>
      <c r="BA109" s="631" t="e">
        <f t="shared" si="42"/>
        <v>#VALUE!</v>
      </c>
      <c r="BB109" s="491" t="e">
        <f t="shared" si="42"/>
        <v>#VALUE!</v>
      </c>
      <c r="BC109" s="491" t="e">
        <f t="shared" si="42"/>
        <v>#VALUE!</v>
      </c>
      <c r="BD109" s="491" t="e">
        <f t="shared" si="42"/>
        <v>#VALUE!</v>
      </c>
      <c r="BE109" s="491" t="e">
        <f t="shared" si="42"/>
        <v>#VALUE!</v>
      </c>
      <c r="BF109" s="491" t="e">
        <f t="shared" si="42"/>
        <v>#VALUE!</v>
      </c>
      <c r="BG109" s="491" t="e">
        <f t="shared" si="42"/>
        <v>#VALUE!</v>
      </c>
      <c r="BH109" s="491" t="e">
        <f t="shared" si="42"/>
        <v>#VALUE!</v>
      </c>
      <c r="BI109" s="491" t="e">
        <f t="shared" si="42"/>
        <v>#VALUE!</v>
      </c>
      <c r="BJ109" s="491" t="e">
        <f t="shared" si="42"/>
        <v>#VALUE!</v>
      </c>
      <c r="BK109" s="400">
        <f t="shared" si="37"/>
        <v>59</v>
      </c>
      <c r="BL109" s="491" t="e">
        <f t="shared" si="41"/>
        <v>#VALUE!</v>
      </c>
      <c r="BM109" s="491" t="e">
        <f t="shared" si="41"/>
        <v>#VALUE!</v>
      </c>
      <c r="BN109" s="491" t="e">
        <f t="shared" si="41"/>
        <v>#VALUE!</v>
      </c>
      <c r="BO109" s="491" t="e">
        <f t="shared" si="41"/>
        <v>#VALUE!</v>
      </c>
      <c r="BP109" s="622" t="e">
        <f t="shared" si="39"/>
        <v>#VALUE!</v>
      </c>
      <c r="BQ109" s="274" t="e">
        <f>IF(L109="","Column",IF(OR(C109&lt;MAX(ColSpa1,Geometry!$J$107),C109&gt;MAX(MAX(Geometry!$I$107:$I$116),MAX(Geometry!$J$107:$J$116))),MIN(6,INDEX($O$45:$O$48,MATCH(L109,$O$45:$O$48,1),1)),INDEX($O$45:$O$48,MATCH(L109,$O$45:$O$48,1),1)))</f>
        <v>#VALUE!</v>
      </c>
    </row>
    <row r="110" spans="1:69">
      <c r="A110" s="339"/>
      <c r="B110" s="96" t="e">
        <f>IF(MIN(ABS(C110-INDEX(Geometry!$Q$104:$Q$113,IF(ISERROR(MATCH(C110,Geometry!$Q$104:$Q$113,1)),1,MATCH(C110,Geometry!$Q$104:$Q$113,1)),1)),ABS(C110-INDEX(Geometry!$Q$104:$Q$113,IF(ISERROR(MAX(11-MATCH(C110,Geometry!$R$104:$R$113,-1),1)),1,MAX(11-MATCH(C110,Geometry!$R$104:$R$113,-1),1)),1)))&lt;(halfeffectiveface/12),"#","")</f>
        <v>#VALUE!</v>
      </c>
      <c r="C110" s="96" t="str">
        <f>'CAP18 Out(1)'!D68</f>
        <v/>
      </c>
      <c r="D110" s="184" t="str">
        <f>'CAP18 Out(1)'!M68</f>
        <v/>
      </c>
      <c r="E110" s="179" t="e">
        <f t="shared" si="13"/>
        <v>#VALUE!</v>
      </c>
      <c r="F110" s="87" t="e">
        <f t="shared" si="14"/>
        <v>#VALUE!</v>
      </c>
      <c r="G110" s="87" t="e">
        <f t="shared" si="15"/>
        <v>#VALUE!</v>
      </c>
      <c r="H110" s="185" t="e">
        <f t="shared" si="16"/>
        <v>#VALUE!</v>
      </c>
      <c r="I110" s="184" t="e">
        <f t="shared" si="17"/>
        <v>#VALUE!</v>
      </c>
      <c r="J110" s="184">
        <f t="shared" si="18"/>
        <v>0</v>
      </c>
      <c r="K110" s="184">
        <f t="shared" si="19"/>
        <v>0</v>
      </c>
      <c r="L110" s="296" t="e">
        <f t="shared" si="20"/>
        <v>#VALUE!</v>
      </c>
      <c r="M110" s="294" t="e">
        <f>IF(L110="Column","",IF(OR(C110&lt;MAX(ColSpa1,Geometry!$J$107),C110&gt;MAX(MAX(Geometry!$I$107:$I$116),MAX(Geometry!$J$107:$J$116))),"OH - 6''",""))</f>
        <v>#VALUE!</v>
      </c>
      <c r="N110" s="1053">
        <v>35.778261342474956</v>
      </c>
      <c r="O110" s="489">
        <f t="shared" si="21"/>
        <v>0</v>
      </c>
      <c r="P110" s="489">
        <f t="shared" si="22"/>
        <v>0</v>
      </c>
      <c r="Q110" s="400" t="e">
        <f>'CAP18 Out(1)'!I68</f>
        <v>#VALUE!</v>
      </c>
      <c r="R110" s="400" t="e">
        <f>'CAP18 Out(1)'!J68</f>
        <v>#VALUE!</v>
      </c>
      <c r="S110" s="400" t="e">
        <f>IF(E110=ABS(Q110),VLOOKUP('Bars B'!$F$10,BarTable,4,FALSE)/12,1.3*VLOOKUP('Bars A'!$F$10,BarTable,4,FALSE)/12)</f>
        <v>#VALUE!</v>
      </c>
      <c r="T110" s="626" t="e">
        <f t="shared" si="23"/>
        <v>#VALUE!</v>
      </c>
      <c r="U110" s="489" t="e">
        <f>IF(T110&gt;S110,IF(E110=ABS(R110),'Bars A'!$I$13,'Bars B'!$I$13),0.0000000001)</f>
        <v>#VALUE!</v>
      </c>
      <c r="V110" s="483" t="e">
        <f t="shared" si="24"/>
        <v>#VALUE!</v>
      </c>
      <c r="W110" s="627" t="e">
        <f t="shared" si="25"/>
        <v>#VALUE!</v>
      </c>
      <c r="X110" s="628" t="e">
        <f t="shared" si="26"/>
        <v>#VALUE!</v>
      </c>
      <c r="Y110" s="489" t="e">
        <f t="shared" si="27"/>
        <v>#VALUE!</v>
      </c>
      <c r="Z110" s="629" t="e">
        <f t="shared" si="28"/>
        <v>#VALUE!</v>
      </c>
      <c r="AA110" s="626" t="e">
        <f t="shared" si="29"/>
        <v>#VALUE!</v>
      </c>
      <c r="AB110" s="481" t="e">
        <f>MATCH(V110,Reference!$S$7:$S$17,1)</f>
        <v>#VALUE!</v>
      </c>
      <c r="AC110" s="1388" t="e">
        <f>12-MATCH(V110,Reference!$AD$6:$AD$16,-1)</f>
        <v>#VALUE!</v>
      </c>
      <c r="AD110" s="482" t="e">
        <f>MATCH(X110,Reference!$T$6:$AB$6,1)</f>
        <v>#VALUE!</v>
      </c>
      <c r="AE110" s="482" t="e">
        <f>10-MATCH(X110,Reference!$AD$18:$AL$18,-1)</f>
        <v>#VALUE!</v>
      </c>
      <c r="AF110" s="482" t="e">
        <f>INDEX(Reference!$T$7:$AB$17,AB110,AD110)</f>
        <v>#VALUE!</v>
      </c>
      <c r="AG110" s="482" t="e">
        <f>INDEX(Reference!$T$7:$AB$17,AB110,AE110)</f>
        <v>#VALUE!</v>
      </c>
      <c r="AH110" s="482" t="e">
        <f>INDEX(Reference!$T$7:$AB$17,AC110,AD110)</f>
        <v>#VALUE!</v>
      </c>
      <c r="AI110" s="482" t="e">
        <f>INDEX(Reference!$T$7:$AB$17,AC110,AE110)</f>
        <v>#VALUE!</v>
      </c>
      <c r="AJ110" s="482" t="e">
        <f>INDEX(Reference!$T$23:$AB$33,AB110,AD110)</f>
        <v>#VALUE!</v>
      </c>
      <c r="AK110" s="482" t="e">
        <f>INDEX(Reference!$T$23:$AB$33,AB110,AE110)</f>
        <v>#VALUE!</v>
      </c>
      <c r="AL110" s="482" t="e">
        <f>INDEX(Reference!$T$23:$AB$33,AC110,AD110)</f>
        <v>#VALUE!</v>
      </c>
      <c r="AM110" s="482" t="e">
        <f>INDEX(Reference!$T$23:$AB$33,AC110,AE110)</f>
        <v>#VALUE!</v>
      </c>
      <c r="AN110" s="483" t="e">
        <f>INDEX(Reference!$S$7:$S$17,AB110,1)</f>
        <v>#VALUE!</v>
      </c>
      <c r="AO110" s="483" t="e">
        <f>INDEX(Reference!$S$7:$S$17,AC110,1)</f>
        <v>#VALUE!</v>
      </c>
      <c r="AP110" s="484" t="e">
        <f>INDEX(Reference!$T$6:$AB$6,1,AD110)</f>
        <v>#VALUE!</v>
      </c>
      <c r="AQ110" s="484" t="e">
        <f>INDEX(Reference!$T$6:$AB$6,1,AE110)</f>
        <v>#VALUE!</v>
      </c>
      <c r="AR110" s="629" t="e">
        <f t="shared" si="30"/>
        <v>#VALUE!</v>
      </c>
      <c r="AS110" s="629" t="e">
        <f t="shared" si="31"/>
        <v>#VALUE!</v>
      </c>
      <c r="AT110" s="629" t="e">
        <f t="shared" si="32"/>
        <v>#VALUE!</v>
      </c>
      <c r="AU110" s="629" t="e">
        <f t="shared" si="33"/>
        <v>#VALUE!</v>
      </c>
      <c r="AV110" s="629" t="e">
        <f t="shared" si="34"/>
        <v>#VALUE!</v>
      </c>
      <c r="AW110" s="630" t="e">
        <f t="shared" si="35"/>
        <v>#VALUE!</v>
      </c>
      <c r="AZ110" s="489" t="str">
        <f t="shared" si="36"/>
        <v/>
      </c>
      <c r="BA110" s="631" t="e">
        <f t="shared" si="42"/>
        <v>#VALUE!</v>
      </c>
      <c r="BB110" s="491" t="e">
        <f t="shared" si="42"/>
        <v>#VALUE!</v>
      </c>
      <c r="BC110" s="491" t="e">
        <f t="shared" si="42"/>
        <v>#VALUE!</v>
      </c>
      <c r="BD110" s="491" t="e">
        <f t="shared" si="42"/>
        <v>#VALUE!</v>
      </c>
      <c r="BE110" s="491" t="e">
        <f t="shared" si="42"/>
        <v>#VALUE!</v>
      </c>
      <c r="BF110" s="491" t="e">
        <f t="shared" si="42"/>
        <v>#VALUE!</v>
      </c>
      <c r="BG110" s="491" t="e">
        <f t="shared" si="42"/>
        <v>#VALUE!</v>
      </c>
      <c r="BH110" s="491" t="e">
        <f t="shared" si="42"/>
        <v>#VALUE!</v>
      </c>
      <c r="BI110" s="491" t="e">
        <f t="shared" si="42"/>
        <v>#VALUE!</v>
      </c>
      <c r="BJ110" s="491" t="e">
        <f t="shared" si="42"/>
        <v>#VALUE!</v>
      </c>
      <c r="BK110" s="400">
        <f t="shared" si="37"/>
        <v>60</v>
      </c>
      <c r="BL110" s="491" t="e">
        <f t="shared" si="41"/>
        <v>#VALUE!</v>
      </c>
      <c r="BM110" s="491" t="e">
        <f t="shared" si="41"/>
        <v>#VALUE!</v>
      </c>
      <c r="BN110" s="491" t="e">
        <f t="shared" si="41"/>
        <v>#VALUE!</v>
      </c>
      <c r="BO110" s="491" t="e">
        <f t="shared" si="41"/>
        <v>#VALUE!</v>
      </c>
      <c r="BP110" s="622" t="e">
        <f t="shared" si="39"/>
        <v>#VALUE!</v>
      </c>
      <c r="BQ110" s="274" t="e">
        <f>IF(L110="","Column",IF(OR(C110&lt;MAX(ColSpa1,Geometry!$J$107),C110&gt;MAX(MAX(Geometry!$I$107:$I$116),MAX(Geometry!$J$107:$J$116))),MIN(6,INDEX($O$45:$O$48,MATCH(L110,$O$45:$O$48,1),1)),INDEX($O$45:$O$48,MATCH(L110,$O$45:$O$48,1),1)))</f>
        <v>#VALUE!</v>
      </c>
    </row>
    <row r="111" spans="1:69">
      <c r="A111" s="339"/>
      <c r="B111" s="96" t="e">
        <f>IF(MIN(ABS(C111-INDEX(Geometry!$Q$104:$Q$113,IF(ISERROR(MATCH(C111,Geometry!$Q$104:$Q$113,1)),1,MATCH(C111,Geometry!$Q$104:$Q$113,1)),1)),ABS(C111-INDEX(Geometry!$Q$104:$Q$113,IF(ISERROR(MAX(11-MATCH(C111,Geometry!$R$104:$R$113,-1),1)),1,MAX(11-MATCH(C111,Geometry!$R$104:$R$113,-1),1)),1)))&lt;(halfeffectiveface/12),"#","")</f>
        <v>#VALUE!</v>
      </c>
      <c r="C111" s="96" t="str">
        <f>'CAP18 Out(1)'!D69</f>
        <v/>
      </c>
      <c r="D111" s="184" t="str">
        <f>'CAP18 Out(1)'!M69</f>
        <v/>
      </c>
      <c r="E111" s="179" t="e">
        <f t="shared" si="13"/>
        <v>#VALUE!</v>
      </c>
      <c r="F111" s="87" t="e">
        <f t="shared" si="14"/>
        <v>#VALUE!</v>
      </c>
      <c r="G111" s="87" t="e">
        <f t="shared" si="15"/>
        <v>#VALUE!</v>
      </c>
      <c r="H111" s="185" t="e">
        <f t="shared" si="16"/>
        <v>#VALUE!</v>
      </c>
      <c r="I111" s="184" t="e">
        <f t="shared" si="17"/>
        <v>#VALUE!</v>
      </c>
      <c r="J111" s="184">
        <f t="shared" si="18"/>
        <v>0</v>
      </c>
      <c r="K111" s="184">
        <f t="shared" si="19"/>
        <v>0</v>
      </c>
      <c r="L111" s="296" t="e">
        <f t="shared" si="20"/>
        <v>#VALUE!</v>
      </c>
      <c r="M111" s="294" t="e">
        <f>IF(L111="Column","",IF(OR(C111&lt;MAX(ColSpa1,Geometry!$J$107),C111&gt;MAX(MAX(Geometry!$I$107:$I$116),MAX(Geometry!$J$107:$J$116))),"OH - 6''",""))</f>
        <v>#VALUE!</v>
      </c>
      <c r="N111" s="1053">
        <v>35.779349025191472</v>
      </c>
      <c r="O111" s="489">
        <f t="shared" si="21"/>
        <v>0</v>
      </c>
      <c r="P111" s="489">
        <f t="shared" si="22"/>
        <v>0</v>
      </c>
      <c r="Q111" s="400" t="e">
        <f>'CAP18 Out(1)'!I69</f>
        <v>#VALUE!</v>
      </c>
      <c r="R111" s="400" t="e">
        <f>'CAP18 Out(1)'!J69</f>
        <v>#VALUE!</v>
      </c>
      <c r="S111" s="400" t="e">
        <f>IF(E111=ABS(Q111),VLOOKUP('Bars B'!$F$10,BarTable,4,FALSE)/12,1.3*VLOOKUP('Bars A'!$F$10,BarTable,4,FALSE)/12)</f>
        <v>#VALUE!</v>
      </c>
      <c r="T111" s="626" t="e">
        <f t="shared" si="23"/>
        <v>#VALUE!</v>
      </c>
      <c r="U111" s="489" t="e">
        <f>IF(T111&gt;S111,IF(E111=ABS(R111),'Bars A'!$I$13,'Bars B'!$I$13),0.0000000001)</f>
        <v>#VALUE!</v>
      </c>
      <c r="V111" s="483" t="e">
        <f t="shared" si="24"/>
        <v>#VALUE!</v>
      </c>
      <c r="W111" s="627" t="e">
        <f t="shared" si="25"/>
        <v>#VALUE!</v>
      </c>
      <c r="X111" s="628" t="e">
        <f t="shared" si="26"/>
        <v>#VALUE!</v>
      </c>
      <c r="Y111" s="489" t="e">
        <f t="shared" si="27"/>
        <v>#VALUE!</v>
      </c>
      <c r="Z111" s="629" t="e">
        <f t="shared" si="28"/>
        <v>#VALUE!</v>
      </c>
      <c r="AA111" s="626" t="e">
        <f t="shared" si="29"/>
        <v>#VALUE!</v>
      </c>
      <c r="AB111" s="481" t="e">
        <f>MATCH(V111,Reference!$S$7:$S$17,1)</f>
        <v>#VALUE!</v>
      </c>
      <c r="AC111" s="1388" t="e">
        <f>12-MATCH(V111,Reference!$AD$6:$AD$16,-1)</f>
        <v>#VALUE!</v>
      </c>
      <c r="AD111" s="482" t="e">
        <f>MATCH(X111,Reference!$T$6:$AB$6,1)</f>
        <v>#VALUE!</v>
      </c>
      <c r="AE111" s="482" t="e">
        <f>10-MATCH(X111,Reference!$AD$18:$AL$18,-1)</f>
        <v>#VALUE!</v>
      </c>
      <c r="AF111" s="482" t="e">
        <f>INDEX(Reference!$T$7:$AB$17,AB111,AD111)</f>
        <v>#VALUE!</v>
      </c>
      <c r="AG111" s="482" t="e">
        <f>INDEX(Reference!$T$7:$AB$17,AB111,AE111)</f>
        <v>#VALUE!</v>
      </c>
      <c r="AH111" s="482" t="e">
        <f>INDEX(Reference!$T$7:$AB$17,AC111,AD111)</f>
        <v>#VALUE!</v>
      </c>
      <c r="AI111" s="482" t="e">
        <f>INDEX(Reference!$T$7:$AB$17,AC111,AE111)</f>
        <v>#VALUE!</v>
      </c>
      <c r="AJ111" s="482" t="e">
        <f>INDEX(Reference!$T$23:$AB$33,AB111,AD111)</f>
        <v>#VALUE!</v>
      </c>
      <c r="AK111" s="482" t="e">
        <f>INDEX(Reference!$T$23:$AB$33,AB111,AE111)</f>
        <v>#VALUE!</v>
      </c>
      <c r="AL111" s="482" t="e">
        <f>INDEX(Reference!$T$23:$AB$33,AC111,AD111)</f>
        <v>#VALUE!</v>
      </c>
      <c r="AM111" s="482" t="e">
        <f>INDEX(Reference!$T$23:$AB$33,AC111,AE111)</f>
        <v>#VALUE!</v>
      </c>
      <c r="AN111" s="483" t="e">
        <f>INDEX(Reference!$S$7:$S$17,AB111,1)</f>
        <v>#VALUE!</v>
      </c>
      <c r="AO111" s="483" t="e">
        <f>INDEX(Reference!$S$7:$S$17,AC111,1)</f>
        <v>#VALUE!</v>
      </c>
      <c r="AP111" s="484" t="e">
        <f>INDEX(Reference!$T$6:$AB$6,1,AD111)</f>
        <v>#VALUE!</v>
      </c>
      <c r="AQ111" s="484" t="e">
        <f>INDEX(Reference!$T$6:$AB$6,1,AE111)</f>
        <v>#VALUE!</v>
      </c>
      <c r="AR111" s="629" t="e">
        <f t="shared" si="30"/>
        <v>#VALUE!</v>
      </c>
      <c r="AS111" s="629" t="e">
        <f t="shared" si="31"/>
        <v>#VALUE!</v>
      </c>
      <c r="AT111" s="629" t="e">
        <f t="shared" si="32"/>
        <v>#VALUE!</v>
      </c>
      <c r="AU111" s="629" t="e">
        <f t="shared" si="33"/>
        <v>#VALUE!</v>
      </c>
      <c r="AV111" s="629" t="e">
        <f t="shared" si="34"/>
        <v>#VALUE!</v>
      </c>
      <c r="AW111" s="630" t="e">
        <f t="shared" si="35"/>
        <v>#VALUE!</v>
      </c>
      <c r="AZ111" s="489" t="str">
        <f t="shared" si="36"/>
        <v/>
      </c>
      <c r="BA111" s="631" t="e">
        <f t="shared" si="42"/>
        <v>#VALUE!</v>
      </c>
      <c r="BB111" s="491" t="e">
        <f t="shared" si="42"/>
        <v>#VALUE!</v>
      </c>
      <c r="BC111" s="491" t="e">
        <f t="shared" si="42"/>
        <v>#VALUE!</v>
      </c>
      <c r="BD111" s="491" t="e">
        <f t="shared" si="42"/>
        <v>#VALUE!</v>
      </c>
      <c r="BE111" s="491" t="e">
        <f t="shared" si="42"/>
        <v>#VALUE!</v>
      </c>
      <c r="BF111" s="491" t="e">
        <f t="shared" si="42"/>
        <v>#VALUE!</v>
      </c>
      <c r="BG111" s="491" t="e">
        <f t="shared" si="42"/>
        <v>#VALUE!</v>
      </c>
      <c r="BH111" s="491" t="e">
        <f t="shared" si="42"/>
        <v>#VALUE!</v>
      </c>
      <c r="BI111" s="491" t="e">
        <f t="shared" si="42"/>
        <v>#VALUE!</v>
      </c>
      <c r="BJ111" s="491" t="e">
        <f t="shared" si="42"/>
        <v>#VALUE!</v>
      </c>
      <c r="BK111" s="400">
        <f t="shared" si="37"/>
        <v>61</v>
      </c>
      <c r="BL111" s="491" t="e">
        <f t="shared" si="41"/>
        <v>#VALUE!</v>
      </c>
      <c r="BM111" s="491" t="e">
        <f t="shared" si="41"/>
        <v>#VALUE!</v>
      </c>
      <c r="BN111" s="491" t="e">
        <f t="shared" si="41"/>
        <v>#VALUE!</v>
      </c>
      <c r="BO111" s="491" t="e">
        <f t="shared" si="41"/>
        <v>#VALUE!</v>
      </c>
      <c r="BP111" s="622" t="e">
        <f t="shared" si="39"/>
        <v>#VALUE!</v>
      </c>
      <c r="BQ111" s="274" t="e">
        <f>IF(L111="","Column",IF(OR(C111&lt;MAX(ColSpa1,Geometry!$J$107),C111&gt;MAX(MAX(Geometry!$I$107:$I$116),MAX(Geometry!$J$107:$J$116))),MIN(6,INDEX($O$45:$O$48,MATCH(L111,$O$45:$O$48,1),1)),INDEX($O$45:$O$48,MATCH(L111,$O$45:$O$48,1),1)))</f>
        <v>#VALUE!</v>
      </c>
    </row>
    <row r="112" spans="1:69">
      <c r="A112" s="339"/>
      <c r="B112" s="96" t="e">
        <f>IF(MIN(ABS(C112-INDEX(Geometry!$Q$104:$Q$113,IF(ISERROR(MATCH(C112,Geometry!$Q$104:$Q$113,1)),1,MATCH(C112,Geometry!$Q$104:$Q$113,1)),1)),ABS(C112-INDEX(Geometry!$Q$104:$Q$113,IF(ISERROR(MAX(11-MATCH(C112,Geometry!$R$104:$R$113,-1),1)),1,MAX(11-MATCH(C112,Geometry!$R$104:$R$113,-1),1)),1)))&lt;(halfeffectiveface/12),"#","")</f>
        <v>#VALUE!</v>
      </c>
      <c r="C112" s="96" t="str">
        <f>'CAP18 Out(1)'!D70</f>
        <v/>
      </c>
      <c r="D112" s="184" t="str">
        <f>'CAP18 Out(1)'!M70</f>
        <v/>
      </c>
      <c r="E112" s="179" t="e">
        <f t="shared" si="13"/>
        <v>#VALUE!</v>
      </c>
      <c r="F112" s="87" t="e">
        <f t="shared" si="14"/>
        <v>#VALUE!</v>
      </c>
      <c r="G112" s="87" t="e">
        <f t="shared" si="15"/>
        <v>#VALUE!</v>
      </c>
      <c r="H112" s="185" t="e">
        <f t="shared" si="16"/>
        <v>#VALUE!</v>
      </c>
      <c r="I112" s="184" t="e">
        <f t="shared" si="17"/>
        <v>#VALUE!</v>
      </c>
      <c r="J112" s="184">
        <f t="shared" si="18"/>
        <v>0</v>
      </c>
      <c r="K112" s="184">
        <f t="shared" si="19"/>
        <v>0</v>
      </c>
      <c r="L112" s="296" t="e">
        <f t="shared" si="20"/>
        <v>#VALUE!</v>
      </c>
      <c r="M112" s="294" t="e">
        <f>IF(L112="Column","",IF(OR(C112&lt;MAX(ColSpa1,Geometry!$J$107),C112&gt;MAX(MAX(Geometry!$I$107:$I$116),MAX(Geometry!$J$107:$J$116))),"OH - 6''",""))</f>
        <v>#VALUE!</v>
      </c>
      <c r="N112" s="1053">
        <v>35.777661189294392</v>
      </c>
      <c r="O112" s="489">
        <f t="shared" si="21"/>
        <v>0</v>
      </c>
      <c r="P112" s="489">
        <f t="shared" si="22"/>
        <v>0</v>
      </c>
      <c r="Q112" s="400" t="e">
        <f>'CAP18 Out(1)'!I70</f>
        <v>#VALUE!</v>
      </c>
      <c r="R112" s="400" t="e">
        <f>'CAP18 Out(1)'!J70</f>
        <v>#VALUE!</v>
      </c>
      <c r="S112" s="400" t="e">
        <f>IF(E112=ABS(Q112),VLOOKUP('Bars B'!$F$10,BarTable,4,FALSE)/12,1.3*VLOOKUP('Bars A'!$F$10,BarTable,4,FALSE)/12)</f>
        <v>#VALUE!</v>
      </c>
      <c r="T112" s="626" t="e">
        <f t="shared" si="23"/>
        <v>#VALUE!</v>
      </c>
      <c r="U112" s="489" t="e">
        <f>IF(T112&gt;S112,IF(E112=ABS(R112),'Bars A'!$I$13,'Bars B'!$I$13),0.0000000001)</f>
        <v>#VALUE!</v>
      </c>
      <c r="V112" s="483" t="e">
        <f t="shared" si="24"/>
        <v>#VALUE!</v>
      </c>
      <c r="W112" s="627" t="e">
        <f t="shared" si="25"/>
        <v>#VALUE!</v>
      </c>
      <c r="X112" s="628" t="e">
        <f t="shared" si="26"/>
        <v>#VALUE!</v>
      </c>
      <c r="Y112" s="489" t="e">
        <f t="shared" si="27"/>
        <v>#VALUE!</v>
      </c>
      <c r="Z112" s="629" t="e">
        <f t="shared" si="28"/>
        <v>#VALUE!</v>
      </c>
      <c r="AA112" s="626" t="e">
        <f t="shared" si="29"/>
        <v>#VALUE!</v>
      </c>
      <c r="AB112" s="481" t="e">
        <f>MATCH(V112,Reference!$S$7:$S$17,1)</f>
        <v>#VALUE!</v>
      </c>
      <c r="AC112" s="1388" t="e">
        <f>12-MATCH(V112,Reference!$AD$6:$AD$16,-1)</f>
        <v>#VALUE!</v>
      </c>
      <c r="AD112" s="482" t="e">
        <f>MATCH(X112,Reference!$T$6:$AB$6,1)</f>
        <v>#VALUE!</v>
      </c>
      <c r="AE112" s="482" t="e">
        <f>10-MATCH(X112,Reference!$AD$18:$AL$18,-1)</f>
        <v>#VALUE!</v>
      </c>
      <c r="AF112" s="482" t="e">
        <f>INDEX(Reference!$T$7:$AB$17,AB112,AD112)</f>
        <v>#VALUE!</v>
      </c>
      <c r="AG112" s="482" t="e">
        <f>INDEX(Reference!$T$7:$AB$17,AB112,AE112)</f>
        <v>#VALUE!</v>
      </c>
      <c r="AH112" s="482" t="e">
        <f>INDEX(Reference!$T$7:$AB$17,AC112,AD112)</f>
        <v>#VALUE!</v>
      </c>
      <c r="AI112" s="482" t="e">
        <f>INDEX(Reference!$T$7:$AB$17,AC112,AE112)</f>
        <v>#VALUE!</v>
      </c>
      <c r="AJ112" s="482" t="e">
        <f>INDEX(Reference!$T$23:$AB$33,AB112,AD112)</f>
        <v>#VALUE!</v>
      </c>
      <c r="AK112" s="482" t="e">
        <f>INDEX(Reference!$T$23:$AB$33,AB112,AE112)</f>
        <v>#VALUE!</v>
      </c>
      <c r="AL112" s="482" t="e">
        <f>INDEX(Reference!$T$23:$AB$33,AC112,AD112)</f>
        <v>#VALUE!</v>
      </c>
      <c r="AM112" s="482" t="e">
        <f>INDEX(Reference!$T$23:$AB$33,AC112,AE112)</f>
        <v>#VALUE!</v>
      </c>
      <c r="AN112" s="483" t="e">
        <f>INDEX(Reference!$S$7:$S$17,AB112,1)</f>
        <v>#VALUE!</v>
      </c>
      <c r="AO112" s="483" t="e">
        <f>INDEX(Reference!$S$7:$S$17,AC112,1)</f>
        <v>#VALUE!</v>
      </c>
      <c r="AP112" s="484" t="e">
        <f>INDEX(Reference!$T$6:$AB$6,1,AD112)</f>
        <v>#VALUE!</v>
      </c>
      <c r="AQ112" s="484" t="e">
        <f>INDEX(Reference!$T$6:$AB$6,1,AE112)</f>
        <v>#VALUE!</v>
      </c>
      <c r="AR112" s="629" t="e">
        <f t="shared" si="30"/>
        <v>#VALUE!</v>
      </c>
      <c r="AS112" s="629" t="e">
        <f t="shared" si="31"/>
        <v>#VALUE!</v>
      </c>
      <c r="AT112" s="629" t="e">
        <f t="shared" si="32"/>
        <v>#VALUE!</v>
      </c>
      <c r="AU112" s="629" t="e">
        <f t="shared" si="33"/>
        <v>#VALUE!</v>
      </c>
      <c r="AV112" s="629" t="e">
        <f t="shared" si="34"/>
        <v>#VALUE!</v>
      </c>
      <c r="AW112" s="630" t="e">
        <f t="shared" si="35"/>
        <v>#VALUE!</v>
      </c>
      <c r="AZ112" s="489" t="str">
        <f t="shared" si="36"/>
        <v/>
      </c>
      <c r="BA112" s="631" t="e">
        <f t="shared" si="42"/>
        <v>#VALUE!</v>
      </c>
      <c r="BB112" s="491" t="e">
        <f t="shared" si="42"/>
        <v>#VALUE!</v>
      </c>
      <c r="BC112" s="491" t="e">
        <f t="shared" si="42"/>
        <v>#VALUE!</v>
      </c>
      <c r="BD112" s="491" t="e">
        <f t="shared" si="42"/>
        <v>#VALUE!</v>
      </c>
      <c r="BE112" s="491" t="e">
        <f t="shared" si="42"/>
        <v>#VALUE!</v>
      </c>
      <c r="BF112" s="491" t="e">
        <f t="shared" si="42"/>
        <v>#VALUE!</v>
      </c>
      <c r="BG112" s="491" t="e">
        <f t="shared" si="42"/>
        <v>#VALUE!</v>
      </c>
      <c r="BH112" s="491" t="e">
        <f t="shared" si="42"/>
        <v>#VALUE!</v>
      </c>
      <c r="BI112" s="491" t="e">
        <f t="shared" si="42"/>
        <v>#VALUE!</v>
      </c>
      <c r="BJ112" s="491" t="e">
        <f t="shared" si="42"/>
        <v>#VALUE!</v>
      </c>
      <c r="BK112" s="400">
        <f t="shared" si="37"/>
        <v>62</v>
      </c>
      <c r="BL112" s="491" t="e">
        <f t="shared" si="41"/>
        <v>#VALUE!</v>
      </c>
      <c r="BM112" s="491" t="e">
        <f t="shared" si="41"/>
        <v>#VALUE!</v>
      </c>
      <c r="BN112" s="491" t="e">
        <f t="shared" si="41"/>
        <v>#VALUE!</v>
      </c>
      <c r="BO112" s="491" t="e">
        <f t="shared" si="41"/>
        <v>#VALUE!</v>
      </c>
      <c r="BP112" s="622" t="e">
        <f t="shared" si="39"/>
        <v>#VALUE!</v>
      </c>
      <c r="BQ112" s="274" t="e">
        <f>IF(L112="","Column",IF(OR(C112&lt;MAX(ColSpa1,Geometry!$J$107),C112&gt;MAX(MAX(Geometry!$I$107:$I$116),MAX(Geometry!$J$107:$J$116))),MIN(6,INDEX($O$45:$O$48,MATCH(L112,$O$45:$O$48,1),1)),INDEX($O$45:$O$48,MATCH(L112,$O$45:$O$48,1),1)))</f>
        <v>#VALUE!</v>
      </c>
    </row>
    <row r="113" spans="1:69">
      <c r="A113" s="339"/>
      <c r="B113" s="96" t="e">
        <f>IF(MIN(ABS(C113-INDEX(Geometry!$Q$104:$Q$113,IF(ISERROR(MATCH(C113,Geometry!$Q$104:$Q$113,1)),1,MATCH(C113,Geometry!$Q$104:$Q$113,1)),1)),ABS(C113-INDEX(Geometry!$Q$104:$Q$113,IF(ISERROR(MAX(11-MATCH(C113,Geometry!$R$104:$R$113,-1),1)),1,MAX(11-MATCH(C113,Geometry!$R$104:$R$113,-1),1)),1)))&lt;(halfeffectiveface/12),"#","")</f>
        <v>#VALUE!</v>
      </c>
      <c r="C113" s="96" t="str">
        <f>'CAP18 Out(1)'!D71</f>
        <v/>
      </c>
      <c r="D113" s="184" t="str">
        <f>'CAP18 Out(1)'!M71</f>
        <v/>
      </c>
      <c r="E113" s="179" t="e">
        <f t="shared" si="13"/>
        <v>#VALUE!</v>
      </c>
      <c r="F113" s="87" t="e">
        <f t="shared" si="14"/>
        <v>#VALUE!</v>
      </c>
      <c r="G113" s="87" t="e">
        <f t="shared" si="15"/>
        <v>#VALUE!</v>
      </c>
      <c r="H113" s="185" t="e">
        <f t="shared" si="16"/>
        <v>#VALUE!</v>
      </c>
      <c r="I113" s="184" t="e">
        <f t="shared" si="17"/>
        <v>#VALUE!</v>
      </c>
      <c r="J113" s="184">
        <f t="shared" si="18"/>
        <v>0</v>
      </c>
      <c r="K113" s="184">
        <f t="shared" si="19"/>
        <v>0</v>
      </c>
      <c r="L113" s="296" t="e">
        <f t="shared" si="20"/>
        <v>#VALUE!</v>
      </c>
      <c r="M113" s="294" t="e">
        <f>IF(L113="Column","",IF(OR(C113&lt;MAX(ColSpa1,Geometry!$J$107),C113&gt;MAX(MAX(Geometry!$I$107:$I$116),MAX(Geometry!$J$107:$J$116))),"OH - 6''",""))</f>
        <v>#VALUE!</v>
      </c>
      <c r="N113" s="1053">
        <v>35.772874774986718</v>
      </c>
      <c r="O113" s="489">
        <f t="shared" si="21"/>
        <v>0</v>
      </c>
      <c r="P113" s="489">
        <f t="shared" si="22"/>
        <v>0</v>
      </c>
      <c r="Q113" s="400" t="e">
        <f>'CAP18 Out(1)'!I71</f>
        <v>#VALUE!</v>
      </c>
      <c r="R113" s="400" t="e">
        <f>'CAP18 Out(1)'!J71</f>
        <v>#VALUE!</v>
      </c>
      <c r="S113" s="400" t="e">
        <f>IF(E113=ABS(Q113),VLOOKUP('Bars B'!$F$10,BarTable,4,FALSE)/12,1.3*VLOOKUP('Bars A'!$F$10,BarTable,4,FALSE)/12)</f>
        <v>#VALUE!</v>
      </c>
      <c r="T113" s="626" t="e">
        <f t="shared" si="23"/>
        <v>#VALUE!</v>
      </c>
      <c r="U113" s="489" t="e">
        <f>IF(T113&gt;S113,IF(E113=ABS(R113),'Bars A'!$I$13,'Bars B'!$I$13),0.0000000001)</f>
        <v>#VALUE!</v>
      </c>
      <c r="V113" s="483" t="e">
        <f t="shared" si="24"/>
        <v>#VALUE!</v>
      </c>
      <c r="W113" s="627" t="e">
        <f t="shared" si="25"/>
        <v>#VALUE!</v>
      </c>
      <c r="X113" s="628" t="e">
        <f t="shared" si="26"/>
        <v>#VALUE!</v>
      </c>
      <c r="Y113" s="489" t="e">
        <f t="shared" si="27"/>
        <v>#VALUE!</v>
      </c>
      <c r="Z113" s="629" t="e">
        <f t="shared" si="28"/>
        <v>#VALUE!</v>
      </c>
      <c r="AA113" s="626" t="e">
        <f t="shared" si="29"/>
        <v>#VALUE!</v>
      </c>
      <c r="AB113" s="481" t="e">
        <f>MATCH(V113,Reference!$S$7:$S$17,1)</f>
        <v>#VALUE!</v>
      </c>
      <c r="AC113" s="1388" t="e">
        <f>12-MATCH(V113,Reference!$AD$6:$AD$16,-1)</f>
        <v>#VALUE!</v>
      </c>
      <c r="AD113" s="482" t="e">
        <f>MATCH(X113,Reference!$T$6:$AB$6,1)</f>
        <v>#VALUE!</v>
      </c>
      <c r="AE113" s="482" t="e">
        <f>10-MATCH(X113,Reference!$AD$18:$AL$18,-1)</f>
        <v>#VALUE!</v>
      </c>
      <c r="AF113" s="482" t="e">
        <f>INDEX(Reference!$T$7:$AB$17,AB113,AD113)</f>
        <v>#VALUE!</v>
      </c>
      <c r="AG113" s="482" t="e">
        <f>INDEX(Reference!$T$7:$AB$17,AB113,AE113)</f>
        <v>#VALUE!</v>
      </c>
      <c r="AH113" s="482" t="e">
        <f>INDEX(Reference!$T$7:$AB$17,AC113,AD113)</f>
        <v>#VALUE!</v>
      </c>
      <c r="AI113" s="482" t="e">
        <f>INDEX(Reference!$T$7:$AB$17,AC113,AE113)</f>
        <v>#VALUE!</v>
      </c>
      <c r="AJ113" s="482" t="e">
        <f>INDEX(Reference!$T$23:$AB$33,AB113,AD113)</f>
        <v>#VALUE!</v>
      </c>
      <c r="AK113" s="482" t="e">
        <f>INDEX(Reference!$T$23:$AB$33,AB113,AE113)</f>
        <v>#VALUE!</v>
      </c>
      <c r="AL113" s="482" t="e">
        <f>INDEX(Reference!$T$23:$AB$33,AC113,AD113)</f>
        <v>#VALUE!</v>
      </c>
      <c r="AM113" s="482" t="e">
        <f>INDEX(Reference!$T$23:$AB$33,AC113,AE113)</f>
        <v>#VALUE!</v>
      </c>
      <c r="AN113" s="483" t="e">
        <f>INDEX(Reference!$S$7:$S$17,AB113,1)</f>
        <v>#VALUE!</v>
      </c>
      <c r="AO113" s="483" t="e">
        <f>INDEX(Reference!$S$7:$S$17,AC113,1)</f>
        <v>#VALUE!</v>
      </c>
      <c r="AP113" s="484" t="e">
        <f>INDEX(Reference!$T$6:$AB$6,1,AD113)</f>
        <v>#VALUE!</v>
      </c>
      <c r="AQ113" s="484" t="e">
        <f>INDEX(Reference!$T$6:$AB$6,1,AE113)</f>
        <v>#VALUE!</v>
      </c>
      <c r="AR113" s="629" t="e">
        <f t="shared" si="30"/>
        <v>#VALUE!</v>
      </c>
      <c r="AS113" s="629" t="e">
        <f t="shared" si="31"/>
        <v>#VALUE!</v>
      </c>
      <c r="AT113" s="629" t="e">
        <f t="shared" si="32"/>
        <v>#VALUE!</v>
      </c>
      <c r="AU113" s="629" t="e">
        <f t="shared" si="33"/>
        <v>#VALUE!</v>
      </c>
      <c r="AV113" s="629" t="e">
        <f t="shared" si="34"/>
        <v>#VALUE!</v>
      </c>
      <c r="AW113" s="630" t="e">
        <f t="shared" si="35"/>
        <v>#VALUE!</v>
      </c>
      <c r="AZ113" s="489" t="str">
        <f t="shared" si="36"/>
        <v/>
      </c>
      <c r="BA113" s="631" t="e">
        <f t="shared" si="42"/>
        <v>#VALUE!</v>
      </c>
      <c r="BB113" s="491" t="e">
        <f t="shared" si="42"/>
        <v>#VALUE!</v>
      </c>
      <c r="BC113" s="491" t="e">
        <f t="shared" si="42"/>
        <v>#VALUE!</v>
      </c>
      <c r="BD113" s="491" t="e">
        <f t="shared" si="42"/>
        <v>#VALUE!</v>
      </c>
      <c r="BE113" s="491" t="e">
        <f t="shared" si="42"/>
        <v>#VALUE!</v>
      </c>
      <c r="BF113" s="491" t="e">
        <f t="shared" si="42"/>
        <v>#VALUE!</v>
      </c>
      <c r="BG113" s="491" t="e">
        <f t="shared" si="42"/>
        <v>#VALUE!</v>
      </c>
      <c r="BH113" s="491" t="e">
        <f t="shared" si="42"/>
        <v>#VALUE!</v>
      </c>
      <c r="BI113" s="491" t="e">
        <f t="shared" si="42"/>
        <v>#VALUE!</v>
      </c>
      <c r="BJ113" s="491" t="e">
        <f t="shared" si="42"/>
        <v>#VALUE!</v>
      </c>
      <c r="BK113" s="400">
        <f t="shared" si="37"/>
        <v>63</v>
      </c>
      <c r="BL113" s="491" t="e">
        <f t="shared" si="41"/>
        <v>#VALUE!</v>
      </c>
      <c r="BM113" s="491" t="e">
        <f t="shared" si="41"/>
        <v>#VALUE!</v>
      </c>
      <c r="BN113" s="491" t="e">
        <f t="shared" si="41"/>
        <v>#VALUE!</v>
      </c>
      <c r="BO113" s="491" t="e">
        <f t="shared" si="41"/>
        <v>#VALUE!</v>
      </c>
      <c r="BP113" s="622" t="e">
        <f t="shared" si="39"/>
        <v>#VALUE!</v>
      </c>
      <c r="BQ113" s="274" t="e">
        <f>IF(L113="","Column",IF(OR(C113&lt;MAX(ColSpa1,Geometry!$J$107),C113&gt;MAX(MAX(Geometry!$I$107:$I$116),MAX(Geometry!$J$107:$J$116))),MIN(6,INDEX($O$45:$O$48,MATCH(L113,$O$45:$O$48,1),1)),INDEX($O$45:$O$48,MATCH(L113,$O$45:$O$48,1),1)))</f>
        <v>#VALUE!</v>
      </c>
    </row>
    <row r="114" spans="1:69">
      <c r="A114" s="339"/>
      <c r="B114" s="96" t="e">
        <f>IF(MIN(ABS(C114-INDEX(Geometry!$Q$104:$Q$113,IF(ISERROR(MATCH(C114,Geometry!$Q$104:$Q$113,1)),1,MATCH(C114,Geometry!$Q$104:$Q$113,1)),1)),ABS(C114-INDEX(Geometry!$Q$104:$Q$113,IF(ISERROR(MAX(11-MATCH(C114,Geometry!$R$104:$R$113,-1),1)),1,MAX(11-MATCH(C114,Geometry!$R$104:$R$113,-1),1)),1)))&lt;(halfeffectiveface/12),"#","")</f>
        <v>#VALUE!</v>
      </c>
      <c r="C114" s="96" t="str">
        <f>'CAP18 Out(1)'!D72</f>
        <v/>
      </c>
      <c r="D114" s="184" t="str">
        <f>'CAP18 Out(1)'!M72</f>
        <v/>
      </c>
      <c r="E114" s="179" t="e">
        <f t="shared" si="13"/>
        <v>#VALUE!</v>
      </c>
      <c r="F114" s="87" t="e">
        <f t="shared" si="14"/>
        <v>#VALUE!</v>
      </c>
      <c r="G114" s="87" t="e">
        <f t="shared" si="15"/>
        <v>#VALUE!</v>
      </c>
      <c r="H114" s="185" t="e">
        <f t="shared" si="16"/>
        <v>#VALUE!</v>
      </c>
      <c r="I114" s="184" t="e">
        <f t="shared" si="17"/>
        <v>#VALUE!</v>
      </c>
      <c r="J114" s="184">
        <f t="shared" si="18"/>
        <v>0</v>
      </c>
      <c r="K114" s="184">
        <f t="shared" si="19"/>
        <v>0</v>
      </c>
      <c r="L114" s="296" t="e">
        <f t="shared" si="20"/>
        <v>#VALUE!</v>
      </c>
      <c r="M114" s="294" t="e">
        <f>IF(L114="Column","",IF(OR(C114&lt;MAX(ColSpa1,Geometry!$J$107),C114&gt;MAX(MAX(Geometry!$I$107:$I$116),MAX(Geometry!$J$107:$J$116))),"OH - 6''",""))</f>
        <v>#VALUE!</v>
      </c>
      <c r="N114" s="1053">
        <v>36.4</v>
      </c>
      <c r="O114" s="489">
        <f t="shared" si="21"/>
        <v>0</v>
      </c>
      <c r="P114" s="489">
        <f t="shared" si="22"/>
        <v>0</v>
      </c>
      <c r="Q114" s="400" t="e">
        <f>'CAP18 Out(1)'!I72</f>
        <v>#VALUE!</v>
      </c>
      <c r="R114" s="400" t="e">
        <f>'CAP18 Out(1)'!J72</f>
        <v>#VALUE!</v>
      </c>
      <c r="S114" s="400" t="e">
        <f>IF(E114=ABS(Q114),VLOOKUP('Bars B'!$F$10,BarTable,4,FALSE)/12,1.3*VLOOKUP('Bars A'!$F$10,BarTable,4,FALSE)/12)</f>
        <v>#VALUE!</v>
      </c>
      <c r="T114" s="626" t="e">
        <f t="shared" si="23"/>
        <v>#VALUE!</v>
      </c>
      <c r="U114" s="489" t="e">
        <f>IF(T114&gt;S114,IF(E114=ABS(R114),'Bars A'!$I$13,'Bars B'!$I$13),0.0000000001)</f>
        <v>#VALUE!</v>
      </c>
      <c r="V114" s="483" t="e">
        <f t="shared" si="24"/>
        <v>#VALUE!</v>
      </c>
      <c r="W114" s="627" t="e">
        <f t="shared" si="25"/>
        <v>#VALUE!</v>
      </c>
      <c r="X114" s="628" t="e">
        <f t="shared" si="26"/>
        <v>#VALUE!</v>
      </c>
      <c r="Y114" s="489" t="e">
        <f t="shared" si="27"/>
        <v>#VALUE!</v>
      </c>
      <c r="Z114" s="629" t="e">
        <f t="shared" si="28"/>
        <v>#VALUE!</v>
      </c>
      <c r="AA114" s="626" t="e">
        <f t="shared" si="29"/>
        <v>#VALUE!</v>
      </c>
      <c r="AB114" s="481" t="e">
        <f>MATCH(V114,Reference!$S$7:$S$17,1)</f>
        <v>#VALUE!</v>
      </c>
      <c r="AC114" s="1388" t="e">
        <f>12-MATCH(V114,Reference!$AD$6:$AD$16,-1)</f>
        <v>#VALUE!</v>
      </c>
      <c r="AD114" s="482" t="e">
        <f>MATCH(X114,Reference!$T$6:$AB$6,1)</f>
        <v>#VALUE!</v>
      </c>
      <c r="AE114" s="482" t="e">
        <f>10-MATCH(X114,Reference!$AD$18:$AL$18,-1)</f>
        <v>#VALUE!</v>
      </c>
      <c r="AF114" s="482" t="e">
        <f>INDEX(Reference!$T$7:$AB$17,AB114,AD114)</f>
        <v>#VALUE!</v>
      </c>
      <c r="AG114" s="482" t="e">
        <f>INDEX(Reference!$T$7:$AB$17,AB114,AE114)</f>
        <v>#VALUE!</v>
      </c>
      <c r="AH114" s="482" t="e">
        <f>INDEX(Reference!$T$7:$AB$17,AC114,AD114)</f>
        <v>#VALUE!</v>
      </c>
      <c r="AI114" s="482" t="e">
        <f>INDEX(Reference!$T$7:$AB$17,AC114,AE114)</f>
        <v>#VALUE!</v>
      </c>
      <c r="AJ114" s="482" t="e">
        <f>INDEX(Reference!$T$23:$AB$33,AB114,AD114)</f>
        <v>#VALUE!</v>
      </c>
      <c r="AK114" s="482" t="e">
        <f>INDEX(Reference!$T$23:$AB$33,AB114,AE114)</f>
        <v>#VALUE!</v>
      </c>
      <c r="AL114" s="482" t="e">
        <f>INDEX(Reference!$T$23:$AB$33,AC114,AD114)</f>
        <v>#VALUE!</v>
      </c>
      <c r="AM114" s="482" t="e">
        <f>INDEX(Reference!$T$23:$AB$33,AC114,AE114)</f>
        <v>#VALUE!</v>
      </c>
      <c r="AN114" s="483" t="e">
        <f>INDEX(Reference!$S$7:$S$17,AB114,1)</f>
        <v>#VALUE!</v>
      </c>
      <c r="AO114" s="483" t="e">
        <f>INDEX(Reference!$S$7:$S$17,AC114,1)</f>
        <v>#VALUE!</v>
      </c>
      <c r="AP114" s="484" t="e">
        <f>INDEX(Reference!$T$6:$AB$6,1,AD114)</f>
        <v>#VALUE!</v>
      </c>
      <c r="AQ114" s="484" t="e">
        <f>INDEX(Reference!$T$6:$AB$6,1,AE114)</f>
        <v>#VALUE!</v>
      </c>
      <c r="AR114" s="629" t="e">
        <f t="shared" si="30"/>
        <v>#VALUE!</v>
      </c>
      <c r="AS114" s="629" t="e">
        <f t="shared" si="31"/>
        <v>#VALUE!</v>
      </c>
      <c r="AT114" s="629" t="e">
        <f t="shared" si="32"/>
        <v>#VALUE!</v>
      </c>
      <c r="AU114" s="629" t="e">
        <f t="shared" si="33"/>
        <v>#VALUE!</v>
      </c>
      <c r="AV114" s="629" t="e">
        <f t="shared" si="34"/>
        <v>#VALUE!</v>
      </c>
      <c r="AW114" s="630" t="e">
        <f t="shared" si="35"/>
        <v>#VALUE!</v>
      </c>
      <c r="AZ114" s="489" t="str">
        <f t="shared" si="36"/>
        <v/>
      </c>
      <c r="BA114" s="631" t="e">
        <f t="shared" si="42"/>
        <v>#VALUE!</v>
      </c>
      <c r="BB114" s="491" t="e">
        <f t="shared" si="42"/>
        <v>#VALUE!</v>
      </c>
      <c r="BC114" s="491" t="e">
        <f t="shared" si="42"/>
        <v>#VALUE!</v>
      </c>
      <c r="BD114" s="491" t="e">
        <f t="shared" si="42"/>
        <v>#VALUE!</v>
      </c>
      <c r="BE114" s="491" t="e">
        <f t="shared" si="42"/>
        <v>#VALUE!</v>
      </c>
      <c r="BF114" s="491" t="e">
        <f t="shared" si="42"/>
        <v>#VALUE!</v>
      </c>
      <c r="BG114" s="491" t="e">
        <f t="shared" si="42"/>
        <v>#VALUE!</v>
      </c>
      <c r="BH114" s="491" t="e">
        <f t="shared" si="42"/>
        <v>#VALUE!</v>
      </c>
      <c r="BI114" s="491" t="e">
        <f t="shared" si="42"/>
        <v>#VALUE!</v>
      </c>
      <c r="BJ114" s="491" t="e">
        <f t="shared" si="42"/>
        <v>#VALUE!</v>
      </c>
      <c r="BK114" s="400">
        <f t="shared" si="37"/>
        <v>64</v>
      </c>
      <c r="BL114" s="491" t="e">
        <f t="shared" si="41"/>
        <v>#VALUE!</v>
      </c>
      <c r="BM114" s="491" t="e">
        <f t="shared" si="41"/>
        <v>#VALUE!</v>
      </c>
      <c r="BN114" s="491" t="e">
        <f t="shared" si="41"/>
        <v>#VALUE!</v>
      </c>
      <c r="BO114" s="491" t="e">
        <f t="shared" si="41"/>
        <v>#VALUE!</v>
      </c>
      <c r="BP114" s="622" t="e">
        <f t="shared" si="39"/>
        <v>#VALUE!</v>
      </c>
      <c r="BQ114" s="274" t="e">
        <f>IF(L114="","Column",IF(OR(C114&lt;MAX(ColSpa1,Geometry!$J$107),C114&gt;MAX(MAX(Geometry!$I$107:$I$116),MAX(Geometry!$J$107:$J$116))),MIN(6,INDEX($O$45:$O$48,MATCH(L114,$O$45:$O$48,1),1)),INDEX($O$45:$O$48,MATCH(L114,$O$45:$O$48,1),1)))</f>
        <v>#VALUE!</v>
      </c>
    </row>
    <row r="115" spans="1:69">
      <c r="A115" s="339"/>
      <c r="B115" s="96" t="e">
        <f>IF(MIN(ABS(C115-INDEX(Geometry!$Q$104:$Q$113,IF(ISERROR(MATCH(C115,Geometry!$Q$104:$Q$113,1)),1,MATCH(C115,Geometry!$Q$104:$Q$113,1)),1)),ABS(C115-INDEX(Geometry!$Q$104:$Q$113,IF(ISERROR(MAX(11-MATCH(C115,Geometry!$R$104:$R$113,-1),1)),1,MAX(11-MATCH(C115,Geometry!$R$104:$R$113,-1),1)),1)))&lt;(halfeffectiveface/12),"#","")</f>
        <v>#VALUE!</v>
      </c>
      <c r="C115" s="96" t="str">
        <f>'CAP18 Out(1)'!D73</f>
        <v/>
      </c>
      <c r="D115" s="184" t="str">
        <f>'CAP18 Out(1)'!M73</f>
        <v/>
      </c>
      <c r="E115" s="179" t="e">
        <f t="shared" si="13"/>
        <v>#VALUE!</v>
      </c>
      <c r="F115" s="87" t="e">
        <f t="shared" si="14"/>
        <v>#VALUE!</v>
      </c>
      <c r="G115" s="87" t="e">
        <f t="shared" si="15"/>
        <v>#VALUE!</v>
      </c>
      <c r="H115" s="185" t="e">
        <f t="shared" si="16"/>
        <v>#VALUE!</v>
      </c>
      <c r="I115" s="184" t="e">
        <f t="shared" si="17"/>
        <v>#VALUE!</v>
      </c>
      <c r="J115" s="184">
        <f t="shared" si="18"/>
        <v>0</v>
      </c>
      <c r="K115" s="184">
        <f t="shared" si="19"/>
        <v>0</v>
      </c>
      <c r="L115" s="296" t="e">
        <f t="shared" si="20"/>
        <v>#VALUE!</v>
      </c>
      <c r="M115" s="294" t="e">
        <f>IF(L115="Column","",IF(OR(C115&lt;MAX(ColSpa1,Geometry!$J$107),C115&gt;MAX(MAX(Geometry!$I$107:$I$116),MAX(Geometry!$J$107:$J$116))),"OH - 6''",""))</f>
        <v>#VALUE!</v>
      </c>
      <c r="N115" s="1053">
        <v>36.4</v>
      </c>
      <c r="O115" s="489">
        <f t="shared" si="21"/>
        <v>0</v>
      </c>
      <c r="P115" s="489">
        <f t="shared" si="22"/>
        <v>0</v>
      </c>
      <c r="Q115" s="400" t="e">
        <f>'CAP18 Out(1)'!I73</f>
        <v>#VALUE!</v>
      </c>
      <c r="R115" s="400" t="e">
        <f>'CAP18 Out(1)'!J73</f>
        <v>#VALUE!</v>
      </c>
      <c r="S115" s="400" t="e">
        <f>IF(E115=ABS(Q115),VLOOKUP('Bars B'!$F$10,BarTable,4,FALSE)/12,1.3*VLOOKUP('Bars A'!$F$10,BarTable,4,FALSE)/12)</f>
        <v>#VALUE!</v>
      </c>
      <c r="T115" s="626" t="e">
        <f t="shared" si="23"/>
        <v>#VALUE!</v>
      </c>
      <c r="U115" s="489" t="e">
        <f>IF(T115&gt;S115,IF(E115=ABS(R115),'Bars A'!$I$13,'Bars B'!$I$13),0.0000000001)</f>
        <v>#VALUE!</v>
      </c>
      <c r="V115" s="483" t="e">
        <f t="shared" si="24"/>
        <v>#VALUE!</v>
      </c>
      <c r="W115" s="627" t="e">
        <f t="shared" si="25"/>
        <v>#VALUE!</v>
      </c>
      <c r="X115" s="628" t="e">
        <f t="shared" si="26"/>
        <v>#VALUE!</v>
      </c>
      <c r="Y115" s="489" t="e">
        <f t="shared" si="27"/>
        <v>#VALUE!</v>
      </c>
      <c r="Z115" s="629" t="e">
        <f t="shared" si="28"/>
        <v>#VALUE!</v>
      </c>
      <c r="AA115" s="626" t="e">
        <f t="shared" si="29"/>
        <v>#VALUE!</v>
      </c>
      <c r="AB115" s="481" t="e">
        <f>MATCH(V115,Reference!$S$7:$S$17,1)</f>
        <v>#VALUE!</v>
      </c>
      <c r="AC115" s="1388" t="e">
        <f>12-MATCH(V115,Reference!$AD$6:$AD$16,-1)</f>
        <v>#VALUE!</v>
      </c>
      <c r="AD115" s="482" t="e">
        <f>MATCH(X115,Reference!$T$6:$AB$6,1)</f>
        <v>#VALUE!</v>
      </c>
      <c r="AE115" s="482" t="e">
        <f>10-MATCH(X115,Reference!$AD$18:$AL$18,-1)</f>
        <v>#VALUE!</v>
      </c>
      <c r="AF115" s="482" t="e">
        <f>INDEX(Reference!$T$7:$AB$17,AB115,AD115)</f>
        <v>#VALUE!</v>
      </c>
      <c r="AG115" s="482" t="e">
        <f>INDEX(Reference!$T$7:$AB$17,AB115,AE115)</f>
        <v>#VALUE!</v>
      </c>
      <c r="AH115" s="482" t="e">
        <f>INDEX(Reference!$T$7:$AB$17,AC115,AD115)</f>
        <v>#VALUE!</v>
      </c>
      <c r="AI115" s="482" t="e">
        <f>INDEX(Reference!$T$7:$AB$17,AC115,AE115)</f>
        <v>#VALUE!</v>
      </c>
      <c r="AJ115" s="482" t="e">
        <f>INDEX(Reference!$T$23:$AB$33,AB115,AD115)</f>
        <v>#VALUE!</v>
      </c>
      <c r="AK115" s="482" t="e">
        <f>INDEX(Reference!$T$23:$AB$33,AB115,AE115)</f>
        <v>#VALUE!</v>
      </c>
      <c r="AL115" s="482" t="e">
        <f>INDEX(Reference!$T$23:$AB$33,AC115,AD115)</f>
        <v>#VALUE!</v>
      </c>
      <c r="AM115" s="482" t="e">
        <f>INDEX(Reference!$T$23:$AB$33,AC115,AE115)</f>
        <v>#VALUE!</v>
      </c>
      <c r="AN115" s="483" t="e">
        <f>INDEX(Reference!$S$7:$S$17,AB115,1)</f>
        <v>#VALUE!</v>
      </c>
      <c r="AO115" s="483" t="e">
        <f>INDEX(Reference!$S$7:$S$17,AC115,1)</f>
        <v>#VALUE!</v>
      </c>
      <c r="AP115" s="484" t="e">
        <f>INDEX(Reference!$T$6:$AB$6,1,AD115)</f>
        <v>#VALUE!</v>
      </c>
      <c r="AQ115" s="484" t="e">
        <f>INDEX(Reference!$T$6:$AB$6,1,AE115)</f>
        <v>#VALUE!</v>
      </c>
      <c r="AR115" s="629" t="e">
        <f t="shared" si="30"/>
        <v>#VALUE!</v>
      </c>
      <c r="AS115" s="629" t="e">
        <f t="shared" si="31"/>
        <v>#VALUE!</v>
      </c>
      <c r="AT115" s="629" t="e">
        <f t="shared" si="32"/>
        <v>#VALUE!</v>
      </c>
      <c r="AU115" s="629" t="e">
        <f t="shared" si="33"/>
        <v>#VALUE!</v>
      </c>
      <c r="AV115" s="629" t="e">
        <f t="shared" si="34"/>
        <v>#VALUE!</v>
      </c>
      <c r="AW115" s="630" t="e">
        <f t="shared" si="35"/>
        <v>#VALUE!</v>
      </c>
      <c r="AZ115" s="489" t="str">
        <f t="shared" si="36"/>
        <v/>
      </c>
      <c r="BA115" s="631" t="e">
        <f t="shared" si="42"/>
        <v>#VALUE!</v>
      </c>
      <c r="BB115" s="491" t="e">
        <f t="shared" si="42"/>
        <v>#VALUE!</v>
      </c>
      <c r="BC115" s="491" t="e">
        <f t="shared" si="42"/>
        <v>#VALUE!</v>
      </c>
      <c r="BD115" s="491" t="e">
        <f t="shared" si="42"/>
        <v>#VALUE!</v>
      </c>
      <c r="BE115" s="491" t="e">
        <f t="shared" si="42"/>
        <v>#VALUE!</v>
      </c>
      <c r="BF115" s="491" t="e">
        <f t="shared" si="42"/>
        <v>#VALUE!</v>
      </c>
      <c r="BG115" s="491" t="e">
        <f t="shared" si="42"/>
        <v>#VALUE!</v>
      </c>
      <c r="BH115" s="491" t="e">
        <f t="shared" si="42"/>
        <v>#VALUE!</v>
      </c>
      <c r="BI115" s="491" t="e">
        <f t="shared" si="42"/>
        <v>#VALUE!</v>
      </c>
      <c r="BJ115" s="491" t="e">
        <f t="shared" si="42"/>
        <v>#VALUE!</v>
      </c>
      <c r="BK115" s="400">
        <f t="shared" si="37"/>
        <v>65</v>
      </c>
      <c r="BL115" s="491" t="e">
        <f t="shared" si="41"/>
        <v>#VALUE!</v>
      </c>
      <c r="BM115" s="491" t="e">
        <f t="shared" si="41"/>
        <v>#VALUE!</v>
      </c>
      <c r="BN115" s="491" t="e">
        <f t="shared" si="41"/>
        <v>#VALUE!</v>
      </c>
      <c r="BO115" s="491" t="e">
        <f t="shared" si="41"/>
        <v>#VALUE!</v>
      </c>
      <c r="BP115" s="622" t="e">
        <f t="shared" si="39"/>
        <v>#VALUE!</v>
      </c>
      <c r="BQ115" s="274" t="e">
        <f>IF(L115="","Column",IF(OR(C115&lt;MAX(ColSpa1,Geometry!$J$107),C115&gt;MAX(MAX(Geometry!$I$107:$I$116),MAX(Geometry!$J$107:$J$116))),MIN(6,INDEX($O$45:$O$48,MATCH(L115,$O$45:$O$48,1),1)),INDEX($O$45:$O$48,MATCH(L115,$O$45:$O$48,1),1)))</f>
        <v>#VALUE!</v>
      </c>
    </row>
    <row r="116" spans="1:69">
      <c r="A116" s="339"/>
      <c r="B116" s="96" t="e">
        <f>IF(MIN(ABS(C116-INDEX(Geometry!$Q$104:$Q$113,IF(ISERROR(MATCH(C116,Geometry!$Q$104:$Q$113,1)),1,MATCH(C116,Geometry!$Q$104:$Q$113,1)),1)),ABS(C116-INDEX(Geometry!$Q$104:$Q$113,IF(ISERROR(MAX(11-MATCH(C116,Geometry!$R$104:$R$113,-1),1)),1,MAX(11-MATCH(C116,Geometry!$R$104:$R$113,-1),1)),1)))&lt;(halfeffectiveface/12),"#","")</f>
        <v>#VALUE!</v>
      </c>
      <c r="C116" s="96" t="str">
        <f>'CAP18 Out(1)'!D74</f>
        <v/>
      </c>
      <c r="D116" s="184" t="str">
        <f>'CAP18 Out(1)'!M74</f>
        <v/>
      </c>
      <c r="E116" s="179" t="e">
        <f t="shared" si="13"/>
        <v>#VALUE!</v>
      </c>
      <c r="F116" s="87" t="e">
        <f t="shared" si="14"/>
        <v>#VALUE!</v>
      </c>
      <c r="G116" s="87" t="e">
        <f t="shared" si="15"/>
        <v>#VALUE!</v>
      </c>
      <c r="H116" s="185" t="e">
        <f t="shared" si="16"/>
        <v>#VALUE!</v>
      </c>
      <c r="I116" s="184" t="e">
        <f t="shared" si="17"/>
        <v>#VALUE!</v>
      </c>
      <c r="J116" s="184">
        <f t="shared" si="18"/>
        <v>0</v>
      </c>
      <c r="K116" s="184">
        <f t="shared" si="19"/>
        <v>0</v>
      </c>
      <c r="L116" s="296" t="e">
        <f t="shared" si="20"/>
        <v>#VALUE!</v>
      </c>
      <c r="M116" s="294" t="e">
        <f>IF(L116="Column","",IF(OR(C116&lt;MAX(ColSpa1,Geometry!$J$107),C116&gt;MAX(MAX(Geometry!$I$107:$I$116),MAX(Geometry!$J$107:$J$116))),"OH - 6''",""))</f>
        <v>#VALUE!</v>
      </c>
      <c r="N116" s="1053">
        <v>36.4</v>
      </c>
      <c r="O116" s="489">
        <f t="shared" si="21"/>
        <v>0</v>
      </c>
      <c r="P116" s="489">
        <f t="shared" si="22"/>
        <v>0</v>
      </c>
      <c r="Q116" s="400" t="e">
        <f>'CAP18 Out(1)'!I74</f>
        <v>#VALUE!</v>
      </c>
      <c r="R116" s="400" t="e">
        <f>'CAP18 Out(1)'!J74</f>
        <v>#VALUE!</v>
      </c>
      <c r="S116" s="400" t="e">
        <f>IF(E116=ABS(Q116),VLOOKUP('Bars B'!$F$10,BarTable,4,FALSE)/12,1.3*VLOOKUP('Bars A'!$F$10,BarTable,4,FALSE)/12)</f>
        <v>#VALUE!</v>
      </c>
      <c r="T116" s="626" t="e">
        <f t="shared" si="23"/>
        <v>#VALUE!</v>
      </c>
      <c r="U116" s="489" t="e">
        <f>IF(T116&gt;S116,IF(E116=ABS(R116),'Bars A'!$I$13,'Bars B'!$I$13),0.0000000001)</f>
        <v>#VALUE!</v>
      </c>
      <c r="V116" s="483" t="e">
        <f t="shared" si="24"/>
        <v>#VALUE!</v>
      </c>
      <c r="W116" s="627" t="e">
        <f t="shared" si="25"/>
        <v>#VALUE!</v>
      </c>
      <c r="X116" s="628" t="e">
        <f t="shared" si="26"/>
        <v>#VALUE!</v>
      </c>
      <c r="Y116" s="489" t="e">
        <f t="shared" si="27"/>
        <v>#VALUE!</v>
      </c>
      <c r="Z116" s="629" t="e">
        <f t="shared" si="28"/>
        <v>#VALUE!</v>
      </c>
      <c r="AA116" s="626" t="e">
        <f t="shared" si="29"/>
        <v>#VALUE!</v>
      </c>
      <c r="AB116" s="481" t="e">
        <f>MATCH(V116,Reference!$S$7:$S$17,1)</f>
        <v>#VALUE!</v>
      </c>
      <c r="AC116" s="1388" t="e">
        <f>12-MATCH(V116,Reference!$AD$6:$AD$16,-1)</f>
        <v>#VALUE!</v>
      </c>
      <c r="AD116" s="482" t="e">
        <f>MATCH(X116,Reference!$T$6:$AB$6,1)</f>
        <v>#VALUE!</v>
      </c>
      <c r="AE116" s="482" t="e">
        <f>10-MATCH(X116,Reference!$AD$18:$AL$18,-1)</f>
        <v>#VALUE!</v>
      </c>
      <c r="AF116" s="482" t="e">
        <f>INDEX(Reference!$T$7:$AB$17,AB116,AD116)</f>
        <v>#VALUE!</v>
      </c>
      <c r="AG116" s="482" t="e">
        <f>INDEX(Reference!$T$7:$AB$17,AB116,AE116)</f>
        <v>#VALUE!</v>
      </c>
      <c r="AH116" s="482" t="e">
        <f>INDEX(Reference!$T$7:$AB$17,AC116,AD116)</f>
        <v>#VALUE!</v>
      </c>
      <c r="AI116" s="482" t="e">
        <f>INDEX(Reference!$T$7:$AB$17,AC116,AE116)</f>
        <v>#VALUE!</v>
      </c>
      <c r="AJ116" s="482" t="e">
        <f>INDEX(Reference!$T$23:$AB$33,AB116,AD116)</f>
        <v>#VALUE!</v>
      </c>
      <c r="AK116" s="482" t="e">
        <f>INDEX(Reference!$T$23:$AB$33,AB116,AE116)</f>
        <v>#VALUE!</v>
      </c>
      <c r="AL116" s="482" t="e">
        <f>INDEX(Reference!$T$23:$AB$33,AC116,AD116)</f>
        <v>#VALUE!</v>
      </c>
      <c r="AM116" s="482" t="e">
        <f>INDEX(Reference!$T$23:$AB$33,AC116,AE116)</f>
        <v>#VALUE!</v>
      </c>
      <c r="AN116" s="483" t="e">
        <f>INDEX(Reference!$S$7:$S$17,AB116,1)</f>
        <v>#VALUE!</v>
      </c>
      <c r="AO116" s="483" t="e">
        <f>INDEX(Reference!$S$7:$S$17,AC116,1)</f>
        <v>#VALUE!</v>
      </c>
      <c r="AP116" s="484" t="e">
        <f>INDEX(Reference!$T$6:$AB$6,1,AD116)</f>
        <v>#VALUE!</v>
      </c>
      <c r="AQ116" s="484" t="e">
        <f>INDEX(Reference!$T$6:$AB$6,1,AE116)</f>
        <v>#VALUE!</v>
      </c>
      <c r="AR116" s="629" t="e">
        <f t="shared" si="30"/>
        <v>#VALUE!</v>
      </c>
      <c r="AS116" s="629" t="e">
        <f t="shared" si="31"/>
        <v>#VALUE!</v>
      </c>
      <c r="AT116" s="629" t="e">
        <f t="shared" si="32"/>
        <v>#VALUE!</v>
      </c>
      <c r="AU116" s="629" t="e">
        <f t="shared" si="33"/>
        <v>#VALUE!</v>
      </c>
      <c r="AV116" s="629" t="e">
        <f t="shared" si="34"/>
        <v>#VALUE!</v>
      </c>
      <c r="AW116" s="630" t="e">
        <f t="shared" si="35"/>
        <v>#VALUE!</v>
      </c>
      <c r="AZ116" s="489" t="str">
        <f t="shared" si="36"/>
        <v/>
      </c>
      <c r="BA116" s="631" t="e">
        <f t="shared" si="42"/>
        <v>#VALUE!</v>
      </c>
      <c r="BB116" s="491" t="e">
        <f t="shared" si="42"/>
        <v>#VALUE!</v>
      </c>
      <c r="BC116" s="491" t="e">
        <f t="shared" si="42"/>
        <v>#VALUE!</v>
      </c>
      <c r="BD116" s="491" t="e">
        <f t="shared" si="42"/>
        <v>#VALUE!</v>
      </c>
      <c r="BE116" s="491" t="e">
        <f t="shared" si="42"/>
        <v>#VALUE!</v>
      </c>
      <c r="BF116" s="491" t="e">
        <f t="shared" si="42"/>
        <v>#VALUE!</v>
      </c>
      <c r="BG116" s="491" t="e">
        <f t="shared" si="42"/>
        <v>#VALUE!</v>
      </c>
      <c r="BH116" s="491" t="e">
        <f t="shared" si="42"/>
        <v>#VALUE!</v>
      </c>
      <c r="BI116" s="491" t="e">
        <f t="shared" si="42"/>
        <v>#VALUE!</v>
      </c>
      <c r="BJ116" s="491" t="e">
        <f t="shared" si="42"/>
        <v>#VALUE!</v>
      </c>
      <c r="BK116" s="400">
        <f t="shared" si="37"/>
        <v>66</v>
      </c>
      <c r="BL116" s="491" t="e">
        <f t="shared" si="41"/>
        <v>#VALUE!</v>
      </c>
      <c r="BM116" s="491" t="e">
        <f t="shared" si="41"/>
        <v>#VALUE!</v>
      </c>
      <c r="BN116" s="491" t="e">
        <f t="shared" si="41"/>
        <v>#VALUE!</v>
      </c>
      <c r="BO116" s="491" t="e">
        <f t="shared" si="41"/>
        <v>#VALUE!</v>
      </c>
      <c r="BP116" s="622" t="e">
        <f t="shared" si="39"/>
        <v>#VALUE!</v>
      </c>
      <c r="BQ116" s="274" t="e">
        <f>IF(L116="","Column",IF(OR(C116&lt;MAX(ColSpa1,Geometry!$J$107),C116&gt;MAX(MAX(Geometry!$I$107:$I$116),MAX(Geometry!$J$107:$J$116))),MIN(6,INDEX($O$45:$O$48,MATCH(L116,$O$45:$O$48,1),1)),INDEX($O$45:$O$48,MATCH(L116,$O$45:$O$48,1),1)))</f>
        <v>#VALUE!</v>
      </c>
    </row>
    <row r="117" spans="1:69">
      <c r="A117" s="339"/>
      <c r="B117" s="96" t="e">
        <f>IF(MIN(ABS(C117-INDEX(Geometry!$Q$104:$Q$113,IF(ISERROR(MATCH(C117,Geometry!$Q$104:$Q$113,1)),1,MATCH(C117,Geometry!$Q$104:$Q$113,1)),1)),ABS(C117-INDEX(Geometry!$Q$104:$Q$113,IF(ISERROR(MAX(11-MATCH(C117,Geometry!$R$104:$R$113,-1),1)),1,MAX(11-MATCH(C117,Geometry!$R$104:$R$113,-1),1)),1)))&lt;(halfeffectiveface/12),"#","")</f>
        <v>#VALUE!</v>
      </c>
      <c r="C117" s="96" t="str">
        <f>'CAP18 Out(1)'!D75</f>
        <v/>
      </c>
      <c r="D117" s="184" t="str">
        <f>'CAP18 Out(1)'!M75</f>
        <v/>
      </c>
      <c r="E117" s="179" t="e">
        <f t="shared" si="13"/>
        <v>#VALUE!</v>
      </c>
      <c r="F117" s="87" t="e">
        <f t="shared" si="14"/>
        <v>#VALUE!</v>
      </c>
      <c r="G117" s="87" t="e">
        <f t="shared" si="15"/>
        <v>#VALUE!</v>
      </c>
      <c r="H117" s="185" t="e">
        <f t="shared" si="16"/>
        <v>#VALUE!</v>
      </c>
      <c r="I117" s="184" t="e">
        <f t="shared" si="17"/>
        <v>#VALUE!</v>
      </c>
      <c r="J117" s="184">
        <f t="shared" si="18"/>
        <v>0</v>
      </c>
      <c r="K117" s="184">
        <f t="shared" si="19"/>
        <v>0</v>
      </c>
      <c r="L117" s="296" t="e">
        <f t="shared" si="20"/>
        <v>#VALUE!</v>
      </c>
      <c r="M117" s="294" t="e">
        <f>IF(L117="Column","",IF(OR(C117&lt;MAX(ColSpa1,Geometry!$J$107),C117&gt;MAX(MAX(Geometry!$I$107:$I$116),MAX(Geometry!$J$107:$J$116))),"OH - 6''",""))</f>
        <v>#VALUE!</v>
      </c>
      <c r="N117" s="1053">
        <v>36.4</v>
      </c>
      <c r="O117" s="489">
        <f t="shared" si="21"/>
        <v>0</v>
      </c>
      <c r="P117" s="489">
        <f t="shared" si="22"/>
        <v>0</v>
      </c>
      <c r="Q117" s="400" t="e">
        <f>'CAP18 Out(1)'!I75</f>
        <v>#VALUE!</v>
      </c>
      <c r="R117" s="400" t="e">
        <f>'CAP18 Out(1)'!J75</f>
        <v>#VALUE!</v>
      </c>
      <c r="S117" s="400" t="e">
        <f>IF(E117=ABS(Q117),VLOOKUP('Bars B'!$F$10,BarTable,4,FALSE)/12,1.3*VLOOKUP('Bars A'!$F$10,BarTable,4,FALSE)/12)</f>
        <v>#VALUE!</v>
      </c>
      <c r="T117" s="626" t="e">
        <f t="shared" si="23"/>
        <v>#VALUE!</v>
      </c>
      <c r="U117" s="489" t="e">
        <f>IF(T117&gt;S117,IF(E117=ABS(R117),'Bars A'!$I$13,'Bars B'!$I$13),0.0000000001)</f>
        <v>#VALUE!</v>
      </c>
      <c r="V117" s="483" t="e">
        <f t="shared" si="24"/>
        <v>#VALUE!</v>
      </c>
      <c r="W117" s="627" t="e">
        <f t="shared" si="25"/>
        <v>#VALUE!</v>
      </c>
      <c r="X117" s="628" t="e">
        <f t="shared" si="26"/>
        <v>#VALUE!</v>
      </c>
      <c r="Y117" s="489" t="e">
        <f t="shared" si="27"/>
        <v>#VALUE!</v>
      </c>
      <c r="Z117" s="629" t="e">
        <f t="shared" si="28"/>
        <v>#VALUE!</v>
      </c>
      <c r="AA117" s="626" t="e">
        <f t="shared" si="29"/>
        <v>#VALUE!</v>
      </c>
      <c r="AB117" s="481" t="e">
        <f>MATCH(V117,Reference!$S$7:$S$17,1)</f>
        <v>#VALUE!</v>
      </c>
      <c r="AC117" s="1388" t="e">
        <f>12-MATCH(V117,Reference!$AD$6:$AD$16,-1)</f>
        <v>#VALUE!</v>
      </c>
      <c r="AD117" s="482" t="e">
        <f>MATCH(X117,Reference!$T$6:$AB$6,1)</f>
        <v>#VALUE!</v>
      </c>
      <c r="AE117" s="482" t="e">
        <f>10-MATCH(X117,Reference!$AD$18:$AL$18,-1)</f>
        <v>#VALUE!</v>
      </c>
      <c r="AF117" s="482" t="e">
        <f>INDEX(Reference!$T$7:$AB$17,AB117,AD117)</f>
        <v>#VALUE!</v>
      </c>
      <c r="AG117" s="482" t="e">
        <f>INDEX(Reference!$T$7:$AB$17,AB117,AE117)</f>
        <v>#VALUE!</v>
      </c>
      <c r="AH117" s="482" t="e">
        <f>INDEX(Reference!$T$7:$AB$17,AC117,AD117)</f>
        <v>#VALUE!</v>
      </c>
      <c r="AI117" s="482" t="e">
        <f>INDEX(Reference!$T$7:$AB$17,AC117,AE117)</f>
        <v>#VALUE!</v>
      </c>
      <c r="AJ117" s="482" t="e">
        <f>INDEX(Reference!$T$23:$AB$33,AB117,AD117)</f>
        <v>#VALUE!</v>
      </c>
      <c r="AK117" s="482" t="e">
        <f>INDEX(Reference!$T$23:$AB$33,AB117,AE117)</f>
        <v>#VALUE!</v>
      </c>
      <c r="AL117" s="482" t="e">
        <f>INDEX(Reference!$T$23:$AB$33,AC117,AD117)</f>
        <v>#VALUE!</v>
      </c>
      <c r="AM117" s="482" t="e">
        <f>INDEX(Reference!$T$23:$AB$33,AC117,AE117)</f>
        <v>#VALUE!</v>
      </c>
      <c r="AN117" s="483" t="e">
        <f>INDEX(Reference!$S$7:$S$17,AB117,1)</f>
        <v>#VALUE!</v>
      </c>
      <c r="AO117" s="483" t="e">
        <f>INDEX(Reference!$S$7:$S$17,AC117,1)</f>
        <v>#VALUE!</v>
      </c>
      <c r="AP117" s="484" t="e">
        <f>INDEX(Reference!$T$6:$AB$6,1,AD117)</f>
        <v>#VALUE!</v>
      </c>
      <c r="AQ117" s="484" t="e">
        <f>INDEX(Reference!$T$6:$AB$6,1,AE117)</f>
        <v>#VALUE!</v>
      </c>
      <c r="AR117" s="629" t="e">
        <f t="shared" si="30"/>
        <v>#VALUE!</v>
      </c>
      <c r="AS117" s="629" t="e">
        <f t="shared" si="31"/>
        <v>#VALUE!</v>
      </c>
      <c r="AT117" s="629" t="e">
        <f t="shared" si="32"/>
        <v>#VALUE!</v>
      </c>
      <c r="AU117" s="629" t="e">
        <f t="shared" si="33"/>
        <v>#VALUE!</v>
      </c>
      <c r="AV117" s="629" t="e">
        <f t="shared" si="34"/>
        <v>#VALUE!</v>
      </c>
      <c r="AW117" s="630" t="e">
        <f t="shared" si="35"/>
        <v>#VALUE!</v>
      </c>
      <c r="AZ117" s="489" t="str">
        <f t="shared" si="36"/>
        <v/>
      </c>
      <c r="BA117" s="631" t="e">
        <f t="shared" si="42"/>
        <v>#VALUE!</v>
      </c>
      <c r="BB117" s="491" t="e">
        <f t="shared" si="42"/>
        <v>#VALUE!</v>
      </c>
      <c r="BC117" s="491" t="e">
        <f t="shared" si="42"/>
        <v>#VALUE!</v>
      </c>
      <c r="BD117" s="491" t="e">
        <f t="shared" si="42"/>
        <v>#VALUE!</v>
      </c>
      <c r="BE117" s="491" t="e">
        <f t="shared" si="42"/>
        <v>#VALUE!</v>
      </c>
      <c r="BF117" s="491" t="e">
        <f t="shared" si="42"/>
        <v>#VALUE!</v>
      </c>
      <c r="BG117" s="491" t="e">
        <f t="shared" si="42"/>
        <v>#VALUE!</v>
      </c>
      <c r="BH117" s="491" t="e">
        <f t="shared" si="42"/>
        <v>#VALUE!</v>
      </c>
      <c r="BI117" s="491" t="e">
        <f t="shared" si="42"/>
        <v>#VALUE!</v>
      </c>
      <c r="BJ117" s="491" t="e">
        <f t="shared" si="42"/>
        <v>#VALUE!</v>
      </c>
      <c r="BK117" s="400">
        <f t="shared" si="37"/>
        <v>67</v>
      </c>
      <c r="BL117" s="491" t="e">
        <f t="shared" si="41"/>
        <v>#VALUE!</v>
      </c>
      <c r="BM117" s="491" t="e">
        <f t="shared" si="41"/>
        <v>#VALUE!</v>
      </c>
      <c r="BN117" s="491" t="e">
        <f t="shared" si="41"/>
        <v>#VALUE!</v>
      </c>
      <c r="BO117" s="491" t="e">
        <f t="shared" si="41"/>
        <v>#VALUE!</v>
      </c>
      <c r="BP117" s="622" t="e">
        <f t="shared" si="39"/>
        <v>#VALUE!</v>
      </c>
      <c r="BQ117" s="274" t="e">
        <f>IF(L117="","Column",IF(OR(C117&lt;MAX(ColSpa1,Geometry!$J$107),C117&gt;MAX(MAX(Geometry!$I$107:$I$116),MAX(Geometry!$J$107:$J$116))),MIN(6,INDEX($O$45:$O$48,MATCH(L117,$O$45:$O$48,1),1)),INDEX($O$45:$O$48,MATCH(L117,$O$45:$O$48,1),1)))</f>
        <v>#VALUE!</v>
      </c>
    </row>
    <row r="118" spans="1:69">
      <c r="A118" s="339"/>
      <c r="B118" s="96" t="e">
        <f>IF(MIN(ABS(C118-INDEX(Geometry!$Q$104:$Q$113,IF(ISERROR(MATCH(C118,Geometry!$Q$104:$Q$113,1)),1,MATCH(C118,Geometry!$Q$104:$Q$113,1)),1)),ABS(C118-INDEX(Geometry!$Q$104:$Q$113,IF(ISERROR(MAX(11-MATCH(C118,Geometry!$R$104:$R$113,-1),1)),1,MAX(11-MATCH(C118,Geometry!$R$104:$R$113,-1),1)),1)))&lt;(halfeffectiveface/12),"#","")</f>
        <v>#VALUE!</v>
      </c>
      <c r="C118" s="96" t="str">
        <f>'CAP18 Out(1)'!D76</f>
        <v/>
      </c>
      <c r="D118" s="184" t="str">
        <f>'CAP18 Out(1)'!M76</f>
        <v/>
      </c>
      <c r="E118" s="179" t="e">
        <f t="shared" si="13"/>
        <v>#VALUE!</v>
      </c>
      <c r="F118" s="87" t="e">
        <f t="shared" si="14"/>
        <v>#VALUE!</v>
      </c>
      <c r="G118" s="87" t="e">
        <f t="shared" si="15"/>
        <v>#VALUE!</v>
      </c>
      <c r="H118" s="185" t="e">
        <f t="shared" si="16"/>
        <v>#VALUE!</v>
      </c>
      <c r="I118" s="184" t="e">
        <f t="shared" si="17"/>
        <v>#VALUE!</v>
      </c>
      <c r="J118" s="184">
        <f t="shared" si="18"/>
        <v>0</v>
      </c>
      <c r="K118" s="184">
        <f t="shared" si="19"/>
        <v>0</v>
      </c>
      <c r="L118" s="296" t="e">
        <f t="shared" si="20"/>
        <v>#VALUE!</v>
      </c>
      <c r="M118" s="294" t="e">
        <f>IF(L118="Column","",IF(OR(C118&lt;MAX(ColSpa1,Geometry!$J$107),C118&gt;MAX(MAX(Geometry!$I$107:$I$116),MAX(Geometry!$J$107:$J$116))),"OH - 6''",""))</f>
        <v>#VALUE!</v>
      </c>
      <c r="N118" s="1053">
        <v>36.4</v>
      </c>
      <c r="O118" s="489">
        <f t="shared" si="21"/>
        <v>0</v>
      </c>
      <c r="P118" s="489">
        <f t="shared" si="22"/>
        <v>0</v>
      </c>
      <c r="Q118" s="400" t="e">
        <f>'CAP18 Out(1)'!I76</f>
        <v>#VALUE!</v>
      </c>
      <c r="R118" s="400" t="e">
        <f>'CAP18 Out(1)'!J76</f>
        <v>#VALUE!</v>
      </c>
      <c r="S118" s="400" t="e">
        <f>IF(E118=ABS(Q118),VLOOKUP('Bars B'!$F$10,BarTable,4,FALSE)/12,1.3*VLOOKUP('Bars A'!$F$10,BarTable,4,FALSE)/12)</f>
        <v>#VALUE!</v>
      </c>
      <c r="T118" s="626" t="e">
        <f t="shared" si="23"/>
        <v>#VALUE!</v>
      </c>
      <c r="U118" s="489" t="e">
        <f>IF(T118&gt;S118,IF(E118=ABS(R118),'Bars A'!$I$13,'Bars B'!$I$13),0.0000000001)</f>
        <v>#VALUE!</v>
      </c>
      <c r="V118" s="483" t="e">
        <f t="shared" si="24"/>
        <v>#VALUE!</v>
      </c>
      <c r="W118" s="627" t="e">
        <f t="shared" si="25"/>
        <v>#VALUE!</v>
      </c>
      <c r="X118" s="628" t="e">
        <f t="shared" si="26"/>
        <v>#VALUE!</v>
      </c>
      <c r="Y118" s="489" t="e">
        <f t="shared" si="27"/>
        <v>#VALUE!</v>
      </c>
      <c r="Z118" s="629" t="e">
        <f t="shared" si="28"/>
        <v>#VALUE!</v>
      </c>
      <c r="AA118" s="626" t="e">
        <f t="shared" si="29"/>
        <v>#VALUE!</v>
      </c>
      <c r="AB118" s="481" t="e">
        <f>MATCH(V118,Reference!$S$7:$S$17,1)</f>
        <v>#VALUE!</v>
      </c>
      <c r="AC118" s="1388" t="e">
        <f>12-MATCH(V118,Reference!$AD$6:$AD$16,-1)</f>
        <v>#VALUE!</v>
      </c>
      <c r="AD118" s="482" t="e">
        <f>MATCH(X118,Reference!$T$6:$AB$6,1)</f>
        <v>#VALUE!</v>
      </c>
      <c r="AE118" s="482" t="e">
        <f>10-MATCH(X118,Reference!$AD$18:$AL$18,-1)</f>
        <v>#VALUE!</v>
      </c>
      <c r="AF118" s="482" t="e">
        <f>INDEX(Reference!$T$7:$AB$17,AB118,AD118)</f>
        <v>#VALUE!</v>
      </c>
      <c r="AG118" s="482" t="e">
        <f>INDEX(Reference!$T$7:$AB$17,AB118,AE118)</f>
        <v>#VALUE!</v>
      </c>
      <c r="AH118" s="482" t="e">
        <f>INDEX(Reference!$T$7:$AB$17,AC118,AD118)</f>
        <v>#VALUE!</v>
      </c>
      <c r="AI118" s="482" t="e">
        <f>INDEX(Reference!$T$7:$AB$17,AC118,AE118)</f>
        <v>#VALUE!</v>
      </c>
      <c r="AJ118" s="482" t="e">
        <f>INDEX(Reference!$T$23:$AB$33,AB118,AD118)</f>
        <v>#VALUE!</v>
      </c>
      <c r="AK118" s="482" t="e">
        <f>INDEX(Reference!$T$23:$AB$33,AB118,AE118)</f>
        <v>#VALUE!</v>
      </c>
      <c r="AL118" s="482" t="e">
        <f>INDEX(Reference!$T$23:$AB$33,AC118,AD118)</f>
        <v>#VALUE!</v>
      </c>
      <c r="AM118" s="482" t="e">
        <f>INDEX(Reference!$T$23:$AB$33,AC118,AE118)</f>
        <v>#VALUE!</v>
      </c>
      <c r="AN118" s="483" t="e">
        <f>INDEX(Reference!$S$7:$S$17,AB118,1)</f>
        <v>#VALUE!</v>
      </c>
      <c r="AO118" s="483" t="e">
        <f>INDEX(Reference!$S$7:$S$17,AC118,1)</f>
        <v>#VALUE!</v>
      </c>
      <c r="AP118" s="484" t="e">
        <f>INDEX(Reference!$T$6:$AB$6,1,AD118)</f>
        <v>#VALUE!</v>
      </c>
      <c r="AQ118" s="484" t="e">
        <f>INDEX(Reference!$T$6:$AB$6,1,AE118)</f>
        <v>#VALUE!</v>
      </c>
      <c r="AR118" s="629" t="e">
        <f t="shared" si="30"/>
        <v>#VALUE!</v>
      </c>
      <c r="AS118" s="629" t="e">
        <f t="shared" si="31"/>
        <v>#VALUE!</v>
      </c>
      <c r="AT118" s="629" t="e">
        <f t="shared" si="32"/>
        <v>#VALUE!</v>
      </c>
      <c r="AU118" s="629" t="e">
        <f t="shared" si="33"/>
        <v>#VALUE!</v>
      </c>
      <c r="AV118" s="629" t="e">
        <f t="shared" si="34"/>
        <v>#VALUE!</v>
      </c>
      <c r="AW118" s="630" t="e">
        <f t="shared" si="35"/>
        <v>#VALUE!</v>
      </c>
      <c r="AZ118" s="489" t="str">
        <f t="shared" si="36"/>
        <v/>
      </c>
      <c r="BA118" s="631" t="e">
        <f t="shared" si="42"/>
        <v>#VALUE!</v>
      </c>
      <c r="BB118" s="491" t="e">
        <f t="shared" si="42"/>
        <v>#VALUE!</v>
      </c>
      <c r="BC118" s="491" t="e">
        <f t="shared" si="42"/>
        <v>#VALUE!</v>
      </c>
      <c r="BD118" s="491" t="e">
        <f t="shared" si="42"/>
        <v>#VALUE!</v>
      </c>
      <c r="BE118" s="491" t="e">
        <f t="shared" si="42"/>
        <v>#VALUE!</v>
      </c>
      <c r="BF118" s="491" t="e">
        <f t="shared" si="42"/>
        <v>#VALUE!</v>
      </c>
      <c r="BG118" s="491" t="e">
        <f t="shared" si="42"/>
        <v>#VALUE!</v>
      </c>
      <c r="BH118" s="491" t="e">
        <f t="shared" si="42"/>
        <v>#VALUE!</v>
      </c>
      <c r="BI118" s="491" t="e">
        <f t="shared" si="42"/>
        <v>#VALUE!</v>
      </c>
      <c r="BJ118" s="491" t="e">
        <f t="shared" si="42"/>
        <v>#VALUE!</v>
      </c>
      <c r="BK118" s="400">
        <f t="shared" si="37"/>
        <v>68</v>
      </c>
      <c r="BL118" s="491" t="e">
        <f t="shared" si="41"/>
        <v>#VALUE!</v>
      </c>
      <c r="BM118" s="491" t="e">
        <f t="shared" si="41"/>
        <v>#VALUE!</v>
      </c>
      <c r="BN118" s="491" t="e">
        <f t="shared" si="41"/>
        <v>#VALUE!</v>
      </c>
      <c r="BO118" s="491" t="e">
        <f t="shared" si="41"/>
        <v>#VALUE!</v>
      </c>
      <c r="BP118" s="622" t="e">
        <f t="shared" si="39"/>
        <v>#VALUE!</v>
      </c>
      <c r="BQ118" s="274" t="e">
        <f>IF(L118="","Column",IF(OR(C118&lt;MAX(ColSpa1,Geometry!$J$107),C118&gt;MAX(MAX(Geometry!$I$107:$I$116),MAX(Geometry!$J$107:$J$116))),MIN(6,INDEX($O$45:$O$48,MATCH(L118,$O$45:$O$48,1),1)),INDEX($O$45:$O$48,MATCH(L118,$O$45:$O$48,1),1)))</f>
        <v>#VALUE!</v>
      </c>
    </row>
    <row r="119" spans="1:69">
      <c r="A119" s="339"/>
      <c r="B119" s="96" t="e">
        <f>IF(MIN(ABS(C119-INDEX(Geometry!$Q$104:$Q$113,IF(ISERROR(MATCH(C119,Geometry!$Q$104:$Q$113,1)),1,MATCH(C119,Geometry!$Q$104:$Q$113,1)),1)),ABS(C119-INDEX(Geometry!$Q$104:$Q$113,IF(ISERROR(MAX(11-MATCH(C119,Geometry!$R$104:$R$113,-1),1)),1,MAX(11-MATCH(C119,Geometry!$R$104:$R$113,-1),1)),1)))&lt;(halfeffectiveface/12),"#","")</f>
        <v>#VALUE!</v>
      </c>
      <c r="C119" s="96" t="str">
        <f>'CAP18 Out(1)'!D77</f>
        <v/>
      </c>
      <c r="D119" s="184" t="str">
        <f>'CAP18 Out(1)'!M77</f>
        <v/>
      </c>
      <c r="E119" s="179" t="e">
        <f t="shared" ref="E119:E155" si="43">MAX(Q119,ABS(R119),D119*dv/12)</f>
        <v>#VALUE!</v>
      </c>
      <c r="F119" s="87" t="e">
        <f t="shared" ref="F119:F155" si="44">Y119</f>
        <v>#VALUE!</v>
      </c>
      <c r="G119" s="87" t="e">
        <f t="shared" ref="G119:G155" si="45">Z119</f>
        <v>#VALUE!</v>
      </c>
      <c r="H119" s="185" t="e">
        <f t="shared" ref="H119:H155" si="46">AA119</f>
        <v>#VALUE!</v>
      </c>
      <c r="I119" s="184" t="e">
        <f t="shared" ref="I119:I155" si="47">D119/$E$13</f>
        <v>#VALUE!</v>
      </c>
      <c r="J119" s="184">
        <f t="shared" ref="J119:J155" si="48">IF(ISERROR(MAX(0,I119-AA119)),0,MAX(0,I119-AA119))</f>
        <v>0</v>
      </c>
      <c r="K119" s="184">
        <f t="shared" ref="K119:K155" si="49">IF(ISERROR($E$28*fy*$E$14*TAN(RADIANS(90-Y119))),0,$E$28*fy*$E$14*TAN(RADIANS(90-Y119)))</f>
        <v>0</v>
      </c>
      <c r="L119" s="296" t="e">
        <f t="shared" ref="L119:L155" si="50">IF(AND(B118="#",B119="#",B120="#"),"Column",IF(ISERROR(J119),12,MIN(MIN(12,IF(W119&lt;0.125*fc,MIN(24,0.8*dv),MIN(12,0.4*dv))),$E$34,IF(J119=0,12,MIN(12,K119/J119)))))</f>
        <v>#VALUE!</v>
      </c>
      <c r="M119" s="294" t="e">
        <f>IF(L119="Column","",IF(OR(C119&lt;MAX(ColSpa1,Geometry!$J$107),C119&gt;MAX(MAX(Geometry!$I$107:$I$116),MAX(Geometry!$J$107:$J$116))),"OH - 6''",""))</f>
        <v>#VALUE!</v>
      </c>
      <c r="N119" s="1053">
        <v>36.4</v>
      </c>
      <c r="O119" s="489">
        <f t="shared" ref="O119:O155" si="51">IF(ISERROR(Y119-N119),0,Y119-N119)</f>
        <v>0</v>
      </c>
      <c r="P119" s="489">
        <f t="shared" ref="P119:P155" si="52">ROUND(O119,2)</f>
        <v>0</v>
      </c>
      <c r="Q119" s="400" t="e">
        <f>'CAP18 Out(1)'!I77</f>
        <v>#VALUE!</v>
      </c>
      <c r="R119" s="400" t="e">
        <f>'CAP18 Out(1)'!J77</f>
        <v>#VALUE!</v>
      </c>
      <c r="S119" s="400" t="e">
        <f>IF(E119=ABS(Q119),VLOOKUP('Bars B'!$F$10,BarTable,4,FALSE)/12,1.3*VLOOKUP('Bars A'!$F$10,BarTable,4,FALSE)/12)</f>
        <v>#VALUE!</v>
      </c>
      <c r="T119" s="626" t="e">
        <f t="shared" ref="T119:T155" si="53">MIN(C119,caplength-C119)</f>
        <v>#VALUE!</v>
      </c>
      <c r="U119" s="489" t="e">
        <f>IF(T119&gt;S119,IF(E119=ABS(R119),'Bars A'!$I$13,'Bars B'!$I$13),0.0000000001)</f>
        <v>#VALUE!</v>
      </c>
      <c r="V119" s="483" t="e">
        <f t="shared" ref="V119:V155" si="54">MIN(0.001,MAX(0,(E119*12/$E$14+0.5*D119*TAN(RADIANS(90-N119)))/(2*Es*U119)))</f>
        <v>#VALUE!</v>
      </c>
      <c r="W119" s="627" t="e">
        <f t="shared" ref="W119:W155" si="55">D119/($E$13*$E$15*$E$14)</f>
        <v>#VALUE!</v>
      </c>
      <c r="X119" s="628" t="e">
        <f t="shared" ref="X119:X155" si="56">W119/fc</f>
        <v>#VALUE!</v>
      </c>
      <c r="Y119" s="489" t="e">
        <f t="shared" ref="Y119:Y155" si="57">AT119</f>
        <v>#VALUE!</v>
      </c>
      <c r="Z119" s="629" t="e">
        <f t="shared" ref="Z119:Z155" si="58">AW119</f>
        <v>#VALUE!</v>
      </c>
      <c r="AA119" s="626" t="e">
        <f t="shared" ref="AA119:AA155" si="59">0.0316*Z119*SQRT(fc)*$E$15*$E$14</f>
        <v>#VALUE!</v>
      </c>
      <c r="AB119" s="481" t="e">
        <f>MATCH(V119,Reference!$S$7:$S$17,1)</f>
        <v>#VALUE!</v>
      </c>
      <c r="AC119" s="1388" t="e">
        <f>12-MATCH(V119,Reference!$AD$6:$AD$16,-1)</f>
        <v>#VALUE!</v>
      </c>
      <c r="AD119" s="482" t="e">
        <f>MATCH(X119,Reference!$T$6:$AB$6,1)</f>
        <v>#VALUE!</v>
      </c>
      <c r="AE119" s="482" t="e">
        <f>10-MATCH(X119,Reference!$AD$18:$AL$18,-1)</f>
        <v>#VALUE!</v>
      </c>
      <c r="AF119" s="482" t="e">
        <f>INDEX(Reference!$T$7:$AB$17,AB119,AD119)</f>
        <v>#VALUE!</v>
      </c>
      <c r="AG119" s="482" t="e">
        <f>INDEX(Reference!$T$7:$AB$17,AB119,AE119)</f>
        <v>#VALUE!</v>
      </c>
      <c r="AH119" s="482" t="e">
        <f>INDEX(Reference!$T$7:$AB$17,AC119,AD119)</f>
        <v>#VALUE!</v>
      </c>
      <c r="AI119" s="482" t="e">
        <f>INDEX(Reference!$T$7:$AB$17,AC119,AE119)</f>
        <v>#VALUE!</v>
      </c>
      <c r="AJ119" s="482" t="e">
        <f>INDEX(Reference!$T$23:$AB$33,AB119,AD119)</f>
        <v>#VALUE!</v>
      </c>
      <c r="AK119" s="482" t="e">
        <f>INDEX(Reference!$T$23:$AB$33,AB119,AE119)</f>
        <v>#VALUE!</v>
      </c>
      <c r="AL119" s="482" t="e">
        <f>INDEX(Reference!$T$23:$AB$33,AC119,AD119)</f>
        <v>#VALUE!</v>
      </c>
      <c r="AM119" s="482" t="e">
        <f>INDEX(Reference!$T$23:$AB$33,AC119,AE119)</f>
        <v>#VALUE!</v>
      </c>
      <c r="AN119" s="483" t="e">
        <f>INDEX(Reference!$S$7:$S$17,AB119,1)</f>
        <v>#VALUE!</v>
      </c>
      <c r="AO119" s="483" t="e">
        <f>INDEX(Reference!$S$7:$S$17,AC119,1)</f>
        <v>#VALUE!</v>
      </c>
      <c r="AP119" s="484" t="e">
        <f>INDEX(Reference!$T$6:$AB$6,1,AD119)</f>
        <v>#VALUE!</v>
      </c>
      <c r="AQ119" s="484" t="e">
        <f>INDEX(Reference!$T$6:$AB$6,1,AE119)</f>
        <v>#VALUE!</v>
      </c>
      <c r="AR119" s="629" t="e">
        <f t="shared" ref="AR119:AR155" si="60">AF119+(V119-AN119)*(AH119-AF119)/IF((AO119-AN119)=0,1,(AO119-AN119))</f>
        <v>#VALUE!</v>
      </c>
      <c r="AS119" s="629" t="e">
        <f t="shared" ref="AS119:AS155" si="61">AG119+(V119-AN119)*(AI119-AG119)/IF((AO119-AN119)=0,1,(AO119-AN119))</f>
        <v>#VALUE!</v>
      </c>
      <c r="AT119" s="629" t="e">
        <f t="shared" ref="AT119:AT155" si="62">AR119+(X119-AP119)*(AS119-AR119)/IF((AQ119-AP119)=0,1,(AQ119-AP119))</f>
        <v>#VALUE!</v>
      </c>
      <c r="AU119" s="629" t="e">
        <f t="shared" ref="AU119:AU155" si="63">AJ119+(V119-AN119)*(AL119-AJ119)/IF((AO119-AN119)=0,1,(AO119-AN119))</f>
        <v>#VALUE!</v>
      </c>
      <c r="AV119" s="629" t="e">
        <f t="shared" ref="AV119:AV155" si="64">AK119+(V119-AN119)*(AM119-AK119)/IF((AO119-AN119)=0,1,(AO119-AN119))</f>
        <v>#VALUE!</v>
      </c>
      <c r="AW119" s="630" t="e">
        <f t="shared" ref="AW119:AW155" si="65">AU119+(X119-AP119)*(AV119-AU119)/IF((AQ119-AP119)=0,1,(AQ119-AP119))</f>
        <v>#VALUE!</v>
      </c>
      <c r="AZ119" s="489" t="str">
        <f t="shared" ref="AZ119:AZ155" si="66">IF(ISERROR(ROUNDDOWN(L119,0)),"",ROUNDDOWN(L119,0))</f>
        <v/>
      </c>
      <c r="BA119" s="631" t="e">
        <f t="shared" si="42"/>
        <v>#VALUE!</v>
      </c>
      <c r="BB119" s="491" t="e">
        <f t="shared" si="42"/>
        <v>#VALUE!</v>
      </c>
      <c r="BC119" s="491" t="e">
        <f t="shared" si="42"/>
        <v>#VALUE!</v>
      </c>
      <c r="BD119" s="491" t="e">
        <f t="shared" si="42"/>
        <v>#VALUE!</v>
      </c>
      <c r="BE119" s="491" t="e">
        <f t="shared" si="42"/>
        <v>#VALUE!</v>
      </c>
      <c r="BF119" s="491" t="e">
        <f t="shared" si="42"/>
        <v>#VALUE!</v>
      </c>
      <c r="BG119" s="491" t="e">
        <f t="shared" si="42"/>
        <v>#VALUE!</v>
      </c>
      <c r="BH119" s="491" t="e">
        <f t="shared" si="42"/>
        <v>#VALUE!</v>
      </c>
      <c r="BI119" s="491" t="e">
        <f t="shared" si="42"/>
        <v>#VALUE!</v>
      </c>
      <c r="BJ119" s="491" t="e">
        <f t="shared" si="42"/>
        <v>#VALUE!</v>
      </c>
      <c r="BK119" s="400">
        <f t="shared" ref="BK119:BK155" si="67">BK118+1</f>
        <v>69</v>
      </c>
      <c r="BL119" s="491" t="e">
        <f t="shared" ref="BL119:BO155" si="68">HLOOKUP(BL$53,$BA$51:$BJ$500,$BK119,FALSE)</f>
        <v>#VALUE!</v>
      </c>
      <c r="BM119" s="491" t="e">
        <f t="shared" si="68"/>
        <v>#VALUE!</v>
      </c>
      <c r="BN119" s="491" t="e">
        <f t="shared" si="68"/>
        <v>#VALUE!</v>
      </c>
      <c r="BO119" s="491" t="e">
        <f t="shared" si="68"/>
        <v>#VALUE!</v>
      </c>
      <c r="BP119" s="622" t="e">
        <f t="shared" ref="BP119:BP155" si="69">IF(B119="#",$BP$53,0)</f>
        <v>#VALUE!</v>
      </c>
      <c r="BQ119" s="274" t="e">
        <f>IF(L119="","Column",IF(OR(C119&lt;MAX(ColSpa1,Geometry!$J$107),C119&gt;MAX(MAX(Geometry!$I$107:$I$116),MAX(Geometry!$J$107:$J$116))),MIN(6,INDEX($O$45:$O$48,MATCH(L119,$O$45:$O$48,1),1)),INDEX($O$45:$O$48,MATCH(L119,$O$45:$O$48,1),1)))</f>
        <v>#VALUE!</v>
      </c>
    </row>
    <row r="120" spans="1:69">
      <c r="A120" s="339"/>
      <c r="B120" s="96" t="e">
        <f>IF(MIN(ABS(C120-INDEX(Geometry!$Q$104:$Q$113,IF(ISERROR(MATCH(C120,Geometry!$Q$104:$Q$113,1)),1,MATCH(C120,Geometry!$Q$104:$Q$113,1)),1)),ABS(C120-INDEX(Geometry!$Q$104:$Q$113,IF(ISERROR(MAX(11-MATCH(C120,Geometry!$R$104:$R$113,-1),1)),1,MAX(11-MATCH(C120,Geometry!$R$104:$R$113,-1),1)),1)))&lt;(halfeffectiveface/12),"#","")</f>
        <v>#VALUE!</v>
      </c>
      <c r="C120" s="96" t="str">
        <f>'CAP18 Out(1)'!D78</f>
        <v/>
      </c>
      <c r="D120" s="184" t="str">
        <f>'CAP18 Out(1)'!M78</f>
        <v/>
      </c>
      <c r="E120" s="179" t="e">
        <f t="shared" si="43"/>
        <v>#VALUE!</v>
      </c>
      <c r="F120" s="87" t="e">
        <f t="shared" si="44"/>
        <v>#VALUE!</v>
      </c>
      <c r="G120" s="87" t="e">
        <f t="shared" si="45"/>
        <v>#VALUE!</v>
      </c>
      <c r="H120" s="185" t="e">
        <f t="shared" si="46"/>
        <v>#VALUE!</v>
      </c>
      <c r="I120" s="184" t="e">
        <f t="shared" si="47"/>
        <v>#VALUE!</v>
      </c>
      <c r="J120" s="184">
        <f t="shared" si="48"/>
        <v>0</v>
      </c>
      <c r="K120" s="184">
        <f t="shared" si="49"/>
        <v>0</v>
      </c>
      <c r="L120" s="296" t="e">
        <f t="shared" si="50"/>
        <v>#VALUE!</v>
      </c>
      <c r="M120" s="294" t="e">
        <f>IF(L120="Column","",IF(OR(C120&lt;MAX(ColSpa1,Geometry!$J$107),C120&gt;MAX(MAX(Geometry!$I$107:$I$116),MAX(Geometry!$J$107:$J$116))),"OH - 6''",""))</f>
        <v>#VALUE!</v>
      </c>
      <c r="N120" s="1053">
        <v>36.4</v>
      </c>
      <c r="O120" s="489">
        <f t="shared" si="51"/>
        <v>0</v>
      </c>
      <c r="P120" s="489">
        <f t="shared" si="52"/>
        <v>0</v>
      </c>
      <c r="Q120" s="400" t="e">
        <f>'CAP18 Out(1)'!I78</f>
        <v>#VALUE!</v>
      </c>
      <c r="R120" s="400" t="e">
        <f>'CAP18 Out(1)'!J78</f>
        <v>#VALUE!</v>
      </c>
      <c r="S120" s="400" t="e">
        <f>IF(E120=ABS(Q120),VLOOKUP('Bars B'!$F$10,BarTable,4,FALSE)/12,1.3*VLOOKUP('Bars A'!$F$10,BarTable,4,FALSE)/12)</f>
        <v>#VALUE!</v>
      </c>
      <c r="T120" s="626" t="e">
        <f t="shared" si="53"/>
        <v>#VALUE!</v>
      </c>
      <c r="U120" s="489" t="e">
        <f>IF(T120&gt;S120,IF(E120=ABS(R120),'Bars A'!$I$13,'Bars B'!$I$13),0.0000000001)</f>
        <v>#VALUE!</v>
      </c>
      <c r="V120" s="483" t="e">
        <f t="shared" si="54"/>
        <v>#VALUE!</v>
      </c>
      <c r="W120" s="627" t="e">
        <f t="shared" si="55"/>
        <v>#VALUE!</v>
      </c>
      <c r="X120" s="628" t="e">
        <f t="shared" si="56"/>
        <v>#VALUE!</v>
      </c>
      <c r="Y120" s="489" t="e">
        <f t="shared" si="57"/>
        <v>#VALUE!</v>
      </c>
      <c r="Z120" s="629" t="e">
        <f t="shared" si="58"/>
        <v>#VALUE!</v>
      </c>
      <c r="AA120" s="626" t="e">
        <f t="shared" si="59"/>
        <v>#VALUE!</v>
      </c>
      <c r="AB120" s="481" t="e">
        <f>MATCH(V120,Reference!$S$7:$S$17,1)</f>
        <v>#VALUE!</v>
      </c>
      <c r="AC120" s="1388" t="e">
        <f>12-MATCH(V120,Reference!$AD$6:$AD$16,-1)</f>
        <v>#VALUE!</v>
      </c>
      <c r="AD120" s="482" t="e">
        <f>MATCH(X120,Reference!$T$6:$AB$6,1)</f>
        <v>#VALUE!</v>
      </c>
      <c r="AE120" s="482" t="e">
        <f>10-MATCH(X120,Reference!$AD$18:$AL$18,-1)</f>
        <v>#VALUE!</v>
      </c>
      <c r="AF120" s="482" t="e">
        <f>INDEX(Reference!$T$7:$AB$17,AB120,AD120)</f>
        <v>#VALUE!</v>
      </c>
      <c r="AG120" s="482" t="e">
        <f>INDEX(Reference!$T$7:$AB$17,AB120,AE120)</f>
        <v>#VALUE!</v>
      </c>
      <c r="AH120" s="482" t="e">
        <f>INDEX(Reference!$T$7:$AB$17,AC120,AD120)</f>
        <v>#VALUE!</v>
      </c>
      <c r="AI120" s="482" t="e">
        <f>INDEX(Reference!$T$7:$AB$17,AC120,AE120)</f>
        <v>#VALUE!</v>
      </c>
      <c r="AJ120" s="482" t="e">
        <f>INDEX(Reference!$T$23:$AB$33,AB120,AD120)</f>
        <v>#VALUE!</v>
      </c>
      <c r="AK120" s="482" t="e">
        <f>INDEX(Reference!$T$23:$AB$33,AB120,AE120)</f>
        <v>#VALUE!</v>
      </c>
      <c r="AL120" s="482" t="e">
        <f>INDEX(Reference!$T$23:$AB$33,AC120,AD120)</f>
        <v>#VALUE!</v>
      </c>
      <c r="AM120" s="482" t="e">
        <f>INDEX(Reference!$T$23:$AB$33,AC120,AE120)</f>
        <v>#VALUE!</v>
      </c>
      <c r="AN120" s="483" t="e">
        <f>INDEX(Reference!$S$7:$S$17,AB120,1)</f>
        <v>#VALUE!</v>
      </c>
      <c r="AO120" s="483" t="e">
        <f>INDEX(Reference!$S$7:$S$17,AC120,1)</f>
        <v>#VALUE!</v>
      </c>
      <c r="AP120" s="484" t="e">
        <f>INDEX(Reference!$T$6:$AB$6,1,AD120)</f>
        <v>#VALUE!</v>
      </c>
      <c r="AQ120" s="484" t="e">
        <f>INDEX(Reference!$T$6:$AB$6,1,AE120)</f>
        <v>#VALUE!</v>
      </c>
      <c r="AR120" s="629" t="e">
        <f t="shared" si="60"/>
        <v>#VALUE!</v>
      </c>
      <c r="AS120" s="629" t="e">
        <f t="shared" si="61"/>
        <v>#VALUE!</v>
      </c>
      <c r="AT120" s="629" t="e">
        <f t="shared" si="62"/>
        <v>#VALUE!</v>
      </c>
      <c r="AU120" s="629" t="e">
        <f t="shared" si="63"/>
        <v>#VALUE!</v>
      </c>
      <c r="AV120" s="629" t="e">
        <f t="shared" si="64"/>
        <v>#VALUE!</v>
      </c>
      <c r="AW120" s="630" t="e">
        <f t="shared" si="65"/>
        <v>#VALUE!</v>
      </c>
      <c r="AZ120" s="489" t="str">
        <f t="shared" si="66"/>
        <v/>
      </c>
      <c r="BA120" s="631" t="e">
        <f t="shared" si="42"/>
        <v>#VALUE!</v>
      </c>
      <c r="BB120" s="491" t="e">
        <f t="shared" si="42"/>
        <v>#VALUE!</v>
      </c>
      <c r="BC120" s="491" t="e">
        <f t="shared" si="42"/>
        <v>#VALUE!</v>
      </c>
      <c r="BD120" s="491" t="e">
        <f t="shared" si="42"/>
        <v>#VALUE!</v>
      </c>
      <c r="BE120" s="491" t="e">
        <f t="shared" si="42"/>
        <v>#VALUE!</v>
      </c>
      <c r="BF120" s="491" t="e">
        <f t="shared" si="42"/>
        <v>#VALUE!</v>
      </c>
      <c r="BG120" s="491" t="e">
        <f t="shared" si="42"/>
        <v>#VALUE!</v>
      </c>
      <c r="BH120" s="491" t="e">
        <f t="shared" si="42"/>
        <v>#VALUE!</v>
      </c>
      <c r="BI120" s="491" t="e">
        <f t="shared" si="42"/>
        <v>#VALUE!</v>
      </c>
      <c r="BJ120" s="491" t="e">
        <f t="shared" si="42"/>
        <v>#VALUE!</v>
      </c>
      <c r="BK120" s="400">
        <f t="shared" si="67"/>
        <v>70</v>
      </c>
      <c r="BL120" s="491" t="e">
        <f t="shared" si="68"/>
        <v>#VALUE!</v>
      </c>
      <c r="BM120" s="491" t="e">
        <f t="shared" si="68"/>
        <v>#VALUE!</v>
      </c>
      <c r="BN120" s="491" t="e">
        <f t="shared" si="68"/>
        <v>#VALUE!</v>
      </c>
      <c r="BO120" s="491" t="e">
        <f t="shared" si="68"/>
        <v>#VALUE!</v>
      </c>
      <c r="BP120" s="622" t="e">
        <f t="shared" si="69"/>
        <v>#VALUE!</v>
      </c>
      <c r="BQ120" s="274" t="e">
        <f>IF(L120="","Column",IF(OR(C120&lt;MAX(ColSpa1,Geometry!$J$107),C120&gt;MAX(MAX(Geometry!$I$107:$I$116),MAX(Geometry!$J$107:$J$116))),MIN(6,INDEX($O$45:$O$48,MATCH(L120,$O$45:$O$48,1),1)),INDEX($O$45:$O$48,MATCH(L120,$O$45:$O$48,1),1)))</f>
        <v>#VALUE!</v>
      </c>
    </row>
    <row r="121" spans="1:69">
      <c r="A121" s="339"/>
      <c r="B121" s="96" t="e">
        <f>IF(MIN(ABS(C121-INDEX(Geometry!$Q$104:$Q$113,IF(ISERROR(MATCH(C121,Geometry!$Q$104:$Q$113,1)),1,MATCH(C121,Geometry!$Q$104:$Q$113,1)),1)),ABS(C121-INDEX(Geometry!$Q$104:$Q$113,IF(ISERROR(MAX(11-MATCH(C121,Geometry!$R$104:$R$113,-1),1)),1,MAX(11-MATCH(C121,Geometry!$R$104:$R$113,-1),1)),1)))&lt;(halfeffectiveface/12),"#","")</f>
        <v>#VALUE!</v>
      </c>
      <c r="C121" s="96" t="str">
        <f>'CAP18 Out(1)'!D79</f>
        <v/>
      </c>
      <c r="D121" s="184" t="str">
        <f>'CAP18 Out(1)'!M79</f>
        <v/>
      </c>
      <c r="E121" s="179" t="e">
        <f t="shared" si="43"/>
        <v>#VALUE!</v>
      </c>
      <c r="F121" s="87" t="e">
        <f t="shared" si="44"/>
        <v>#VALUE!</v>
      </c>
      <c r="G121" s="87" t="e">
        <f t="shared" si="45"/>
        <v>#VALUE!</v>
      </c>
      <c r="H121" s="185" t="e">
        <f t="shared" si="46"/>
        <v>#VALUE!</v>
      </c>
      <c r="I121" s="184" t="e">
        <f t="shared" si="47"/>
        <v>#VALUE!</v>
      </c>
      <c r="J121" s="184">
        <f t="shared" si="48"/>
        <v>0</v>
      </c>
      <c r="K121" s="184">
        <f t="shared" si="49"/>
        <v>0</v>
      </c>
      <c r="L121" s="296" t="e">
        <f t="shared" si="50"/>
        <v>#VALUE!</v>
      </c>
      <c r="M121" s="294" t="e">
        <f>IF(L121="Column","",IF(OR(C121&lt;MAX(ColSpa1,Geometry!$J$107),C121&gt;MAX(MAX(Geometry!$I$107:$I$116),MAX(Geometry!$J$107:$J$116))),"OH - 6''",""))</f>
        <v>#VALUE!</v>
      </c>
      <c r="N121" s="1053">
        <v>36.4</v>
      </c>
      <c r="O121" s="489">
        <f t="shared" si="51"/>
        <v>0</v>
      </c>
      <c r="P121" s="489">
        <f t="shared" si="52"/>
        <v>0</v>
      </c>
      <c r="Q121" s="400" t="e">
        <f>'CAP18 Out(1)'!I79</f>
        <v>#VALUE!</v>
      </c>
      <c r="R121" s="400" t="e">
        <f>'CAP18 Out(1)'!J79</f>
        <v>#VALUE!</v>
      </c>
      <c r="S121" s="400" t="e">
        <f>IF(E121=ABS(Q121),VLOOKUP('Bars B'!$F$10,BarTable,4,FALSE)/12,1.3*VLOOKUP('Bars A'!$F$10,BarTable,4,FALSE)/12)</f>
        <v>#VALUE!</v>
      </c>
      <c r="T121" s="626" t="e">
        <f t="shared" si="53"/>
        <v>#VALUE!</v>
      </c>
      <c r="U121" s="489" t="e">
        <f>IF(T121&gt;S121,IF(E121=ABS(R121),'Bars A'!$I$13,'Bars B'!$I$13),0.0000000001)</f>
        <v>#VALUE!</v>
      </c>
      <c r="V121" s="483" t="e">
        <f t="shared" si="54"/>
        <v>#VALUE!</v>
      </c>
      <c r="W121" s="627" t="e">
        <f t="shared" si="55"/>
        <v>#VALUE!</v>
      </c>
      <c r="X121" s="628" t="e">
        <f t="shared" si="56"/>
        <v>#VALUE!</v>
      </c>
      <c r="Y121" s="489" t="e">
        <f t="shared" si="57"/>
        <v>#VALUE!</v>
      </c>
      <c r="Z121" s="629" t="e">
        <f t="shared" si="58"/>
        <v>#VALUE!</v>
      </c>
      <c r="AA121" s="626" t="e">
        <f t="shared" si="59"/>
        <v>#VALUE!</v>
      </c>
      <c r="AB121" s="481" t="e">
        <f>MATCH(V121,Reference!$S$7:$S$17,1)</f>
        <v>#VALUE!</v>
      </c>
      <c r="AC121" s="1388" t="e">
        <f>12-MATCH(V121,Reference!$AD$6:$AD$16,-1)</f>
        <v>#VALUE!</v>
      </c>
      <c r="AD121" s="482" t="e">
        <f>MATCH(X121,Reference!$T$6:$AB$6,1)</f>
        <v>#VALUE!</v>
      </c>
      <c r="AE121" s="482" t="e">
        <f>10-MATCH(X121,Reference!$AD$18:$AL$18,-1)</f>
        <v>#VALUE!</v>
      </c>
      <c r="AF121" s="482" t="e">
        <f>INDEX(Reference!$T$7:$AB$17,AB121,AD121)</f>
        <v>#VALUE!</v>
      </c>
      <c r="AG121" s="482" t="e">
        <f>INDEX(Reference!$T$7:$AB$17,AB121,AE121)</f>
        <v>#VALUE!</v>
      </c>
      <c r="AH121" s="482" t="e">
        <f>INDEX(Reference!$T$7:$AB$17,AC121,AD121)</f>
        <v>#VALUE!</v>
      </c>
      <c r="AI121" s="482" t="e">
        <f>INDEX(Reference!$T$7:$AB$17,AC121,AE121)</f>
        <v>#VALUE!</v>
      </c>
      <c r="AJ121" s="482" t="e">
        <f>INDEX(Reference!$T$23:$AB$33,AB121,AD121)</f>
        <v>#VALUE!</v>
      </c>
      <c r="AK121" s="482" t="e">
        <f>INDEX(Reference!$T$23:$AB$33,AB121,AE121)</f>
        <v>#VALUE!</v>
      </c>
      <c r="AL121" s="482" t="e">
        <f>INDEX(Reference!$T$23:$AB$33,AC121,AD121)</f>
        <v>#VALUE!</v>
      </c>
      <c r="AM121" s="482" t="e">
        <f>INDEX(Reference!$T$23:$AB$33,AC121,AE121)</f>
        <v>#VALUE!</v>
      </c>
      <c r="AN121" s="483" t="e">
        <f>INDEX(Reference!$S$7:$S$17,AB121,1)</f>
        <v>#VALUE!</v>
      </c>
      <c r="AO121" s="483" t="e">
        <f>INDEX(Reference!$S$7:$S$17,AC121,1)</f>
        <v>#VALUE!</v>
      </c>
      <c r="AP121" s="484" t="e">
        <f>INDEX(Reference!$T$6:$AB$6,1,AD121)</f>
        <v>#VALUE!</v>
      </c>
      <c r="AQ121" s="484" t="e">
        <f>INDEX(Reference!$T$6:$AB$6,1,AE121)</f>
        <v>#VALUE!</v>
      </c>
      <c r="AR121" s="629" t="e">
        <f t="shared" si="60"/>
        <v>#VALUE!</v>
      </c>
      <c r="AS121" s="629" t="e">
        <f t="shared" si="61"/>
        <v>#VALUE!</v>
      </c>
      <c r="AT121" s="629" t="e">
        <f t="shared" si="62"/>
        <v>#VALUE!</v>
      </c>
      <c r="AU121" s="629" t="e">
        <f t="shared" si="63"/>
        <v>#VALUE!</v>
      </c>
      <c r="AV121" s="629" t="e">
        <f t="shared" si="64"/>
        <v>#VALUE!</v>
      </c>
      <c r="AW121" s="630" t="e">
        <f t="shared" si="65"/>
        <v>#VALUE!</v>
      </c>
      <c r="AZ121" s="489" t="str">
        <f t="shared" si="66"/>
        <v/>
      </c>
      <c r="BA121" s="631" t="e">
        <f t="shared" ref="BA121:BJ146" si="70">$E$13*MIN(Vnmax,$AA121+$K121/BA$51)</f>
        <v>#VALUE!</v>
      </c>
      <c r="BB121" s="491" t="e">
        <f t="shared" si="70"/>
        <v>#VALUE!</v>
      </c>
      <c r="BC121" s="491" t="e">
        <f t="shared" si="70"/>
        <v>#VALUE!</v>
      </c>
      <c r="BD121" s="491" t="e">
        <f t="shared" si="70"/>
        <v>#VALUE!</v>
      </c>
      <c r="BE121" s="491" t="e">
        <f t="shared" si="70"/>
        <v>#VALUE!</v>
      </c>
      <c r="BF121" s="491" t="e">
        <f t="shared" si="70"/>
        <v>#VALUE!</v>
      </c>
      <c r="BG121" s="491" t="e">
        <f t="shared" si="70"/>
        <v>#VALUE!</v>
      </c>
      <c r="BH121" s="491" t="e">
        <f t="shared" si="70"/>
        <v>#VALUE!</v>
      </c>
      <c r="BI121" s="491" t="e">
        <f t="shared" si="70"/>
        <v>#VALUE!</v>
      </c>
      <c r="BJ121" s="491" t="e">
        <f t="shared" si="70"/>
        <v>#VALUE!</v>
      </c>
      <c r="BK121" s="400">
        <f t="shared" si="67"/>
        <v>71</v>
      </c>
      <c r="BL121" s="491" t="e">
        <f t="shared" si="68"/>
        <v>#VALUE!</v>
      </c>
      <c r="BM121" s="491" t="e">
        <f t="shared" si="68"/>
        <v>#VALUE!</v>
      </c>
      <c r="BN121" s="491" t="e">
        <f t="shared" si="68"/>
        <v>#VALUE!</v>
      </c>
      <c r="BO121" s="491" t="e">
        <f t="shared" si="68"/>
        <v>#VALUE!</v>
      </c>
      <c r="BP121" s="622" t="e">
        <f t="shared" si="69"/>
        <v>#VALUE!</v>
      </c>
      <c r="BQ121" s="274" t="e">
        <f>IF(L121="","Column",IF(OR(C121&lt;MAX(ColSpa1,Geometry!$J$107),C121&gt;MAX(MAX(Geometry!$I$107:$I$116),MAX(Geometry!$J$107:$J$116))),MIN(6,INDEX($O$45:$O$48,MATCH(L121,$O$45:$O$48,1),1)),INDEX($O$45:$O$48,MATCH(L121,$O$45:$O$48,1),1)))</f>
        <v>#VALUE!</v>
      </c>
    </row>
    <row r="122" spans="1:69">
      <c r="A122" s="339"/>
      <c r="B122" s="96" t="e">
        <f>IF(MIN(ABS(C122-INDEX(Geometry!$Q$104:$Q$113,IF(ISERROR(MATCH(C122,Geometry!$Q$104:$Q$113,1)),1,MATCH(C122,Geometry!$Q$104:$Q$113,1)),1)),ABS(C122-INDEX(Geometry!$Q$104:$Q$113,IF(ISERROR(MAX(11-MATCH(C122,Geometry!$R$104:$R$113,-1),1)),1,MAX(11-MATCH(C122,Geometry!$R$104:$R$113,-1),1)),1)))&lt;(halfeffectiveface/12),"#","")</f>
        <v>#VALUE!</v>
      </c>
      <c r="C122" s="96" t="str">
        <f>'CAP18 Out(1)'!D80</f>
        <v/>
      </c>
      <c r="D122" s="184" t="str">
        <f>'CAP18 Out(1)'!M80</f>
        <v/>
      </c>
      <c r="E122" s="179" t="e">
        <f t="shared" si="43"/>
        <v>#VALUE!</v>
      </c>
      <c r="F122" s="87" t="e">
        <f t="shared" si="44"/>
        <v>#VALUE!</v>
      </c>
      <c r="G122" s="87" t="e">
        <f t="shared" si="45"/>
        <v>#VALUE!</v>
      </c>
      <c r="H122" s="185" t="e">
        <f t="shared" si="46"/>
        <v>#VALUE!</v>
      </c>
      <c r="I122" s="184" t="e">
        <f t="shared" si="47"/>
        <v>#VALUE!</v>
      </c>
      <c r="J122" s="184">
        <f t="shared" si="48"/>
        <v>0</v>
      </c>
      <c r="K122" s="184">
        <f t="shared" si="49"/>
        <v>0</v>
      </c>
      <c r="L122" s="296" t="e">
        <f t="shared" si="50"/>
        <v>#VALUE!</v>
      </c>
      <c r="M122" s="294" t="e">
        <f>IF(L122="Column","",IF(OR(C122&lt;MAX(ColSpa1,Geometry!$J$107),C122&gt;MAX(MAX(Geometry!$I$107:$I$116),MAX(Geometry!$J$107:$J$116))),"OH - 6''",""))</f>
        <v>#VALUE!</v>
      </c>
      <c r="N122" s="1053">
        <v>36.4</v>
      </c>
      <c r="O122" s="489">
        <f t="shared" si="51"/>
        <v>0</v>
      </c>
      <c r="P122" s="489">
        <f t="shared" si="52"/>
        <v>0</v>
      </c>
      <c r="Q122" s="400" t="e">
        <f>'CAP18 Out(1)'!I80</f>
        <v>#VALUE!</v>
      </c>
      <c r="R122" s="400" t="e">
        <f>'CAP18 Out(1)'!J80</f>
        <v>#VALUE!</v>
      </c>
      <c r="S122" s="400" t="e">
        <f>IF(E122=ABS(Q122),VLOOKUP('Bars B'!$F$10,BarTable,4,FALSE)/12,1.3*VLOOKUP('Bars A'!$F$10,BarTable,4,FALSE)/12)</f>
        <v>#VALUE!</v>
      </c>
      <c r="T122" s="626" t="e">
        <f t="shared" si="53"/>
        <v>#VALUE!</v>
      </c>
      <c r="U122" s="489" t="e">
        <f>IF(T122&gt;S122,IF(E122=ABS(R122),'Bars A'!$I$13,'Bars B'!$I$13),0.0000000001)</f>
        <v>#VALUE!</v>
      </c>
      <c r="V122" s="483" t="e">
        <f t="shared" si="54"/>
        <v>#VALUE!</v>
      </c>
      <c r="W122" s="627" t="e">
        <f t="shared" si="55"/>
        <v>#VALUE!</v>
      </c>
      <c r="X122" s="628" t="e">
        <f t="shared" si="56"/>
        <v>#VALUE!</v>
      </c>
      <c r="Y122" s="489" t="e">
        <f t="shared" si="57"/>
        <v>#VALUE!</v>
      </c>
      <c r="Z122" s="629" t="e">
        <f t="shared" si="58"/>
        <v>#VALUE!</v>
      </c>
      <c r="AA122" s="626" t="e">
        <f t="shared" si="59"/>
        <v>#VALUE!</v>
      </c>
      <c r="AB122" s="481" t="e">
        <f>MATCH(V122,Reference!$S$7:$S$17,1)</f>
        <v>#VALUE!</v>
      </c>
      <c r="AC122" s="1388" t="e">
        <f>12-MATCH(V122,Reference!$AD$6:$AD$16,-1)</f>
        <v>#VALUE!</v>
      </c>
      <c r="AD122" s="482" t="e">
        <f>MATCH(X122,Reference!$T$6:$AB$6,1)</f>
        <v>#VALUE!</v>
      </c>
      <c r="AE122" s="482" t="e">
        <f>10-MATCH(X122,Reference!$AD$18:$AL$18,-1)</f>
        <v>#VALUE!</v>
      </c>
      <c r="AF122" s="482" t="e">
        <f>INDEX(Reference!$T$7:$AB$17,AB122,AD122)</f>
        <v>#VALUE!</v>
      </c>
      <c r="AG122" s="482" t="e">
        <f>INDEX(Reference!$T$7:$AB$17,AB122,AE122)</f>
        <v>#VALUE!</v>
      </c>
      <c r="AH122" s="482" t="e">
        <f>INDEX(Reference!$T$7:$AB$17,AC122,AD122)</f>
        <v>#VALUE!</v>
      </c>
      <c r="AI122" s="482" t="e">
        <f>INDEX(Reference!$T$7:$AB$17,AC122,AE122)</f>
        <v>#VALUE!</v>
      </c>
      <c r="AJ122" s="482" t="e">
        <f>INDEX(Reference!$T$23:$AB$33,AB122,AD122)</f>
        <v>#VALUE!</v>
      </c>
      <c r="AK122" s="482" t="e">
        <f>INDEX(Reference!$T$23:$AB$33,AB122,AE122)</f>
        <v>#VALUE!</v>
      </c>
      <c r="AL122" s="482" t="e">
        <f>INDEX(Reference!$T$23:$AB$33,AC122,AD122)</f>
        <v>#VALUE!</v>
      </c>
      <c r="AM122" s="482" t="e">
        <f>INDEX(Reference!$T$23:$AB$33,AC122,AE122)</f>
        <v>#VALUE!</v>
      </c>
      <c r="AN122" s="483" t="e">
        <f>INDEX(Reference!$S$7:$S$17,AB122,1)</f>
        <v>#VALUE!</v>
      </c>
      <c r="AO122" s="483" t="e">
        <f>INDEX(Reference!$S$7:$S$17,AC122,1)</f>
        <v>#VALUE!</v>
      </c>
      <c r="AP122" s="484" t="e">
        <f>INDEX(Reference!$T$6:$AB$6,1,AD122)</f>
        <v>#VALUE!</v>
      </c>
      <c r="AQ122" s="484" t="e">
        <f>INDEX(Reference!$T$6:$AB$6,1,AE122)</f>
        <v>#VALUE!</v>
      </c>
      <c r="AR122" s="629" t="e">
        <f t="shared" si="60"/>
        <v>#VALUE!</v>
      </c>
      <c r="AS122" s="629" t="e">
        <f t="shared" si="61"/>
        <v>#VALUE!</v>
      </c>
      <c r="AT122" s="629" t="e">
        <f t="shared" si="62"/>
        <v>#VALUE!</v>
      </c>
      <c r="AU122" s="629" t="e">
        <f t="shared" si="63"/>
        <v>#VALUE!</v>
      </c>
      <c r="AV122" s="629" t="e">
        <f t="shared" si="64"/>
        <v>#VALUE!</v>
      </c>
      <c r="AW122" s="630" t="e">
        <f t="shared" si="65"/>
        <v>#VALUE!</v>
      </c>
      <c r="AZ122" s="489" t="str">
        <f t="shared" si="66"/>
        <v/>
      </c>
      <c r="BA122" s="631" t="e">
        <f t="shared" si="70"/>
        <v>#VALUE!</v>
      </c>
      <c r="BB122" s="491" t="e">
        <f t="shared" si="70"/>
        <v>#VALUE!</v>
      </c>
      <c r="BC122" s="491" t="e">
        <f t="shared" si="70"/>
        <v>#VALUE!</v>
      </c>
      <c r="BD122" s="491" t="e">
        <f t="shared" si="70"/>
        <v>#VALUE!</v>
      </c>
      <c r="BE122" s="491" t="e">
        <f t="shared" si="70"/>
        <v>#VALUE!</v>
      </c>
      <c r="BF122" s="491" t="e">
        <f t="shared" si="70"/>
        <v>#VALUE!</v>
      </c>
      <c r="BG122" s="491" t="e">
        <f t="shared" si="70"/>
        <v>#VALUE!</v>
      </c>
      <c r="BH122" s="491" t="e">
        <f t="shared" si="70"/>
        <v>#VALUE!</v>
      </c>
      <c r="BI122" s="491" t="e">
        <f t="shared" si="70"/>
        <v>#VALUE!</v>
      </c>
      <c r="BJ122" s="491" t="e">
        <f t="shared" si="70"/>
        <v>#VALUE!</v>
      </c>
      <c r="BK122" s="400">
        <f t="shared" si="67"/>
        <v>72</v>
      </c>
      <c r="BL122" s="491" t="e">
        <f t="shared" si="68"/>
        <v>#VALUE!</v>
      </c>
      <c r="BM122" s="491" t="e">
        <f t="shared" si="68"/>
        <v>#VALUE!</v>
      </c>
      <c r="BN122" s="491" t="e">
        <f t="shared" si="68"/>
        <v>#VALUE!</v>
      </c>
      <c r="BO122" s="491" t="e">
        <f t="shared" si="68"/>
        <v>#VALUE!</v>
      </c>
      <c r="BP122" s="622" t="e">
        <f t="shared" si="69"/>
        <v>#VALUE!</v>
      </c>
      <c r="BQ122" s="274" t="e">
        <f>IF(L122="","Column",IF(OR(C122&lt;MAX(ColSpa1,Geometry!$J$107),C122&gt;MAX(MAX(Geometry!$I$107:$I$116),MAX(Geometry!$J$107:$J$116))),MIN(6,INDEX($O$45:$O$48,MATCH(L122,$O$45:$O$48,1),1)),INDEX($O$45:$O$48,MATCH(L122,$O$45:$O$48,1),1)))</f>
        <v>#VALUE!</v>
      </c>
    </row>
    <row r="123" spans="1:69">
      <c r="A123" s="339"/>
      <c r="B123" s="96" t="e">
        <f>IF(MIN(ABS(C123-INDEX(Geometry!$Q$104:$Q$113,IF(ISERROR(MATCH(C123,Geometry!$Q$104:$Q$113,1)),1,MATCH(C123,Geometry!$Q$104:$Q$113,1)),1)),ABS(C123-INDEX(Geometry!$Q$104:$Q$113,IF(ISERROR(MAX(11-MATCH(C123,Geometry!$R$104:$R$113,-1),1)),1,MAX(11-MATCH(C123,Geometry!$R$104:$R$113,-1),1)),1)))&lt;(halfeffectiveface/12),"#","")</f>
        <v>#VALUE!</v>
      </c>
      <c r="C123" s="96" t="str">
        <f>'CAP18 Out(1)'!D81</f>
        <v/>
      </c>
      <c r="D123" s="184" t="str">
        <f>'CAP18 Out(1)'!M81</f>
        <v/>
      </c>
      <c r="E123" s="179" t="e">
        <f t="shared" si="43"/>
        <v>#VALUE!</v>
      </c>
      <c r="F123" s="87" t="e">
        <f t="shared" si="44"/>
        <v>#VALUE!</v>
      </c>
      <c r="G123" s="87" t="e">
        <f t="shared" si="45"/>
        <v>#VALUE!</v>
      </c>
      <c r="H123" s="185" t="e">
        <f t="shared" si="46"/>
        <v>#VALUE!</v>
      </c>
      <c r="I123" s="184" t="e">
        <f t="shared" si="47"/>
        <v>#VALUE!</v>
      </c>
      <c r="J123" s="184">
        <f t="shared" si="48"/>
        <v>0</v>
      </c>
      <c r="K123" s="184">
        <f t="shared" si="49"/>
        <v>0</v>
      </c>
      <c r="L123" s="296" t="e">
        <f t="shared" si="50"/>
        <v>#VALUE!</v>
      </c>
      <c r="M123" s="294" t="e">
        <f>IF(L123="Column","",IF(OR(C123&lt;MAX(ColSpa1,Geometry!$J$107),C123&gt;MAX(MAX(Geometry!$I$107:$I$116),MAX(Geometry!$J$107:$J$116))),"OH - 6''",""))</f>
        <v>#VALUE!</v>
      </c>
      <c r="N123" s="1053">
        <v>36.4</v>
      </c>
      <c r="O123" s="489">
        <f t="shared" si="51"/>
        <v>0</v>
      </c>
      <c r="P123" s="489">
        <f t="shared" si="52"/>
        <v>0</v>
      </c>
      <c r="Q123" s="400" t="e">
        <f>'CAP18 Out(1)'!I81</f>
        <v>#VALUE!</v>
      </c>
      <c r="R123" s="400" t="e">
        <f>'CAP18 Out(1)'!J81</f>
        <v>#VALUE!</v>
      </c>
      <c r="S123" s="400" t="e">
        <f>IF(E123=ABS(Q123),VLOOKUP('Bars B'!$F$10,BarTable,4,FALSE)/12,1.3*VLOOKUP('Bars A'!$F$10,BarTable,4,FALSE)/12)</f>
        <v>#VALUE!</v>
      </c>
      <c r="T123" s="626" t="e">
        <f t="shared" si="53"/>
        <v>#VALUE!</v>
      </c>
      <c r="U123" s="489" t="e">
        <f>IF(T123&gt;S123,IF(E123=ABS(R123),'Bars A'!$I$13,'Bars B'!$I$13),0.0000000001)</f>
        <v>#VALUE!</v>
      </c>
      <c r="V123" s="483" t="e">
        <f t="shared" si="54"/>
        <v>#VALUE!</v>
      </c>
      <c r="W123" s="627" t="e">
        <f t="shared" si="55"/>
        <v>#VALUE!</v>
      </c>
      <c r="X123" s="628" t="e">
        <f t="shared" si="56"/>
        <v>#VALUE!</v>
      </c>
      <c r="Y123" s="489" t="e">
        <f t="shared" si="57"/>
        <v>#VALUE!</v>
      </c>
      <c r="Z123" s="629" t="e">
        <f t="shared" si="58"/>
        <v>#VALUE!</v>
      </c>
      <c r="AA123" s="626" t="e">
        <f t="shared" si="59"/>
        <v>#VALUE!</v>
      </c>
      <c r="AB123" s="481" t="e">
        <f>MATCH(V123,Reference!$S$7:$S$17,1)</f>
        <v>#VALUE!</v>
      </c>
      <c r="AC123" s="1388" t="e">
        <f>12-MATCH(V123,Reference!$AD$6:$AD$16,-1)</f>
        <v>#VALUE!</v>
      </c>
      <c r="AD123" s="482" t="e">
        <f>MATCH(X123,Reference!$T$6:$AB$6,1)</f>
        <v>#VALUE!</v>
      </c>
      <c r="AE123" s="482" t="e">
        <f>10-MATCH(X123,Reference!$AD$18:$AL$18,-1)</f>
        <v>#VALUE!</v>
      </c>
      <c r="AF123" s="482" t="e">
        <f>INDEX(Reference!$T$7:$AB$17,AB123,AD123)</f>
        <v>#VALUE!</v>
      </c>
      <c r="AG123" s="482" t="e">
        <f>INDEX(Reference!$T$7:$AB$17,AB123,AE123)</f>
        <v>#VALUE!</v>
      </c>
      <c r="AH123" s="482" t="e">
        <f>INDEX(Reference!$T$7:$AB$17,AC123,AD123)</f>
        <v>#VALUE!</v>
      </c>
      <c r="AI123" s="482" t="e">
        <f>INDEX(Reference!$T$7:$AB$17,AC123,AE123)</f>
        <v>#VALUE!</v>
      </c>
      <c r="AJ123" s="482" t="e">
        <f>INDEX(Reference!$T$23:$AB$33,AB123,AD123)</f>
        <v>#VALUE!</v>
      </c>
      <c r="AK123" s="482" t="e">
        <f>INDEX(Reference!$T$23:$AB$33,AB123,AE123)</f>
        <v>#VALUE!</v>
      </c>
      <c r="AL123" s="482" t="e">
        <f>INDEX(Reference!$T$23:$AB$33,AC123,AD123)</f>
        <v>#VALUE!</v>
      </c>
      <c r="AM123" s="482" t="e">
        <f>INDEX(Reference!$T$23:$AB$33,AC123,AE123)</f>
        <v>#VALUE!</v>
      </c>
      <c r="AN123" s="483" t="e">
        <f>INDEX(Reference!$S$7:$S$17,AB123,1)</f>
        <v>#VALUE!</v>
      </c>
      <c r="AO123" s="483" t="e">
        <f>INDEX(Reference!$S$7:$S$17,AC123,1)</f>
        <v>#VALUE!</v>
      </c>
      <c r="AP123" s="484" t="e">
        <f>INDEX(Reference!$T$6:$AB$6,1,AD123)</f>
        <v>#VALUE!</v>
      </c>
      <c r="AQ123" s="484" t="e">
        <f>INDEX(Reference!$T$6:$AB$6,1,AE123)</f>
        <v>#VALUE!</v>
      </c>
      <c r="AR123" s="629" t="e">
        <f t="shared" si="60"/>
        <v>#VALUE!</v>
      </c>
      <c r="AS123" s="629" t="e">
        <f t="shared" si="61"/>
        <v>#VALUE!</v>
      </c>
      <c r="AT123" s="629" t="e">
        <f t="shared" si="62"/>
        <v>#VALUE!</v>
      </c>
      <c r="AU123" s="629" t="e">
        <f t="shared" si="63"/>
        <v>#VALUE!</v>
      </c>
      <c r="AV123" s="629" t="e">
        <f t="shared" si="64"/>
        <v>#VALUE!</v>
      </c>
      <c r="AW123" s="630" t="e">
        <f t="shared" si="65"/>
        <v>#VALUE!</v>
      </c>
      <c r="AZ123" s="489" t="str">
        <f t="shared" si="66"/>
        <v/>
      </c>
      <c r="BA123" s="631" t="e">
        <f t="shared" si="70"/>
        <v>#VALUE!</v>
      </c>
      <c r="BB123" s="491" t="e">
        <f t="shared" si="70"/>
        <v>#VALUE!</v>
      </c>
      <c r="BC123" s="491" t="e">
        <f t="shared" si="70"/>
        <v>#VALUE!</v>
      </c>
      <c r="BD123" s="491" t="e">
        <f t="shared" si="70"/>
        <v>#VALUE!</v>
      </c>
      <c r="BE123" s="491" t="e">
        <f t="shared" si="70"/>
        <v>#VALUE!</v>
      </c>
      <c r="BF123" s="491" t="e">
        <f t="shared" si="70"/>
        <v>#VALUE!</v>
      </c>
      <c r="BG123" s="491" t="e">
        <f t="shared" si="70"/>
        <v>#VALUE!</v>
      </c>
      <c r="BH123" s="491" t="e">
        <f t="shared" si="70"/>
        <v>#VALUE!</v>
      </c>
      <c r="BI123" s="491" t="e">
        <f t="shared" si="70"/>
        <v>#VALUE!</v>
      </c>
      <c r="BJ123" s="491" t="e">
        <f t="shared" si="70"/>
        <v>#VALUE!</v>
      </c>
      <c r="BK123" s="400">
        <f t="shared" si="67"/>
        <v>73</v>
      </c>
      <c r="BL123" s="491" t="e">
        <f t="shared" si="68"/>
        <v>#VALUE!</v>
      </c>
      <c r="BM123" s="491" t="e">
        <f t="shared" si="68"/>
        <v>#VALUE!</v>
      </c>
      <c r="BN123" s="491" t="e">
        <f t="shared" si="68"/>
        <v>#VALUE!</v>
      </c>
      <c r="BO123" s="491" t="e">
        <f t="shared" si="68"/>
        <v>#VALUE!</v>
      </c>
      <c r="BP123" s="622" t="e">
        <f t="shared" si="69"/>
        <v>#VALUE!</v>
      </c>
      <c r="BQ123" s="274" t="e">
        <f>IF(L123="","Column",IF(OR(C123&lt;MAX(ColSpa1,Geometry!$J$107),C123&gt;MAX(MAX(Geometry!$I$107:$I$116),MAX(Geometry!$J$107:$J$116))),MIN(6,INDEX($O$45:$O$48,MATCH(L123,$O$45:$O$48,1),1)),INDEX($O$45:$O$48,MATCH(L123,$O$45:$O$48,1),1)))</f>
        <v>#VALUE!</v>
      </c>
    </row>
    <row r="124" spans="1:69">
      <c r="A124" s="339"/>
      <c r="B124" s="96" t="e">
        <f>IF(MIN(ABS(C124-INDEX(Geometry!$Q$104:$Q$113,IF(ISERROR(MATCH(C124,Geometry!$Q$104:$Q$113,1)),1,MATCH(C124,Geometry!$Q$104:$Q$113,1)),1)),ABS(C124-INDEX(Geometry!$Q$104:$Q$113,IF(ISERROR(MAX(11-MATCH(C124,Geometry!$R$104:$R$113,-1),1)),1,MAX(11-MATCH(C124,Geometry!$R$104:$R$113,-1),1)),1)))&lt;(halfeffectiveface/12),"#","")</f>
        <v>#VALUE!</v>
      </c>
      <c r="C124" s="96" t="str">
        <f>'CAP18 Out(1)'!D82</f>
        <v/>
      </c>
      <c r="D124" s="184" t="str">
        <f>'CAP18 Out(1)'!M82</f>
        <v/>
      </c>
      <c r="E124" s="179" t="e">
        <f t="shared" si="43"/>
        <v>#VALUE!</v>
      </c>
      <c r="F124" s="87" t="e">
        <f t="shared" si="44"/>
        <v>#VALUE!</v>
      </c>
      <c r="G124" s="87" t="e">
        <f t="shared" si="45"/>
        <v>#VALUE!</v>
      </c>
      <c r="H124" s="185" t="e">
        <f t="shared" si="46"/>
        <v>#VALUE!</v>
      </c>
      <c r="I124" s="184" t="e">
        <f t="shared" si="47"/>
        <v>#VALUE!</v>
      </c>
      <c r="J124" s="184">
        <f t="shared" si="48"/>
        <v>0</v>
      </c>
      <c r="K124" s="184">
        <f t="shared" si="49"/>
        <v>0</v>
      </c>
      <c r="L124" s="296" t="e">
        <f t="shared" si="50"/>
        <v>#VALUE!</v>
      </c>
      <c r="M124" s="294" t="e">
        <f>IF(L124="Column","",IF(OR(C124&lt;MAX(ColSpa1,Geometry!$J$107),C124&gt;MAX(MAX(Geometry!$I$107:$I$116),MAX(Geometry!$J$107:$J$116))),"OH - 6''",""))</f>
        <v>#VALUE!</v>
      </c>
      <c r="N124" s="1053">
        <v>36.4</v>
      </c>
      <c r="O124" s="489">
        <f t="shared" si="51"/>
        <v>0</v>
      </c>
      <c r="P124" s="489">
        <f t="shared" si="52"/>
        <v>0</v>
      </c>
      <c r="Q124" s="400" t="e">
        <f>'CAP18 Out(1)'!I82</f>
        <v>#VALUE!</v>
      </c>
      <c r="R124" s="400" t="e">
        <f>'CAP18 Out(1)'!J82</f>
        <v>#VALUE!</v>
      </c>
      <c r="S124" s="400" t="e">
        <f>IF(E124=ABS(Q124),VLOOKUP('Bars B'!$F$10,BarTable,4,FALSE)/12,1.3*VLOOKUP('Bars A'!$F$10,BarTable,4,FALSE)/12)</f>
        <v>#VALUE!</v>
      </c>
      <c r="T124" s="626" t="e">
        <f t="shared" si="53"/>
        <v>#VALUE!</v>
      </c>
      <c r="U124" s="489" t="e">
        <f>IF(T124&gt;S124,IF(E124=ABS(R124),'Bars A'!$I$13,'Bars B'!$I$13),0.0000000001)</f>
        <v>#VALUE!</v>
      </c>
      <c r="V124" s="483" t="e">
        <f t="shared" si="54"/>
        <v>#VALUE!</v>
      </c>
      <c r="W124" s="627" t="e">
        <f t="shared" si="55"/>
        <v>#VALUE!</v>
      </c>
      <c r="X124" s="628" t="e">
        <f t="shared" si="56"/>
        <v>#VALUE!</v>
      </c>
      <c r="Y124" s="489" t="e">
        <f t="shared" si="57"/>
        <v>#VALUE!</v>
      </c>
      <c r="Z124" s="629" t="e">
        <f t="shared" si="58"/>
        <v>#VALUE!</v>
      </c>
      <c r="AA124" s="626" t="e">
        <f t="shared" si="59"/>
        <v>#VALUE!</v>
      </c>
      <c r="AB124" s="481" t="e">
        <f>MATCH(V124,Reference!$S$7:$S$17,1)</f>
        <v>#VALUE!</v>
      </c>
      <c r="AC124" s="1388" t="e">
        <f>12-MATCH(V124,Reference!$AD$6:$AD$16,-1)</f>
        <v>#VALUE!</v>
      </c>
      <c r="AD124" s="482" t="e">
        <f>MATCH(X124,Reference!$T$6:$AB$6,1)</f>
        <v>#VALUE!</v>
      </c>
      <c r="AE124" s="482" t="e">
        <f>10-MATCH(X124,Reference!$AD$18:$AL$18,-1)</f>
        <v>#VALUE!</v>
      </c>
      <c r="AF124" s="482" t="e">
        <f>INDEX(Reference!$T$7:$AB$17,AB124,AD124)</f>
        <v>#VALUE!</v>
      </c>
      <c r="AG124" s="482" t="e">
        <f>INDEX(Reference!$T$7:$AB$17,AB124,AE124)</f>
        <v>#VALUE!</v>
      </c>
      <c r="AH124" s="482" t="e">
        <f>INDEX(Reference!$T$7:$AB$17,AC124,AD124)</f>
        <v>#VALUE!</v>
      </c>
      <c r="AI124" s="482" t="e">
        <f>INDEX(Reference!$T$7:$AB$17,AC124,AE124)</f>
        <v>#VALUE!</v>
      </c>
      <c r="AJ124" s="482" t="e">
        <f>INDEX(Reference!$T$23:$AB$33,AB124,AD124)</f>
        <v>#VALUE!</v>
      </c>
      <c r="AK124" s="482" t="e">
        <f>INDEX(Reference!$T$23:$AB$33,AB124,AE124)</f>
        <v>#VALUE!</v>
      </c>
      <c r="AL124" s="482" t="e">
        <f>INDEX(Reference!$T$23:$AB$33,AC124,AD124)</f>
        <v>#VALUE!</v>
      </c>
      <c r="AM124" s="482" t="e">
        <f>INDEX(Reference!$T$23:$AB$33,AC124,AE124)</f>
        <v>#VALUE!</v>
      </c>
      <c r="AN124" s="483" t="e">
        <f>INDEX(Reference!$S$7:$S$17,AB124,1)</f>
        <v>#VALUE!</v>
      </c>
      <c r="AO124" s="483" t="e">
        <f>INDEX(Reference!$S$7:$S$17,AC124,1)</f>
        <v>#VALUE!</v>
      </c>
      <c r="AP124" s="484" t="e">
        <f>INDEX(Reference!$T$6:$AB$6,1,AD124)</f>
        <v>#VALUE!</v>
      </c>
      <c r="AQ124" s="484" t="e">
        <f>INDEX(Reference!$T$6:$AB$6,1,AE124)</f>
        <v>#VALUE!</v>
      </c>
      <c r="AR124" s="629" t="e">
        <f t="shared" si="60"/>
        <v>#VALUE!</v>
      </c>
      <c r="AS124" s="629" t="e">
        <f t="shared" si="61"/>
        <v>#VALUE!</v>
      </c>
      <c r="AT124" s="629" t="e">
        <f t="shared" si="62"/>
        <v>#VALUE!</v>
      </c>
      <c r="AU124" s="629" t="e">
        <f t="shared" si="63"/>
        <v>#VALUE!</v>
      </c>
      <c r="AV124" s="629" t="e">
        <f t="shared" si="64"/>
        <v>#VALUE!</v>
      </c>
      <c r="AW124" s="630" t="e">
        <f t="shared" si="65"/>
        <v>#VALUE!</v>
      </c>
      <c r="AZ124" s="489" t="str">
        <f t="shared" si="66"/>
        <v/>
      </c>
      <c r="BA124" s="631" t="e">
        <f t="shared" si="70"/>
        <v>#VALUE!</v>
      </c>
      <c r="BB124" s="491" t="e">
        <f t="shared" si="70"/>
        <v>#VALUE!</v>
      </c>
      <c r="BC124" s="491" t="e">
        <f t="shared" si="70"/>
        <v>#VALUE!</v>
      </c>
      <c r="BD124" s="491" t="e">
        <f t="shared" si="70"/>
        <v>#VALUE!</v>
      </c>
      <c r="BE124" s="491" t="e">
        <f t="shared" si="70"/>
        <v>#VALUE!</v>
      </c>
      <c r="BF124" s="491" t="e">
        <f t="shared" si="70"/>
        <v>#VALUE!</v>
      </c>
      <c r="BG124" s="491" t="e">
        <f t="shared" si="70"/>
        <v>#VALUE!</v>
      </c>
      <c r="BH124" s="491" t="e">
        <f t="shared" si="70"/>
        <v>#VALUE!</v>
      </c>
      <c r="BI124" s="491" t="e">
        <f t="shared" si="70"/>
        <v>#VALUE!</v>
      </c>
      <c r="BJ124" s="491" t="e">
        <f t="shared" si="70"/>
        <v>#VALUE!</v>
      </c>
      <c r="BK124" s="400">
        <f t="shared" si="67"/>
        <v>74</v>
      </c>
      <c r="BL124" s="491" t="e">
        <f t="shared" si="68"/>
        <v>#VALUE!</v>
      </c>
      <c r="BM124" s="491" t="e">
        <f t="shared" si="68"/>
        <v>#VALUE!</v>
      </c>
      <c r="BN124" s="491" t="e">
        <f t="shared" si="68"/>
        <v>#VALUE!</v>
      </c>
      <c r="BO124" s="491" t="e">
        <f t="shared" si="68"/>
        <v>#VALUE!</v>
      </c>
      <c r="BP124" s="622" t="e">
        <f t="shared" si="69"/>
        <v>#VALUE!</v>
      </c>
      <c r="BQ124" s="274" t="e">
        <f>IF(L124="","Column",IF(OR(C124&lt;MAX(ColSpa1,Geometry!$J$107),C124&gt;MAX(MAX(Geometry!$I$107:$I$116),MAX(Geometry!$J$107:$J$116))),MIN(6,INDEX($O$45:$O$48,MATCH(L124,$O$45:$O$48,1),1)),INDEX($O$45:$O$48,MATCH(L124,$O$45:$O$48,1),1)))</f>
        <v>#VALUE!</v>
      </c>
    </row>
    <row r="125" spans="1:69">
      <c r="A125" s="339"/>
      <c r="B125" s="96" t="e">
        <f>IF(MIN(ABS(C125-INDEX(Geometry!$Q$104:$Q$113,IF(ISERROR(MATCH(C125,Geometry!$Q$104:$Q$113,1)),1,MATCH(C125,Geometry!$Q$104:$Q$113,1)),1)),ABS(C125-INDEX(Geometry!$Q$104:$Q$113,IF(ISERROR(MAX(11-MATCH(C125,Geometry!$R$104:$R$113,-1),1)),1,MAX(11-MATCH(C125,Geometry!$R$104:$R$113,-1),1)),1)))&lt;(halfeffectiveface/12),"#","")</f>
        <v>#VALUE!</v>
      </c>
      <c r="C125" s="96" t="str">
        <f>'CAP18 Out(1)'!D83</f>
        <v/>
      </c>
      <c r="D125" s="184" t="str">
        <f>'CAP18 Out(1)'!M83</f>
        <v/>
      </c>
      <c r="E125" s="179" t="e">
        <f t="shared" si="43"/>
        <v>#VALUE!</v>
      </c>
      <c r="F125" s="87" t="e">
        <f t="shared" si="44"/>
        <v>#VALUE!</v>
      </c>
      <c r="G125" s="87" t="e">
        <f t="shared" si="45"/>
        <v>#VALUE!</v>
      </c>
      <c r="H125" s="185" t="e">
        <f t="shared" si="46"/>
        <v>#VALUE!</v>
      </c>
      <c r="I125" s="184" t="e">
        <f t="shared" si="47"/>
        <v>#VALUE!</v>
      </c>
      <c r="J125" s="184">
        <f t="shared" si="48"/>
        <v>0</v>
      </c>
      <c r="K125" s="184">
        <f t="shared" si="49"/>
        <v>0</v>
      </c>
      <c r="L125" s="296" t="e">
        <f t="shared" si="50"/>
        <v>#VALUE!</v>
      </c>
      <c r="M125" s="294" t="e">
        <f>IF(L125="Column","",IF(OR(C125&lt;MAX(ColSpa1,Geometry!$J$107),C125&gt;MAX(MAX(Geometry!$I$107:$I$116),MAX(Geometry!$J$107:$J$116))),"OH - 6''",""))</f>
        <v>#VALUE!</v>
      </c>
      <c r="N125" s="1053">
        <v>36.4</v>
      </c>
      <c r="O125" s="489">
        <f t="shared" si="51"/>
        <v>0</v>
      </c>
      <c r="P125" s="489">
        <f t="shared" si="52"/>
        <v>0</v>
      </c>
      <c r="Q125" s="400" t="e">
        <f>'CAP18 Out(1)'!I83</f>
        <v>#VALUE!</v>
      </c>
      <c r="R125" s="400" t="e">
        <f>'CAP18 Out(1)'!J83</f>
        <v>#VALUE!</v>
      </c>
      <c r="S125" s="400" t="e">
        <f>IF(E125=ABS(Q125),VLOOKUP('Bars B'!$F$10,BarTable,4,FALSE)/12,1.3*VLOOKUP('Bars A'!$F$10,BarTable,4,FALSE)/12)</f>
        <v>#VALUE!</v>
      </c>
      <c r="T125" s="626" t="e">
        <f t="shared" si="53"/>
        <v>#VALUE!</v>
      </c>
      <c r="U125" s="489" t="e">
        <f>IF(T125&gt;S125,IF(E125=ABS(R125),'Bars A'!$I$13,'Bars B'!$I$13),0.0000000001)</f>
        <v>#VALUE!</v>
      </c>
      <c r="V125" s="483" t="e">
        <f t="shared" si="54"/>
        <v>#VALUE!</v>
      </c>
      <c r="W125" s="627" t="e">
        <f t="shared" si="55"/>
        <v>#VALUE!</v>
      </c>
      <c r="X125" s="628" t="e">
        <f t="shared" si="56"/>
        <v>#VALUE!</v>
      </c>
      <c r="Y125" s="489" t="e">
        <f t="shared" si="57"/>
        <v>#VALUE!</v>
      </c>
      <c r="Z125" s="629" t="e">
        <f t="shared" si="58"/>
        <v>#VALUE!</v>
      </c>
      <c r="AA125" s="626" t="e">
        <f t="shared" si="59"/>
        <v>#VALUE!</v>
      </c>
      <c r="AB125" s="481" t="e">
        <f>MATCH(V125,Reference!$S$7:$S$17,1)</f>
        <v>#VALUE!</v>
      </c>
      <c r="AC125" s="1388" t="e">
        <f>12-MATCH(V125,Reference!$AD$6:$AD$16,-1)</f>
        <v>#VALUE!</v>
      </c>
      <c r="AD125" s="482" t="e">
        <f>MATCH(X125,Reference!$T$6:$AB$6,1)</f>
        <v>#VALUE!</v>
      </c>
      <c r="AE125" s="482" t="e">
        <f>10-MATCH(X125,Reference!$AD$18:$AL$18,-1)</f>
        <v>#VALUE!</v>
      </c>
      <c r="AF125" s="482" t="e">
        <f>INDEX(Reference!$T$7:$AB$17,AB125,AD125)</f>
        <v>#VALUE!</v>
      </c>
      <c r="AG125" s="482" t="e">
        <f>INDEX(Reference!$T$7:$AB$17,AB125,AE125)</f>
        <v>#VALUE!</v>
      </c>
      <c r="AH125" s="482" t="e">
        <f>INDEX(Reference!$T$7:$AB$17,AC125,AD125)</f>
        <v>#VALUE!</v>
      </c>
      <c r="AI125" s="482" t="e">
        <f>INDEX(Reference!$T$7:$AB$17,AC125,AE125)</f>
        <v>#VALUE!</v>
      </c>
      <c r="AJ125" s="482" t="e">
        <f>INDEX(Reference!$T$23:$AB$33,AB125,AD125)</f>
        <v>#VALUE!</v>
      </c>
      <c r="AK125" s="482" t="e">
        <f>INDEX(Reference!$T$23:$AB$33,AB125,AE125)</f>
        <v>#VALUE!</v>
      </c>
      <c r="AL125" s="482" t="e">
        <f>INDEX(Reference!$T$23:$AB$33,AC125,AD125)</f>
        <v>#VALUE!</v>
      </c>
      <c r="AM125" s="482" t="e">
        <f>INDEX(Reference!$T$23:$AB$33,AC125,AE125)</f>
        <v>#VALUE!</v>
      </c>
      <c r="AN125" s="483" t="e">
        <f>INDEX(Reference!$S$7:$S$17,AB125,1)</f>
        <v>#VALUE!</v>
      </c>
      <c r="AO125" s="483" t="e">
        <f>INDEX(Reference!$S$7:$S$17,AC125,1)</f>
        <v>#VALUE!</v>
      </c>
      <c r="AP125" s="484" t="e">
        <f>INDEX(Reference!$T$6:$AB$6,1,AD125)</f>
        <v>#VALUE!</v>
      </c>
      <c r="AQ125" s="484" t="e">
        <f>INDEX(Reference!$T$6:$AB$6,1,AE125)</f>
        <v>#VALUE!</v>
      </c>
      <c r="AR125" s="629" t="e">
        <f t="shared" si="60"/>
        <v>#VALUE!</v>
      </c>
      <c r="AS125" s="629" t="e">
        <f t="shared" si="61"/>
        <v>#VALUE!</v>
      </c>
      <c r="AT125" s="629" t="e">
        <f t="shared" si="62"/>
        <v>#VALUE!</v>
      </c>
      <c r="AU125" s="629" t="e">
        <f t="shared" si="63"/>
        <v>#VALUE!</v>
      </c>
      <c r="AV125" s="629" t="e">
        <f t="shared" si="64"/>
        <v>#VALUE!</v>
      </c>
      <c r="AW125" s="630" t="e">
        <f t="shared" si="65"/>
        <v>#VALUE!</v>
      </c>
      <c r="AZ125" s="489" t="str">
        <f t="shared" si="66"/>
        <v/>
      </c>
      <c r="BA125" s="631" t="e">
        <f t="shared" si="70"/>
        <v>#VALUE!</v>
      </c>
      <c r="BB125" s="491" t="e">
        <f t="shared" si="70"/>
        <v>#VALUE!</v>
      </c>
      <c r="BC125" s="491" t="e">
        <f t="shared" si="70"/>
        <v>#VALUE!</v>
      </c>
      <c r="BD125" s="491" t="e">
        <f t="shared" si="70"/>
        <v>#VALUE!</v>
      </c>
      <c r="BE125" s="491" t="e">
        <f t="shared" si="70"/>
        <v>#VALUE!</v>
      </c>
      <c r="BF125" s="491" t="e">
        <f t="shared" si="70"/>
        <v>#VALUE!</v>
      </c>
      <c r="BG125" s="491" t="e">
        <f t="shared" si="70"/>
        <v>#VALUE!</v>
      </c>
      <c r="BH125" s="491" t="e">
        <f t="shared" si="70"/>
        <v>#VALUE!</v>
      </c>
      <c r="BI125" s="491" t="e">
        <f t="shared" si="70"/>
        <v>#VALUE!</v>
      </c>
      <c r="BJ125" s="491" t="e">
        <f t="shared" si="70"/>
        <v>#VALUE!</v>
      </c>
      <c r="BK125" s="400">
        <f t="shared" si="67"/>
        <v>75</v>
      </c>
      <c r="BL125" s="491" t="e">
        <f t="shared" si="68"/>
        <v>#VALUE!</v>
      </c>
      <c r="BM125" s="491" t="e">
        <f t="shared" si="68"/>
        <v>#VALUE!</v>
      </c>
      <c r="BN125" s="491" t="e">
        <f t="shared" si="68"/>
        <v>#VALUE!</v>
      </c>
      <c r="BO125" s="491" t="e">
        <f t="shared" si="68"/>
        <v>#VALUE!</v>
      </c>
      <c r="BP125" s="622" t="e">
        <f t="shared" si="69"/>
        <v>#VALUE!</v>
      </c>
      <c r="BQ125" s="274" t="e">
        <f>IF(L125="","Column",IF(OR(C125&lt;MAX(ColSpa1,Geometry!$J$107),C125&gt;MAX(MAX(Geometry!$I$107:$I$116),MAX(Geometry!$J$107:$J$116))),MIN(6,INDEX($O$45:$O$48,MATCH(L125,$O$45:$O$48,1),1)),INDEX($O$45:$O$48,MATCH(L125,$O$45:$O$48,1),1)))</f>
        <v>#VALUE!</v>
      </c>
    </row>
    <row r="126" spans="1:69">
      <c r="A126" s="339"/>
      <c r="B126" s="96" t="e">
        <f>IF(MIN(ABS(C126-INDEX(Geometry!$Q$104:$Q$113,IF(ISERROR(MATCH(C126,Geometry!$Q$104:$Q$113,1)),1,MATCH(C126,Geometry!$Q$104:$Q$113,1)),1)),ABS(C126-INDEX(Geometry!$Q$104:$Q$113,IF(ISERROR(MAX(11-MATCH(C126,Geometry!$R$104:$R$113,-1),1)),1,MAX(11-MATCH(C126,Geometry!$R$104:$R$113,-1),1)),1)))&lt;(halfeffectiveface/12),"#","")</f>
        <v>#VALUE!</v>
      </c>
      <c r="C126" s="96" t="str">
        <f>'CAP18 Out(1)'!D84</f>
        <v/>
      </c>
      <c r="D126" s="184" t="str">
        <f>'CAP18 Out(1)'!M84</f>
        <v/>
      </c>
      <c r="E126" s="179" t="e">
        <f t="shared" si="43"/>
        <v>#VALUE!</v>
      </c>
      <c r="F126" s="87" t="e">
        <f t="shared" si="44"/>
        <v>#VALUE!</v>
      </c>
      <c r="G126" s="87" t="e">
        <f t="shared" si="45"/>
        <v>#VALUE!</v>
      </c>
      <c r="H126" s="185" t="e">
        <f t="shared" si="46"/>
        <v>#VALUE!</v>
      </c>
      <c r="I126" s="184" t="e">
        <f t="shared" si="47"/>
        <v>#VALUE!</v>
      </c>
      <c r="J126" s="184">
        <f t="shared" si="48"/>
        <v>0</v>
      </c>
      <c r="K126" s="184">
        <f t="shared" si="49"/>
        <v>0</v>
      </c>
      <c r="L126" s="296" t="e">
        <f t="shared" si="50"/>
        <v>#VALUE!</v>
      </c>
      <c r="M126" s="294" t="e">
        <f>IF(L126="Column","",IF(OR(C126&lt;MAX(ColSpa1,Geometry!$J$107),C126&gt;MAX(MAX(Geometry!$I$107:$I$116),MAX(Geometry!$J$107:$J$116))),"OH - 6''",""))</f>
        <v>#VALUE!</v>
      </c>
      <c r="N126" s="1053">
        <v>36.4</v>
      </c>
      <c r="O126" s="489">
        <f t="shared" si="51"/>
        <v>0</v>
      </c>
      <c r="P126" s="489">
        <f t="shared" si="52"/>
        <v>0</v>
      </c>
      <c r="Q126" s="400" t="e">
        <f>'CAP18 Out(1)'!I84</f>
        <v>#VALUE!</v>
      </c>
      <c r="R126" s="400" t="e">
        <f>'CAP18 Out(1)'!J84</f>
        <v>#VALUE!</v>
      </c>
      <c r="S126" s="400" t="e">
        <f>IF(E126=ABS(Q126),VLOOKUP('Bars B'!$F$10,BarTable,4,FALSE)/12,1.3*VLOOKUP('Bars A'!$F$10,BarTable,4,FALSE)/12)</f>
        <v>#VALUE!</v>
      </c>
      <c r="T126" s="626" t="e">
        <f t="shared" si="53"/>
        <v>#VALUE!</v>
      </c>
      <c r="U126" s="489" t="e">
        <f>IF(T126&gt;S126,IF(E126=ABS(R126),'Bars A'!$I$13,'Bars B'!$I$13),0.0000000001)</f>
        <v>#VALUE!</v>
      </c>
      <c r="V126" s="483" t="e">
        <f t="shared" si="54"/>
        <v>#VALUE!</v>
      </c>
      <c r="W126" s="627" t="e">
        <f t="shared" si="55"/>
        <v>#VALUE!</v>
      </c>
      <c r="X126" s="628" t="e">
        <f t="shared" si="56"/>
        <v>#VALUE!</v>
      </c>
      <c r="Y126" s="489" t="e">
        <f t="shared" si="57"/>
        <v>#VALUE!</v>
      </c>
      <c r="Z126" s="629" t="e">
        <f t="shared" si="58"/>
        <v>#VALUE!</v>
      </c>
      <c r="AA126" s="626" t="e">
        <f t="shared" si="59"/>
        <v>#VALUE!</v>
      </c>
      <c r="AB126" s="481" t="e">
        <f>MATCH(V126,Reference!$S$7:$S$17,1)</f>
        <v>#VALUE!</v>
      </c>
      <c r="AC126" s="1388" t="e">
        <f>12-MATCH(V126,Reference!$AD$6:$AD$16,-1)</f>
        <v>#VALUE!</v>
      </c>
      <c r="AD126" s="482" t="e">
        <f>MATCH(X126,Reference!$T$6:$AB$6,1)</f>
        <v>#VALUE!</v>
      </c>
      <c r="AE126" s="482" t="e">
        <f>10-MATCH(X126,Reference!$AD$18:$AL$18,-1)</f>
        <v>#VALUE!</v>
      </c>
      <c r="AF126" s="482" t="e">
        <f>INDEX(Reference!$T$7:$AB$17,AB126,AD126)</f>
        <v>#VALUE!</v>
      </c>
      <c r="AG126" s="482" t="e">
        <f>INDEX(Reference!$T$7:$AB$17,AB126,AE126)</f>
        <v>#VALUE!</v>
      </c>
      <c r="AH126" s="482" t="e">
        <f>INDEX(Reference!$T$7:$AB$17,AC126,AD126)</f>
        <v>#VALUE!</v>
      </c>
      <c r="AI126" s="482" t="e">
        <f>INDEX(Reference!$T$7:$AB$17,AC126,AE126)</f>
        <v>#VALUE!</v>
      </c>
      <c r="AJ126" s="482" t="e">
        <f>INDEX(Reference!$T$23:$AB$33,AB126,AD126)</f>
        <v>#VALUE!</v>
      </c>
      <c r="AK126" s="482" t="e">
        <f>INDEX(Reference!$T$23:$AB$33,AB126,AE126)</f>
        <v>#VALUE!</v>
      </c>
      <c r="AL126" s="482" t="e">
        <f>INDEX(Reference!$T$23:$AB$33,AC126,AD126)</f>
        <v>#VALUE!</v>
      </c>
      <c r="AM126" s="482" t="e">
        <f>INDEX(Reference!$T$23:$AB$33,AC126,AE126)</f>
        <v>#VALUE!</v>
      </c>
      <c r="AN126" s="483" t="e">
        <f>INDEX(Reference!$S$7:$S$17,AB126,1)</f>
        <v>#VALUE!</v>
      </c>
      <c r="AO126" s="483" t="e">
        <f>INDEX(Reference!$S$7:$S$17,AC126,1)</f>
        <v>#VALUE!</v>
      </c>
      <c r="AP126" s="484" t="e">
        <f>INDEX(Reference!$T$6:$AB$6,1,AD126)</f>
        <v>#VALUE!</v>
      </c>
      <c r="AQ126" s="484" t="e">
        <f>INDEX(Reference!$T$6:$AB$6,1,AE126)</f>
        <v>#VALUE!</v>
      </c>
      <c r="AR126" s="629" t="e">
        <f t="shared" si="60"/>
        <v>#VALUE!</v>
      </c>
      <c r="AS126" s="629" t="e">
        <f t="shared" si="61"/>
        <v>#VALUE!</v>
      </c>
      <c r="AT126" s="629" t="e">
        <f t="shared" si="62"/>
        <v>#VALUE!</v>
      </c>
      <c r="AU126" s="629" t="e">
        <f t="shared" si="63"/>
        <v>#VALUE!</v>
      </c>
      <c r="AV126" s="629" t="e">
        <f t="shared" si="64"/>
        <v>#VALUE!</v>
      </c>
      <c r="AW126" s="630" t="e">
        <f t="shared" si="65"/>
        <v>#VALUE!</v>
      </c>
      <c r="AZ126" s="489" t="str">
        <f t="shared" si="66"/>
        <v/>
      </c>
      <c r="BA126" s="631" t="e">
        <f t="shared" si="70"/>
        <v>#VALUE!</v>
      </c>
      <c r="BB126" s="491" t="e">
        <f t="shared" si="70"/>
        <v>#VALUE!</v>
      </c>
      <c r="BC126" s="491" t="e">
        <f t="shared" si="70"/>
        <v>#VALUE!</v>
      </c>
      <c r="BD126" s="491" t="e">
        <f t="shared" si="70"/>
        <v>#VALUE!</v>
      </c>
      <c r="BE126" s="491" t="e">
        <f t="shared" si="70"/>
        <v>#VALUE!</v>
      </c>
      <c r="BF126" s="491" t="e">
        <f t="shared" si="70"/>
        <v>#VALUE!</v>
      </c>
      <c r="BG126" s="491" t="e">
        <f t="shared" si="70"/>
        <v>#VALUE!</v>
      </c>
      <c r="BH126" s="491" t="e">
        <f t="shared" si="70"/>
        <v>#VALUE!</v>
      </c>
      <c r="BI126" s="491" t="e">
        <f t="shared" si="70"/>
        <v>#VALUE!</v>
      </c>
      <c r="BJ126" s="491" t="e">
        <f t="shared" si="70"/>
        <v>#VALUE!</v>
      </c>
      <c r="BK126" s="400">
        <f t="shared" si="67"/>
        <v>76</v>
      </c>
      <c r="BL126" s="491" t="e">
        <f t="shared" si="68"/>
        <v>#VALUE!</v>
      </c>
      <c r="BM126" s="491" t="e">
        <f t="shared" si="68"/>
        <v>#VALUE!</v>
      </c>
      <c r="BN126" s="491" t="e">
        <f t="shared" si="68"/>
        <v>#VALUE!</v>
      </c>
      <c r="BO126" s="491" t="e">
        <f t="shared" si="68"/>
        <v>#VALUE!</v>
      </c>
      <c r="BP126" s="622" t="e">
        <f t="shared" si="69"/>
        <v>#VALUE!</v>
      </c>
      <c r="BQ126" s="274" t="e">
        <f>IF(L126="","Column",IF(OR(C126&lt;MAX(ColSpa1,Geometry!$J$107),C126&gt;MAX(MAX(Geometry!$I$107:$I$116),MAX(Geometry!$J$107:$J$116))),MIN(6,INDEX($O$45:$O$48,MATCH(L126,$O$45:$O$48,1),1)),INDEX($O$45:$O$48,MATCH(L126,$O$45:$O$48,1),1)))</f>
        <v>#VALUE!</v>
      </c>
    </row>
    <row r="127" spans="1:69">
      <c r="A127" s="339"/>
      <c r="B127" s="96" t="e">
        <f>IF(MIN(ABS(C127-INDEX(Geometry!$Q$104:$Q$113,IF(ISERROR(MATCH(C127,Geometry!$Q$104:$Q$113,1)),1,MATCH(C127,Geometry!$Q$104:$Q$113,1)),1)),ABS(C127-INDEX(Geometry!$Q$104:$Q$113,IF(ISERROR(MAX(11-MATCH(C127,Geometry!$R$104:$R$113,-1),1)),1,MAX(11-MATCH(C127,Geometry!$R$104:$R$113,-1),1)),1)))&lt;(halfeffectiveface/12),"#","")</f>
        <v>#VALUE!</v>
      </c>
      <c r="C127" s="96" t="str">
        <f>'CAP18 Out(1)'!D85</f>
        <v/>
      </c>
      <c r="D127" s="184" t="str">
        <f>'CAP18 Out(1)'!M85</f>
        <v/>
      </c>
      <c r="E127" s="179" t="e">
        <f t="shared" si="43"/>
        <v>#VALUE!</v>
      </c>
      <c r="F127" s="87" t="e">
        <f t="shared" si="44"/>
        <v>#VALUE!</v>
      </c>
      <c r="G127" s="87" t="e">
        <f t="shared" si="45"/>
        <v>#VALUE!</v>
      </c>
      <c r="H127" s="185" t="e">
        <f t="shared" si="46"/>
        <v>#VALUE!</v>
      </c>
      <c r="I127" s="184" t="e">
        <f t="shared" si="47"/>
        <v>#VALUE!</v>
      </c>
      <c r="J127" s="184">
        <f t="shared" si="48"/>
        <v>0</v>
      </c>
      <c r="K127" s="184">
        <f t="shared" si="49"/>
        <v>0</v>
      </c>
      <c r="L127" s="296" t="e">
        <f t="shared" si="50"/>
        <v>#VALUE!</v>
      </c>
      <c r="M127" s="294" t="e">
        <f>IF(L127="Column","",IF(OR(C127&lt;MAX(ColSpa1,Geometry!$J$107),C127&gt;MAX(MAX(Geometry!$I$107:$I$116),MAX(Geometry!$J$107:$J$116))),"OH - 6''",""))</f>
        <v>#VALUE!</v>
      </c>
      <c r="N127" s="1053">
        <v>36.399112708140507</v>
      </c>
      <c r="O127" s="489">
        <f t="shared" si="51"/>
        <v>0</v>
      </c>
      <c r="P127" s="489">
        <f t="shared" si="52"/>
        <v>0</v>
      </c>
      <c r="Q127" s="400" t="e">
        <f>'CAP18 Out(1)'!I85</f>
        <v>#VALUE!</v>
      </c>
      <c r="R127" s="400" t="e">
        <f>'CAP18 Out(1)'!J85</f>
        <v>#VALUE!</v>
      </c>
      <c r="S127" s="400" t="e">
        <f>IF(E127=ABS(Q127),VLOOKUP('Bars B'!$F$10,BarTable,4,FALSE)/12,1.3*VLOOKUP('Bars A'!$F$10,BarTable,4,FALSE)/12)</f>
        <v>#VALUE!</v>
      </c>
      <c r="T127" s="626" t="e">
        <f t="shared" si="53"/>
        <v>#VALUE!</v>
      </c>
      <c r="U127" s="489" t="e">
        <f>IF(T127&gt;S127,IF(E127=ABS(R127),'Bars A'!$I$13,'Bars B'!$I$13),0.0000000001)</f>
        <v>#VALUE!</v>
      </c>
      <c r="V127" s="483" t="e">
        <f t="shared" si="54"/>
        <v>#VALUE!</v>
      </c>
      <c r="W127" s="627" t="e">
        <f t="shared" si="55"/>
        <v>#VALUE!</v>
      </c>
      <c r="X127" s="628" t="e">
        <f t="shared" si="56"/>
        <v>#VALUE!</v>
      </c>
      <c r="Y127" s="489" t="e">
        <f t="shared" si="57"/>
        <v>#VALUE!</v>
      </c>
      <c r="Z127" s="629" t="e">
        <f t="shared" si="58"/>
        <v>#VALUE!</v>
      </c>
      <c r="AA127" s="626" t="e">
        <f t="shared" si="59"/>
        <v>#VALUE!</v>
      </c>
      <c r="AB127" s="481" t="e">
        <f>MATCH(V127,Reference!$S$7:$S$17,1)</f>
        <v>#VALUE!</v>
      </c>
      <c r="AC127" s="1388" t="e">
        <f>12-MATCH(V127,Reference!$AD$6:$AD$16,-1)</f>
        <v>#VALUE!</v>
      </c>
      <c r="AD127" s="482" t="e">
        <f>MATCH(X127,Reference!$T$6:$AB$6,1)</f>
        <v>#VALUE!</v>
      </c>
      <c r="AE127" s="482" t="e">
        <f>10-MATCH(X127,Reference!$AD$18:$AL$18,-1)</f>
        <v>#VALUE!</v>
      </c>
      <c r="AF127" s="482" t="e">
        <f>INDEX(Reference!$T$7:$AB$17,AB127,AD127)</f>
        <v>#VALUE!</v>
      </c>
      <c r="AG127" s="482" t="e">
        <f>INDEX(Reference!$T$7:$AB$17,AB127,AE127)</f>
        <v>#VALUE!</v>
      </c>
      <c r="AH127" s="482" t="e">
        <f>INDEX(Reference!$T$7:$AB$17,AC127,AD127)</f>
        <v>#VALUE!</v>
      </c>
      <c r="AI127" s="482" t="e">
        <f>INDEX(Reference!$T$7:$AB$17,AC127,AE127)</f>
        <v>#VALUE!</v>
      </c>
      <c r="AJ127" s="482" t="e">
        <f>INDEX(Reference!$T$23:$AB$33,AB127,AD127)</f>
        <v>#VALUE!</v>
      </c>
      <c r="AK127" s="482" t="e">
        <f>INDEX(Reference!$T$23:$AB$33,AB127,AE127)</f>
        <v>#VALUE!</v>
      </c>
      <c r="AL127" s="482" t="e">
        <f>INDEX(Reference!$T$23:$AB$33,AC127,AD127)</f>
        <v>#VALUE!</v>
      </c>
      <c r="AM127" s="482" t="e">
        <f>INDEX(Reference!$T$23:$AB$33,AC127,AE127)</f>
        <v>#VALUE!</v>
      </c>
      <c r="AN127" s="483" t="e">
        <f>INDEX(Reference!$S$7:$S$17,AB127,1)</f>
        <v>#VALUE!</v>
      </c>
      <c r="AO127" s="483" t="e">
        <f>INDEX(Reference!$S$7:$S$17,AC127,1)</f>
        <v>#VALUE!</v>
      </c>
      <c r="AP127" s="484" t="e">
        <f>INDEX(Reference!$T$6:$AB$6,1,AD127)</f>
        <v>#VALUE!</v>
      </c>
      <c r="AQ127" s="484" t="e">
        <f>INDEX(Reference!$T$6:$AB$6,1,AE127)</f>
        <v>#VALUE!</v>
      </c>
      <c r="AR127" s="629" t="e">
        <f t="shared" si="60"/>
        <v>#VALUE!</v>
      </c>
      <c r="AS127" s="629" t="e">
        <f t="shared" si="61"/>
        <v>#VALUE!</v>
      </c>
      <c r="AT127" s="629" t="e">
        <f t="shared" si="62"/>
        <v>#VALUE!</v>
      </c>
      <c r="AU127" s="629" t="e">
        <f t="shared" si="63"/>
        <v>#VALUE!</v>
      </c>
      <c r="AV127" s="629" t="e">
        <f t="shared" si="64"/>
        <v>#VALUE!</v>
      </c>
      <c r="AW127" s="630" t="e">
        <f t="shared" si="65"/>
        <v>#VALUE!</v>
      </c>
      <c r="AZ127" s="489" t="str">
        <f t="shared" si="66"/>
        <v/>
      </c>
      <c r="BA127" s="631" t="e">
        <f t="shared" si="70"/>
        <v>#VALUE!</v>
      </c>
      <c r="BB127" s="491" t="e">
        <f t="shared" si="70"/>
        <v>#VALUE!</v>
      </c>
      <c r="BC127" s="491" t="e">
        <f t="shared" si="70"/>
        <v>#VALUE!</v>
      </c>
      <c r="BD127" s="491" t="e">
        <f t="shared" si="70"/>
        <v>#VALUE!</v>
      </c>
      <c r="BE127" s="491" t="e">
        <f t="shared" si="70"/>
        <v>#VALUE!</v>
      </c>
      <c r="BF127" s="491" t="e">
        <f t="shared" si="70"/>
        <v>#VALUE!</v>
      </c>
      <c r="BG127" s="491" t="e">
        <f t="shared" si="70"/>
        <v>#VALUE!</v>
      </c>
      <c r="BH127" s="491" t="e">
        <f t="shared" si="70"/>
        <v>#VALUE!</v>
      </c>
      <c r="BI127" s="491" t="e">
        <f t="shared" si="70"/>
        <v>#VALUE!</v>
      </c>
      <c r="BJ127" s="491" t="e">
        <f t="shared" si="70"/>
        <v>#VALUE!</v>
      </c>
      <c r="BK127" s="400">
        <f t="shared" si="67"/>
        <v>77</v>
      </c>
      <c r="BL127" s="491" t="e">
        <f t="shared" si="68"/>
        <v>#VALUE!</v>
      </c>
      <c r="BM127" s="491" t="e">
        <f t="shared" si="68"/>
        <v>#VALUE!</v>
      </c>
      <c r="BN127" s="491" t="e">
        <f t="shared" si="68"/>
        <v>#VALUE!</v>
      </c>
      <c r="BO127" s="491" t="e">
        <f t="shared" si="68"/>
        <v>#VALUE!</v>
      </c>
      <c r="BP127" s="622" t="e">
        <f t="shared" si="69"/>
        <v>#VALUE!</v>
      </c>
      <c r="BQ127" s="274" t="e">
        <f>IF(L127="","Column",IF(OR(C127&lt;MAX(ColSpa1,Geometry!$J$107),C127&gt;MAX(MAX(Geometry!$I$107:$I$116),MAX(Geometry!$J$107:$J$116))),MIN(6,INDEX($O$45:$O$48,MATCH(L127,$O$45:$O$48,1),1)),INDEX($O$45:$O$48,MATCH(L127,$O$45:$O$48,1),1)))</f>
        <v>#VALUE!</v>
      </c>
    </row>
    <row r="128" spans="1:69">
      <c r="A128" s="339"/>
      <c r="B128" s="96" t="e">
        <f>IF(MIN(ABS(C128-INDEX(Geometry!$Q$104:$Q$113,IF(ISERROR(MATCH(C128,Geometry!$Q$104:$Q$113,1)),1,MATCH(C128,Geometry!$Q$104:$Q$113,1)),1)),ABS(C128-INDEX(Geometry!$Q$104:$Q$113,IF(ISERROR(MAX(11-MATCH(C128,Geometry!$R$104:$R$113,-1),1)),1,MAX(11-MATCH(C128,Geometry!$R$104:$R$113,-1),1)),1)))&lt;(halfeffectiveface/12),"#","")</f>
        <v>#VALUE!</v>
      </c>
      <c r="C128" s="96" t="str">
        <f>'CAP18 Out(1)'!D86</f>
        <v/>
      </c>
      <c r="D128" s="184" t="str">
        <f>'CAP18 Out(1)'!M86</f>
        <v/>
      </c>
      <c r="E128" s="179" t="e">
        <f t="shared" si="43"/>
        <v>#VALUE!</v>
      </c>
      <c r="F128" s="87" t="e">
        <f t="shared" si="44"/>
        <v>#VALUE!</v>
      </c>
      <c r="G128" s="87" t="e">
        <f t="shared" si="45"/>
        <v>#VALUE!</v>
      </c>
      <c r="H128" s="185" t="e">
        <f t="shared" si="46"/>
        <v>#VALUE!</v>
      </c>
      <c r="I128" s="184" t="e">
        <f t="shared" si="47"/>
        <v>#VALUE!</v>
      </c>
      <c r="J128" s="184">
        <f t="shared" si="48"/>
        <v>0</v>
      </c>
      <c r="K128" s="184">
        <f t="shared" si="49"/>
        <v>0</v>
      </c>
      <c r="L128" s="296" t="e">
        <f t="shared" si="50"/>
        <v>#VALUE!</v>
      </c>
      <c r="M128" s="294" t="e">
        <f>IF(L128="Column","",IF(OR(C128&lt;MAX(ColSpa1,Geometry!$J$107),C128&gt;MAX(MAX(Geometry!$I$107:$I$116),MAX(Geometry!$J$107:$J$116))),"OH - 6''",""))</f>
        <v>#VALUE!</v>
      </c>
      <c r="N128" s="1053">
        <v>36.4</v>
      </c>
      <c r="O128" s="489">
        <f t="shared" si="51"/>
        <v>0</v>
      </c>
      <c r="P128" s="489">
        <f t="shared" si="52"/>
        <v>0</v>
      </c>
      <c r="Q128" s="400" t="e">
        <f>'CAP18 Out(1)'!I86</f>
        <v>#VALUE!</v>
      </c>
      <c r="R128" s="400" t="e">
        <f>'CAP18 Out(1)'!J86</f>
        <v>#VALUE!</v>
      </c>
      <c r="S128" s="400" t="e">
        <f>IF(E128=ABS(Q128),VLOOKUP('Bars B'!$F$10,BarTable,4,FALSE)/12,1.3*VLOOKUP('Bars A'!$F$10,BarTable,4,FALSE)/12)</f>
        <v>#VALUE!</v>
      </c>
      <c r="T128" s="626" t="e">
        <f t="shared" si="53"/>
        <v>#VALUE!</v>
      </c>
      <c r="U128" s="489" t="e">
        <f>IF(T128&gt;S128,IF(E128=ABS(R128),'Bars A'!$I$13,'Bars B'!$I$13),0.0000000001)</f>
        <v>#VALUE!</v>
      </c>
      <c r="V128" s="483" t="e">
        <f t="shared" si="54"/>
        <v>#VALUE!</v>
      </c>
      <c r="W128" s="627" t="e">
        <f t="shared" si="55"/>
        <v>#VALUE!</v>
      </c>
      <c r="X128" s="628" t="e">
        <f t="shared" si="56"/>
        <v>#VALUE!</v>
      </c>
      <c r="Y128" s="489" t="e">
        <f t="shared" si="57"/>
        <v>#VALUE!</v>
      </c>
      <c r="Z128" s="629" t="e">
        <f t="shared" si="58"/>
        <v>#VALUE!</v>
      </c>
      <c r="AA128" s="626" t="e">
        <f t="shared" si="59"/>
        <v>#VALUE!</v>
      </c>
      <c r="AB128" s="481" t="e">
        <f>MATCH(V128,Reference!$S$7:$S$17,1)</f>
        <v>#VALUE!</v>
      </c>
      <c r="AC128" s="1388" t="e">
        <f>12-MATCH(V128,Reference!$AD$6:$AD$16,-1)</f>
        <v>#VALUE!</v>
      </c>
      <c r="AD128" s="482" t="e">
        <f>MATCH(X128,Reference!$T$6:$AB$6,1)</f>
        <v>#VALUE!</v>
      </c>
      <c r="AE128" s="482" t="e">
        <f>10-MATCH(X128,Reference!$AD$18:$AL$18,-1)</f>
        <v>#VALUE!</v>
      </c>
      <c r="AF128" s="482" t="e">
        <f>INDEX(Reference!$T$7:$AB$17,AB128,AD128)</f>
        <v>#VALUE!</v>
      </c>
      <c r="AG128" s="482" t="e">
        <f>INDEX(Reference!$T$7:$AB$17,AB128,AE128)</f>
        <v>#VALUE!</v>
      </c>
      <c r="AH128" s="482" t="e">
        <f>INDEX(Reference!$T$7:$AB$17,AC128,AD128)</f>
        <v>#VALUE!</v>
      </c>
      <c r="AI128" s="482" t="e">
        <f>INDEX(Reference!$T$7:$AB$17,AC128,AE128)</f>
        <v>#VALUE!</v>
      </c>
      <c r="AJ128" s="482" t="e">
        <f>INDEX(Reference!$T$23:$AB$33,AB128,AD128)</f>
        <v>#VALUE!</v>
      </c>
      <c r="AK128" s="482" t="e">
        <f>INDEX(Reference!$T$23:$AB$33,AB128,AE128)</f>
        <v>#VALUE!</v>
      </c>
      <c r="AL128" s="482" t="e">
        <f>INDEX(Reference!$T$23:$AB$33,AC128,AD128)</f>
        <v>#VALUE!</v>
      </c>
      <c r="AM128" s="482" t="e">
        <f>INDEX(Reference!$T$23:$AB$33,AC128,AE128)</f>
        <v>#VALUE!</v>
      </c>
      <c r="AN128" s="483" t="e">
        <f>INDEX(Reference!$S$7:$S$17,AB128,1)</f>
        <v>#VALUE!</v>
      </c>
      <c r="AO128" s="483" t="e">
        <f>INDEX(Reference!$S$7:$S$17,AC128,1)</f>
        <v>#VALUE!</v>
      </c>
      <c r="AP128" s="484" t="e">
        <f>INDEX(Reference!$T$6:$AB$6,1,AD128)</f>
        <v>#VALUE!</v>
      </c>
      <c r="AQ128" s="484" t="e">
        <f>INDEX(Reference!$T$6:$AB$6,1,AE128)</f>
        <v>#VALUE!</v>
      </c>
      <c r="AR128" s="629" t="e">
        <f t="shared" si="60"/>
        <v>#VALUE!</v>
      </c>
      <c r="AS128" s="629" t="e">
        <f t="shared" si="61"/>
        <v>#VALUE!</v>
      </c>
      <c r="AT128" s="629" t="e">
        <f t="shared" si="62"/>
        <v>#VALUE!</v>
      </c>
      <c r="AU128" s="629" t="e">
        <f t="shared" si="63"/>
        <v>#VALUE!</v>
      </c>
      <c r="AV128" s="629" t="e">
        <f t="shared" si="64"/>
        <v>#VALUE!</v>
      </c>
      <c r="AW128" s="630" t="e">
        <f t="shared" si="65"/>
        <v>#VALUE!</v>
      </c>
      <c r="AZ128" s="489" t="str">
        <f t="shared" si="66"/>
        <v/>
      </c>
      <c r="BA128" s="631" t="e">
        <f t="shared" si="70"/>
        <v>#VALUE!</v>
      </c>
      <c r="BB128" s="491" t="e">
        <f t="shared" si="70"/>
        <v>#VALUE!</v>
      </c>
      <c r="BC128" s="491" t="e">
        <f t="shared" si="70"/>
        <v>#VALUE!</v>
      </c>
      <c r="BD128" s="491" t="e">
        <f t="shared" si="70"/>
        <v>#VALUE!</v>
      </c>
      <c r="BE128" s="491" t="e">
        <f t="shared" si="70"/>
        <v>#VALUE!</v>
      </c>
      <c r="BF128" s="491" t="e">
        <f t="shared" si="70"/>
        <v>#VALUE!</v>
      </c>
      <c r="BG128" s="491" t="e">
        <f t="shared" si="70"/>
        <v>#VALUE!</v>
      </c>
      <c r="BH128" s="491" t="e">
        <f t="shared" si="70"/>
        <v>#VALUE!</v>
      </c>
      <c r="BI128" s="491" t="e">
        <f t="shared" si="70"/>
        <v>#VALUE!</v>
      </c>
      <c r="BJ128" s="491" t="e">
        <f t="shared" si="70"/>
        <v>#VALUE!</v>
      </c>
      <c r="BK128" s="400">
        <f t="shared" si="67"/>
        <v>78</v>
      </c>
      <c r="BL128" s="491" t="e">
        <f t="shared" si="68"/>
        <v>#VALUE!</v>
      </c>
      <c r="BM128" s="491" t="e">
        <f t="shared" si="68"/>
        <v>#VALUE!</v>
      </c>
      <c r="BN128" s="491" t="e">
        <f t="shared" si="68"/>
        <v>#VALUE!</v>
      </c>
      <c r="BO128" s="491" t="e">
        <f t="shared" si="68"/>
        <v>#VALUE!</v>
      </c>
      <c r="BP128" s="622" t="e">
        <f t="shared" si="69"/>
        <v>#VALUE!</v>
      </c>
      <c r="BQ128" s="274" t="e">
        <f>IF(L128="","Column",IF(OR(C128&lt;MAX(ColSpa1,Geometry!$J$107),C128&gt;MAX(MAX(Geometry!$I$107:$I$116),MAX(Geometry!$J$107:$J$116))),MIN(6,INDEX($O$45:$O$48,MATCH(L128,$O$45:$O$48,1),1)),INDEX($O$45:$O$48,MATCH(L128,$O$45:$O$48,1),1)))</f>
        <v>#VALUE!</v>
      </c>
    </row>
    <row r="129" spans="1:69">
      <c r="A129" s="339"/>
      <c r="B129" s="96" t="e">
        <f>IF(MIN(ABS(C129-INDEX(Geometry!$Q$104:$Q$113,IF(ISERROR(MATCH(C129,Geometry!$Q$104:$Q$113,1)),1,MATCH(C129,Geometry!$Q$104:$Q$113,1)),1)),ABS(C129-INDEX(Geometry!$Q$104:$Q$113,IF(ISERROR(MAX(11-MATCH(C129,Geometry!$R$104:$R$113,-1),1)),1,MAX(11-MATCH(C129,Geometry!$R$104:$R$113,-1),1)),1)))&lt;(halfeffectiveface/12),"#","")</f>
        <v>#VALUE!</v>
      </c>
      <c r="C129" s="96" t="str">
        <f>'CAP18 Out(1)'!D87</f>
        <v/>
      </c>
      <c r="D129" s="184" t="str">
        <f>'CAP18 Out(1)'!M87</f>
        <v/>
      </c>
      <c r="E129" s="179" t="e">
        <f t="shared" si="43"/>
        <v>#VALUE!</v>
      </c>
      <c r="F129" s="87" t="e">
        <f t="shared" si="44"/>
        <v>#VALUE!</v>
      </c>
      <c r="G129" s="87" t="e">
        <f t="shared" si="45"/>
        <v>#VALUE!</v>
      </c>
      <c r="H129" s="185" t="e">
        <f t="shared" si="46"/>
        <v>#VALUE!</v>
      </c>
      <c r="I129" s="184" t="e">
        <f t="shared" si="47"/>
        <v>#VALUE!</v>
      </c>
      <c r="J129" s="184">
        <f t="shared" si="48"/>
        <v>0</v>
      </c>
      <c r="K129" s="184">
        <f t="shared" si="49"/>
        <v>0</v>
      </c>
      <c r="L129" s="296" t="e">
        <f t="shared" si="50"/>
        <v>#VALUE!</v>
      </c>
      <c r="M129" s="294" t="e">
        <f>IF(L129="Column","",IF(OR(C129&lt;MAX(ColSpa1,Geometry!$J$107),C129&gt;MAX(MAX(Geometry!$I$107:$I$116),MAX(Geometry!$J$107:$J$116))),"OH - 6''",""))</f>
        <v>#VALUE!</v>
      </c>
      <c r="N129" s="1053">
        <v>36.4</v>
      </c>
      <c r="O129" s="489">
        <f t="shared" si="51"/>
        <v>0</v>
      </c>
      <c r="P129" s="489">
        <f t="shared" si="52"/>
        <v>0</v>
      </c>
      <c r="Q129" s="400" t="e">
        <f>'CAP18 Out(1)'!I87</f>
        <v>#VALUE!</v>
      </c>
      <c r="R129" s="400" t="e">
        <f>'CAP18 Out(1)'!J87</f>
        <v>#VALUE!</v>
      </c>
      <c r="S129" s="400" t="e">
        <f>IF(E129=ABS(Q129),VLOOKUP('Bars B'!$F$10,BarTable,4,FALSE)/12,1.3*VLOOKUP('Bars A'!$F$10,BarTable,4,FALSE)/12)</f>
        <v>#VALUE!</v>
      </c>
      <c r="T129" s="626" t="e">
        <f t="shared" si="53"/>
        <v>#VALUE!</v>
      </c>
      <c r="U129" s="489" t="e">
        <f>IF(T129&gt;S129,IF(E129=ABS(R129),'Bars A'!$I$13,'Bars B'!$I$13),0.0000000001)</f>
        <v>#VALUE!</v>
      </c>
      <c r="V129" s="483" t="e">
        <f t="shared" si="54"/>
        <v>#VALUE!</v>
      </c>
      <c r="W129" s="627" t="e">
        <f t="shared" si="55"/>
        <v>#VALUE!</v>
      </c>
      <c r="X129" s="628" t="e">
        <f t="shared" si="56"/>
        <v>#VALUE!</v>
      </c>
      <c r="Y129" s="489" t="e">
        <f t="shared" si="57"/>
        <v>#VALUE!</v>
      </c>
      <c r="Z129" s="629" t="e">
        <f t="shared" si="58"/>
        <v>#VALUE!</v>
      </c>
      <c r="AA129" s="626" t="e">
        <f t="shared" si="59"/>
        <v>#VALUE!</v>
      </c>
      <c r="AB129" s="481" t="e">
        <f>MATCH(V129,Reference!$S$7:$S$17,1)</f>
        <v>#VALUE!</v>
      </c>
      <c r="AC129" s="1388" t="e">
        <f>12-MATCH(V129,Reference!$AD$6:$AD$16,-1)</f>
        <v>#VALUE!</v>
      </c>
      <c r="AD129" s="482" t="e">
        <f>MATCH(X129,Reference!$T$6:$AB$6,1)</f>
        <v>#VALUE!</v>
      </c>
      <c r="AE129" s="482" t="e">
        <f>10-MATCH(X129,Reference!$AD$18:$AL$18,-1)</f>
        <v>#VALUE!</v>
      </c>
      <c r="AF129" s="482" t="e">
        <f>INDEX(Reference!$T$7:$AB$17,AB129,AD129)</f>
        <v>#VALUE!</v>
      </c>
      <c r="AG129" s="482" t="e">
        <f>INDEX(Reference!$T$7:$AB$17,AB129,AE129)</f>
        <v>#VALUE!</v>
      </c>
      <c r="AH129" s="482" t="e">
        <f>INDEX(Reference!$T$7:$AB$17,AC129,AD129)</f>
        <v>#VALUE!</v>
      </c>
      <c r="AI129" s="482" t="e">
        <f>INDEX(Reference!$T$7:$AB$17,AC129,AE129)</f>
        <v>#VALUE!</v>
      </c>
      <c r="AJ129" s="482" t="e">
        <f>INDEX(Reference!$T$23:$AB$33,AB129,AD129)</f>
        <v>#VALUE!</v>
      </c>
      <c r="AK129" s="482" t="e">
        <f>INDEX(Reference!$T$23:$AB$33,AB129,AE129)</f>
        <v>#VALUE!</v>
      </c>
      <c r="AL129" s="482" t="e">
        <f>INDEX(Reference!$T$23:$AB$33,AC129,AD129)</f>
        <v>#VALUE!</v>
      </c>
      <c r="AM129" s="482" t="e">
        <f>INDEX(Reference!$T$23:$AB$33,AC129,AE129)</f>
        <v>#VALUE!</v>
      </c>
      <c r="AN129" s="483" t="e">
        <f>INDEX(Reference!$S$7:$S$17,AB129,1)</f>
        <v>#VALUE!</v>
      </c>
      <c r="AO129" s="483" t="e">
        <f>INDEX(Reference!$S$7:$S$17,AC129,1)</f>
        <v>#VALUE!</v>
      </c>
      <c r="AP129" s="484" t="e">
        <f>INDEX(Reference!$T$6:$AB$6,1,AD129)</f>
        <v>#VALUE!</v>
      </c>
      <c r="AQ129" s="484" t="e">
        <f>INDEX(Reference!$T$6:$AB$6,1,AE129)</f>
        <v>#VALUE!</v>
      </c>
      <c r="AR129" s="629" t="e">
        <f t="shared" si="60"/>
        <v>#VALUE!</v>
      </c>
      <c r="AS129" s="629" t="e">
        <f t="shared" si="61"/>
        <v>#VALUE!</v>
      </c>
      <c r="AT129" s="629" t="e">
        <f t="shared" si="62"/>
        <v>#VALUE!</v>
      </c>
      <c r="AU129" s="629" t="e">
        <f t="shared" si="63"/>
        <v>#VALUE!</v>
      </c>
      <c r="AV129" s="629" t="e">
        <f t="shared" si="64"/>
        <v>#VALUE!</v>
      </c>
      <c r="AW129" s="630" t="e">
        <f t="shared" si="65"/>
        <v>#VALUE!</v>
      </c>
      <c r="AZ129" s="489" t="str">
        <f t="shared" si="66"/>
        <v/>
      </c>
      <c r="BA129" s="631" t="e">
        <f t="shared" si="70"/>
        <v>#VALUE!</v>
      </c>
      <c r="BB129" s="491" t="e">
        <f t="shared" si="70"/>
        <v>#VALUE!</v>
      </c>
      <c r="BC129" s="491" t="e">
        <f t="shared" si="70"/>
        <v>#VALUE!</v>
      </c>
      <c r="BD129" s="491" t="e">
        <f t="shared" si="70"/>
        <v>#VALUE!</v>
      </c>
      <c r="BE129" s="491" t="e">
        <f t="shared" si="70"/>
        <v>#VALUE!</v>
      </c>
      <c r="BF129" s="491" t="e">
        <f t="shared" si="70"/>
        <v>#VALUE!</v>
      </c>
      <c r="BG129" s="491" t="e">
        <f t="shared" si="70"/>
        <v>#VALUE!</v>
      </c>
      <c r="BH129" s="491" t="e">
        <f t="shared" si="70"/>
        <v>#VALUE!</v>
      </c>
      <c r="BI129" s="491" t="e">
        <f t="shared" si="70"/>
        <v>#VALUE!</v>
      </c>
      <c r="BJ129" s="491" t="e">
        <f t="shared" si="70"/>
        <v>#VALUE!</v>
      </c>
      <c r="BK129" s="400">
        <f t="shared" si="67"/>
        <v>79</v>
      </c>
      <c r="BL129" s="491" t="e">
        <f t="shared" si="68"/>
        <v>#VALUE!</v>
      </c>
      <c r="BM129" s="491" t="e">
        <f t="shared" si="68"/>
        <v>#VALUE!</v>
      </c>
      <c r="BN129" s="491" t="e">
        <f t="shared" si="68"/>
        <v>#VALUE!</v>
      </c>
      <c r="BO129" s="491" t="e">
        <f t="shared" si="68"/>
        <v>#VALUE!</v>
      </c>
      <c r="BP129" s="622" t="e">
        <f t="shared" si="69"/>
        <v>#VALUE!</v>
      </c>
      <c r="BQ129" s="274" t="e">
        <f>IF(L129="","Column",IF(OR(C129&lt;MAX(ColSpa1,Geometry!$J$107),C129&gt;MAX(MAX(Geometry!$I$107:$I$116),MAX(Geometry!$J$107:$J$116))),MIN(6,INDEX($O$45:$O$48,MATCH(L129,$O$45:$O$48,1),1)),INDEX($O$45:$O$48,MATCH(L129,$O$45:$O$48,1),1)))</f>
        <v>#VALUE!</v>
      </c>
    </row>
    <row r="130" spans="1:69">
      <c r="A130" s="339"/>
      <c r="B130" s="96" t="e">
        <f>IF(MIN(ABS(C130-INDEX(Geometry!$Q$104:$Q$113,IF(ISERROR(MATCH(C130,Geometry!$Q$104:$Q$113,1)),1,MATCH(C130,Geometry!$Q$104:$Q$113,1)),1)),ABS(C130-INDEX(Geometry!$Q$104:$Q$113,IF(ISERROR(MAX(11-MATCH(C130,Geometry!$R$104:$R$113,-1),1)),1,MAX(11-MATCH(C130,Geometry!$R$104:$R$113,-1),1)),1)))&lt;(halfeffectiveface/12),"#","")</f>
        <v>#VALUE!</v>
      </c>
      <c r="C130" s="96" t="str">
        <f>'CAP18 Out(1)'!D88</f>
        <v/>
      </c>
      <c r="D130" s="184" t="str">
        <f>'CAP18 Out(1)'!M88</f>
        <v/>
      </c>
      <c r="E130" s="179" t="e">
        <f t="shared" si="43"/>
        <v>#VALUE!</v>
      </c>
      <c r="F130" s="87" t="e">
        <f t="shared" si="44"/>
        <v>#VALUE!</v>
      </c>
      <c r="G130" s="87" t="e">
        <f t="shared" si="45"/>
        <v>#VALUE!</v>
      </c>
      <c r="H130" s="185" t="e">
        <f t="shared" si="46"/>
        <v>#VALUE!</v>
      </c>
      <c r="I130" s="184" t="e">
        <f t="shared" si="47"/>
        <v>#VALUE!</v>
      </c>
      <c r="J130" s="184">
        <f t="shared" si="48"/>
        <v>0</v>
      </c>
      <c r="K130" s="184">
        <f t="shared" si="49"/>
        <v>0</v>
      </c>
      <c r="L130" s="296" t="e">
        <f t="shared" si="50"/>
        <v>#VALUE!</v>
      </c>
      <c r="M130" s="294" t="e">
        <f>IF(L130="Column","",IF(OR(C130&lt;MAX(ColSpa1,Geometry!$J$107),C130&gt;MAX(MAX(Geometry!$I$107:$I$116),MAX(Geometry!$J$107:$J$116))),"OH - 6''",""))</f>
        <v>#VALUE!</v>
      </c>
      <c r="N130" s="1053">
        <v>36.4</v>
      </c>
      <c r="O130" s="489">
        <f t="shared" si="51"/>
        <v>0</v>
      </c>
      <c r="P130" s="489">
        <f t="shared" si="52"/>
        <v>0</v>
      </c>
      <c r="Q130" s="400" t="e">
        <f>'CAP18 Out(1)'!I88</f>
        <v>#VALUE!</v>
      </c>
      <c r="R130" s="400" t="e">
        <f>'CAP18 Out(1)'!J88</f>
        <v>#VALUE!</v>
      </c>
      <c r="S130" s="400" t="e">
        <f>IF(E130=ABS(Q130),VLOOKUP('Bars B'!$F$10,BarTable,4,FALSE)/12,1.3*VLOOKUP('Bars A'!$F$10,BarTable,4,FALSE)/12)</f>
        <v>#VALUE!</v>
      </c>
      <c r="T130" s="626" t="e">
        <f t="shared" si="53"/>
        <v>#VALUE!</v>
      </c>
      <c r="U130" s="489" t="e">
        <f>IF(T130&gt;S130,IF(E130=ABS(R130),'Bars A'!$I$13,'Bars B'!$I$13),0.0000000001)</f>
        <v>#VALUE!</v>
      </c>
      <c r="V130" s="483" t="e">
        <f t="shared" si="54"/>
        <v>#VALUE!</v>
      </c>
      <c r="W130" s="627" t="e">
        <f t="shared" si="55"/>
        <v>#VALUE!</v>
      </c>
      <c r="X130" s="628" t="e">
        <f t="shared" si="56"/>
        <v>#VALUE!</v>
      </c>
      <c r="Y130" s="489" t="e">
        <f t="shared" si="57"/>
        <v>#VALUE!</v>
      </c>
      <c r="Z130" s="629" t="e">
        <f t="shared" si="58"/>
        <v>#VALUE!</v>
      </c>
      <c r="AA130" s="626" t="e">
        <f t="shared" si="59"/>
        <v>#VALUE!</v>
      </c>
      <c r="AB130" s="481" t="e">
        <f>MATCH(V130,Reference!$S$7:$S$17,1)</f>
        <v>#VALUE!</v>
      </c>
      <c r="AC130" s="1388" t="e">
        <f>12-MATCH(V130,Reference!$AD$6:$AD$16,-1)</f>
        <v>#VALUE!</v>
      </c>
      <c r="AD130" s="482" t="e">
        <f>MATCH(X130,Reference!$T$6:$AB$6,1)</f>
        <v>#VALUE!</v>
      </c>
      <c r="AE130" s="482" t="e">
        <f>10-MATCH(X130,Reference!$AD$18:$AL$18,-1)</f>
        <v>#VALUE!</v>
      </c>
      <c r="AF130" s="482" t="e">
        <f>INDEX(Reference!$T$7:$AB$17,AB130,AD130)</f>
        <v>#VALUE!</v>
      </c>
      <c r="AG130" s="482" t="e">
        <f>INDEX(Reference!$T$7:$AB$17,AB130,AE130)</f>
        <v>#VALUE!</v>
      </c>
      <c r="AH130" s="482" t="e">
        <f>INDEX(Reference!$T$7:$AB$17,AC130,AD130)</f>
        <v>#VALUE!</v>
      </c>
      <c r="AI130" s="482" t="e">
        <f>INDEX(Reference!$T$7:$AB$17,AC130,AE130)</f>
        <v>#VALUE!</v>
      </c>
      <c r="AJ130" s="482" t="e">
        <f>INDEX(Reference!$T$23:$AB$33,AB130,AD130)</f>
        <v>#VALUE!</v>
      </c>
      <c r="AK130" s="482" t="e">
        <f>INDEX(Reference!$T$23:$AB$33,AB130,AE130)</f>
        <v>#VALUE!</v>
      </c>
      <c r="AL130" s="482" t="e">
        <f>INDEX(Reference!$T$23:$AB$33,AC130,AD130)</f>
        <v>#VALUE!</v>
      </c>
      <c r="AM130" s="482" t="e">
        <f>INDEX(Reference!$T$23:$AB$33,AC130,AE130)</f>
        <v>#VALUE!</v>
      </c>
      <c r="AN130" s="483" t="e">
        <f>INDEX(Reference!$S$7:$S$17,AB130,1)</f>
        <v>#VALUE!</v>
      </c>
      <c r="AO130" s="483" t="e">
        <f>INDEX(Reference!$S$7:$S$17,AC130,1)</f>
        <v>#VALUE!</v>
      </c>
      <c r="AP130" s="484" t="e">
        <f>INDEX(Reference!$T$6:$AB$6,1,AD130)</f>
        <v>#VALUE!</v>
      </c>
      <c r="AQ130" s="484" t="e">
        <f>INDEX(Reference!$T$6:$AB$6,1,AE130)</f>
        <v>#VALUE!</v>
      </c>
      <c r="AR130" s="629" t="e">
        <f t="shared" si="60"/>
        <v>#VALUE!</v>
      </c>
      <c r="AS130" s="629" t="e">
        <f t="shared" si="61"/>
        <v>#VALUE!</v>
      </c>
      <c r="AT130" s="629" t="e">
        <f t="shared" si="62"/>
        <v>#VALUE!</v>
      </c>
      <c r="AU130" s="629" t="e">
        <f t="shared" si="63"/>
        <v>#VALUE!</v>
      </c>
      <c r="AV130" s="629" t="e">
        <f t="shared" si="64"/>
        <v>#VALUE!</v>
      </c>
      <c r="AW130" s="630" t="e">
        <f t="shared" si="65"/>
        <v>#VALUE!</v>
      </c>
      <c r="AZ130" s="489" t="str">
        <f t="shared" si="66"/>
        <v/>
      </c>
      <c r="BA130" s="631" t="e">
        <f t="shared" si="70"/>
        <v>#VALUE!</v>
      </c>
      <c r="BB130" s="491" t="e">
        <f t="shared" si="70"/>
        <v>#VALUE!</v>
      </c>
      <c r="BC130" s="491" t="e">
        <f t="shared" si="70"/>
        <v>#VALUE!</v>
      </c>
      <c r="BD130" s="491" t="e">
        <f t="shared" si="70"/>
        <v>#VALUE!</v>
      </c>
      <c r="BE130" s="491" t="e">
        <f t="shared" si="70"/>
        <v>#VALUE!</v>
      </c>
      <c r="BF130" s="491" t="e">
        <f t="shared" si="70"/>
        <v>#VALUE!</v>
      </c>
      <c r="BG130" s="491" t="e">
        <f t="shared" si="70"/>
        <v>#VALUE!</v>
      </c>
      <c r="BH130" s="491" t="e">
        <f t="shared" si="70"/>
        <v>#VALUE!</v>
      </c>
      <c r="BI130" s="491" t="e">
        <f t="shared" si="70"/>
        <v>#VALUE!</v>
      </c>
      <c r="BJ130" s="491" t="e">
        <f t="shared" si="70"/>
        <v>#VALUE!</v>
      </c>
      <c r="BK130" s="400">
        <f t="shared" si="67"/>
        <v>80</v>
      </c>
      <c r="BL130" s="491" t="e">
        <f t="shared" si="68"/>
        <v>#VALUE!</v>
      </c>
      <c r="BM130" s="491" t="e">
        <f t="shared" si="68"/>
        <v>#VALUE!</v>
      </c>
      <c r="BN130" s="491" t="e">
        <f t="shared" si="68"/>
        <v>#VALUE!</v>
      </c>
      <c r="BO130" s="491" t="e">
        <f t="shared" si="68"/>
        <v>#VALUE!</v>
      </c>
      <c r="BP130" s="622" t="e">
        <f t="shared" si="69"/>
        <v>#VALUE!</v>
      </c>
      <c r="BQ130" s="274" t="e">
        <f>IF(L130="","Column",IF(OR(C130&lt;MAX(ColSpa1,Geometry!$J$107),C130&gt;MAX(MAX(Geometry!$I$107:$I$116),MAX(Geometry!$J$107:$J$116))),MIN(6,INDEX($O$45:$O$48,MATCH(L130,$O$45:$O$48,1),1)),INDEX($O$45:$O$48,MATCH(L130,$O$45:$O$48,1),1)))</f>
        <v>#VALUE!</v>
      </c>
    </row>
    <row r="131" spans="1:69">
      <c r="A131" s="339"/>
      <c r="B131" s="96" t="e">
        <f>IF(MIN(ABS(C131-INDEX(Geometry!$Q$104:$Q$113,IF(ISERROR(MATCH(C131,Geometry!$Q$104:$Q$113,1)),1,MATCH(C131,Geometry!$Q$104:$Q$113,1)),1)),ABS(C131-INDEX(Geometry!$Q$104:$Q$113,IF(ISERROR(MAX(11-MATCH(C131,Geometry!$R$104:$R$113,-1),1)),1,MAX(11-MATCH(C131,Geometry!$R$104:$R$113,-1),1)),1)))&lt;(halfeffectiveface/12),"#","")</f>
        <v>#VALUE!</v>
      </c>
      <c r="C131" s="96" t="str">
        <f>'CAP18 Out(1)'!D89</f>
        <v/>
      </c>
      <c r="D131" s="184" t="str">
        <f>'CAP18 Out(1)'!M89</f>
        <v/>
      </c>
      <c r="E131" s="179" t="e">
        <f t="shared" si="43"/>
        <v>#VALUE!</v>
      </c>
      <c r="F131" s="87" t="e">
        <f t="shared" si="44"/>
        <v>#VALUE!</v>
      </c>
      <c r="G131" s="87" t="e">
        <f t="shared" si="45"/>
        <v>#VALUE!</v>
      </c>
      <c r="H131" s="185" t="e">
        <f t="shared" si="46"/>
        <v>#VALUE!</v>
      </c>
      <c r="I131" s="184" t="e">
        <f t="shared" si="47"/>
        <v>#VALUE!</v>
      </c>
      <c r="J131" s="184">
        <f t="shared" si="48"/>
        <v>0</v>
      </c>
      <c r="K131" s="184">
        <f t="shared" si="49"/>
        <v>0</v>
      </c>
      <c r="L131" s="296" t="e">
        <f t="shared" si="50"/>
        <v>#VALUE!</v>
      </c>
      <c r="M131" s="294" t="e">
        <f>IF(L131="Column","",IF(OR(C131&lt;MAX(ColSpa1,Geometry!$J$107),C131&gt;MAX(MAX(Geometry!$I$107:$I$116),MAX(Geometry!$J$107:$J$116))),"OH - 6''",""))</f>
        <v>#VALUE!</v>
      </c>
      <c r="N131" s="1053">
        <v>36.527679474384989</v>
      </c>
      <c r="O131" s="489">
        <f t="shared" si="51"/>
        <v>0</v>
      </c>
      <c r="P131" s="489">
        <f t="shared" si="52"/>
        <v>0</v>
      </c>
      <c r="Q131" s="400" t="e">
        <f>'CAP18 Out(1)'!I89</f>
        <v>#VALUE!</v>
      </c>
      <c r="R131" s="400" t="e">
        <f>'CAP18 Out(1)'!J89</f>
        <v>#VALUE!</v>
      </c>
      <c r="S131" s="400" t="e">
        <f>IF(E131=ABS(Q131),VLOOKUP('Bars B'!$F$10,BarTable,4,FALSE)/12,1.3*VLOOKUP('Bars A'!$F$10,BarTable,4,FALSE)/12)</f>
        <v>#VALUE!</v>
      </c>
      <c r="T131" s="626" t="e">
        <f t="shared" si="53"/>
        <v>#VALUE!</v>
      </c>
      <c r="U131" s="489" t="e">
        <f>IF(T131&gt;S131,IF(E131=ABS(R131),'Bars A'!$I$13,'Bars B'!$I$13),0.0000000001)</f>
        <v>#VALUE!</v>
      </c>
      <c r="V131" s="483" t="e">
        <f t="shared" si="54"/>
        <v>#VALUE!</v>
      </c>
      <c r="W131" s="627" t="e">
        <f t="shared" si="55"/>
        <v>#VALUE!</v>
      </c>
      <c r="X131" s="628" t="e">
        <f t="shared" si="56"/>
        <v>#VALUE!</v>
      </c>
      <c r="Y131" s="489" t="e">
        <f t="shared" si="57"/>
        <v>#VALUE!</v>
      </c>
      <c r="Z131" s="629" t="e">
        <f t="shared" si="58"/>
        <v>#VALUE!</v>
      </c>
      <c r="AA131" s="626" t="e">
        <f t="shared" si="59"/>
        <v>#VALUE!</v>
      </c>
      <c r="AB131" s="481" t="e">
        <f>MATCH(V131,Reference!$S$7:$S$17,1)</f>
        <v>#VALUE!</v>
      </c>
      <c r="AC131" s="1388" t="e">
        <f>12-MATCH(V131,Reference!$AD$6:$AD$16,-1)</f>
        <v>#VALUE!</v>
      </c>
      <c r="AD131" s="482" t="e">
        <f>MATCH(X131,Reference!$T$6:$AB$6,1)</f>
        <v>#VALUE!</v>
      </c>
      <c r="AE131" s="482" t="e">
        <f>10-MATCH(X131,Reference!$AD$18:$AL$18,-1)</f>
        <v>#VALUE!</v>
      </c>
      <c r="AF131" s="482" t="e">
        <f>INDEX(Reference!$T$7:$AB$17,AB131,AD131)</f>
        <v>#VALUE!</v>
      </c>
      <c r="AG131" s="482" t="e">
        <f>INDEX(Reference!$T$7:$AB$17,AB131,AE131)</f>
        <v>#VALUE!</v>
      </c>
      <c r="AH131" s="482" t="e">
        <f>INDEX(Reference!$T$7:$AB$17,AC131,AD131)</f>
        <v>#VALUE!</v>
      </c>
      <c r="AI131" s="482" t="e">
        <f>INDEX(Reference!$T$7:$AB$17,AC131,AE131)</f>
        <v>#VALUE!</v>
      </c>
      <c r="AJ131" s="482" t="e">
        <f>INDEX(Reference!$T$23:$AB$33,AB131,AD131)</f>
        <v>#VALUE!</v>
      </c>
      <c r="AK131" s="482" t="e">
        <f>INDEX(Reference!$T$23:$AB$33,AB131,AE131)</f>
        <v>#VALUE!</v>
      </c>
      <c r="AL131" s="482" t="e">
        <f>INDEX(Reference!$T$23:$AB$33,AC131,AD131)</f>
        <v>#VALUE!</v>
      </c>
      <c r="AM131" s="482" t="e">
        <f>INDEX(Reference!$T$23:$AB$33,AC131,AE131)</f>
        <v>#VALUE!</v>
      </c>
      <c r="AN131" s="483" t="e">
        <f>INDEX(Reference!$S$7:$S$17,AB131,1)</f>
        <v>#VALUE!</v>
      </c>
      <c r="AO131" s="483" t="e">
        <f>INDEX(Reference!$S$7:$S$17,AC131,1)</f>
        <v>#VALUE!</v>
      </c>
      <c r="AP131" s="484" t="e">
        <f>INDEX(Reference!$T$6:$AB$6,1,AD131)</f>
        <v>#VALUE!</v>
      </c>
      <c r="AQ131" s="484" t="e">
        <f>INDEX(Reference!$T$6:$AB$6,1,AE131)</f>
        <v>#VALUE!</v>
      </c>
      <c r="AR131" s="629" t="e">
        <f t="shared" si="60"/>
        <v>#VALUE!</v>
      </c>
      <c r="AS131" s="629" t="e">
        <f t="shared" si="61"/>
        <v>#VALUE!</v>
      </c>
      <c r="AT131" s="629" t="e">
        <f t="shared" si="62"/>
        <v>#VALUE!</v>
      </c>
      <c r="AU131" s="629" t="e">
        <f t="shared" si="63"/>
        <v>#VALUE!</v>
      </c>
      <c r="AV131" s="629" t="e">
        <f t="shared" si="64"/>
        <v>#VALUE!</v>
      </c>
      <c r="AW131" s="630" t="e">
        <f t="shared" si="65"/>
        <v>#VALUE!</v>
      </c>
      <c r="AZ131" s="489" t="str">
        <f t="shared" si="66"/>
        <v/>
      </c>
      <c r="BA131" s="631" t="e">
        <f t="shared" si="70"/>
        <v>#VALUE!</v>
      </c>
      <c r="BB131" s="491" t="e">
        <f t="shared" si="70"/>
        <v>#VALUE!</v>
      </c>
      <c r="BC131" s="491" t="e">
        <f t="shared" si="70"/>
        <v>#VALUE!</v>
      </c>
      <c r="BD131" s="491" t="e">
        <f t="shared" si="70"/>
        <v>#VALUE!</v>
      </c>
      <c r="BE131" s="491" t="e">
        <f t="shared" si="70"/>
        <v>#VALUE!</v>
      </c>
      <c r="BF131" s="491" t="e">
        <f t="shared" si="70"/>
        <v>#VALUE!</v>
      </c>
      <c r="BG131" s="491" t="e">
        <f t="shared" si="70"/>
        <v>#VALUE!</v>
      </c>
      <c r="BH131" s="491" t="e">
        <f t="shared" si="70"/>
        <v>#VALUE!</v>
      </c>
      <c r="BI131" s="491" t="e">
        <f t="shared" si="70"/>
        <v>#VALUE!</v>
      </c>
      <c r="BJ131" s="491" t="e">
        <f t="shared" si="70"/>
        <v>#VALUE!</v>
      </c>
      <c r="BK131" s="400">
        <f t="shared" si="67"/>
        <v>81</v>
      </c>
      <c r="BL131" s="491" t="e">
        <f t="shared" si="68"/>
        <v>#VALUE!</v>
      </c>
      <c r="BM131" s="491" t="e">
        <f t="shared" si="68"/>
        <v>#VALUE!</v>
      </c>
      <c r="BN131" s="491" t="e">
        <f t="shared" si="68"/>
        <v>#VALUE!</v>
      </c>
      <c r="BO131" s="491" t="e">
        <f t="shared" si="68"/>
        <v>#VALUE!</v>
      </c>
      <c r="BP131" s="622" t="e">
        <f t="shared" si="69"/>
        <v>#VALUE!</v>
      </c>
      <c r="BQ131" s="274" t="e">
        <f>IF(L131="","Column",IF(OR(C131&lt;MAX(ColSpa1,Geometry!$J$107),C131&gt;MAX(MAX(Geometry!$I$107:$I$116),MAX(Geometry!$J$107:$J$116))),MIN(6,INDEX($O$45:$O$48,MATCH(L131,$O$45:$O$48,1),1)),INDEX($O$45:$O$48,MATCH(L131,$O$45:$O$48,1),1)))</f>
        <v>#VALUE!</v>
      </c>
    </row>
    <row r="132" spans="1:69">
      <c r="A132" s="339"/>
      <c r="B132" s="96" t="e">
        <f>IF(MIN(ABS(C132-INDEX(Geometry!$Q$104:$Q$113,IF(ISERROR(MATCH(C132,Geometry!$Q$104:$Q$113,1)),1,MATCH(C132,Geometry!$Q$104:$Q$113,1)),1)),ABS(C132-INDEX(Geometry!$Q$104:$Q$113,IF(ISERROR(MAX(11-MATCH(C132,Geometry!$R$104:$R$113,-1),1)),1,MAX(11-MATCH(C132,Geometry!$R$104:$R$113,-1),1)),1)))&lt;(halfeffectiveface/12),"#","")</f>
        <v>#VALUE!</v>
      </c>
      <c r="C132" s="96" t="str">
        <f>'CAP18 Out(1)'!D90</f>
        <v/>
      </c>
      <c r="D132" s="184" t="str">
        <f>'CAP18 Out(1)'!M90</f>
        <v/>
      </c>
      <c r="E132" s="179" t="e">
        <f t="shared" si="43"/>
        <v>#VALUE!</v>
      </c>
      <c r="F132" s="87" t="e">
        <f t="shared" si="44"/>
        <v>#VALUE!</v>
      </c>
      <c r="G132" s="87" t="e">
        <f t="shared" si="45"/>
        <v>#VALUE!</v>
      </c>
      <c r="H132" s="185" t="e">
        <f t="shared" si="46"/>
        <v>#VALUE!</v>
      </c>
      <c r="I132" s="184" t="e">
        <f t="shared" si="47"/>
        <v>#VALUE!</v>
      </c>
      <c r="J132" s="184">
        <f t="shared" si="48"/>
        <v>0</v>
      </c>
      <c r="K132" s="184">
        <f t="shared" si="49"/>
        <v>0</v>
      </c>
      <c r="L132" s="296" t="e">
        <f t="shared" si="50"/>
        <v>#VALUE!</v>
      </c>
      <c r="M132" s="294" t="e">
        <f>IF(L132="Column","",IF(OR(C132&lt;MAX(ColSpa1,Geometry!$J$107),C132&gt;MAX(MAX(Geometry!$I$107:$I$116),MAX(Geometry!$J$107:$J$116))),"OH - 6''",""))</f>
        <v>#VALUE!</v>
      </c>
      <c r="N132" s="1053">
        <v>36.793963890634018</v>
      </c>
      <c r="O132" s="489">
        <f t="shared" si="51"/>
        <v>0</v>
      </c>
      <c r="P132" s="489">
        <f t="shared" si="52"/>
        <v>0</v>
      </c>
      <c r="Q132" s="400" t="e">
        <f>'CAP18 Out(1)'!I90</f>
        <v>#VALUE!</v>
      </c>
      <c r="R132" s="400" t="e">
        <f>'CAP18 Out(1)'!J90</f>
        <v>#VALUE!</v>
      </c>
      <c r="S132" s="400" t="e">
        <f>IF(E132=ABS(Q132),VLOOKUP('Bars B'!$F$10,BarTable,4,FALSE)/12,1.3*VLOOKUP('Bars A'!$F$10,BarTable,4,FALSE)/12)</f>
        <v>#VALUE!</v>
      </c>
      <c r="T132" s="626" t="e">
        <f t="shared" si="53"/>
        <v>#VALUE!</v>
      </c>
      <c r="U132" s="489" t="e">
        <f>IF(T132&gt;S132,IF(E132=ABS(R132),'Bars A'!$I$13,'Bars B'!$I$13),0.0000000001)</f>
        <v>#VALUE!</v>
      </c>
      <c r="V132" s="483" t="e">
        <f t="shared" si="54"/>
        <v>#VALUE!</v>
      </c>
      <c r="W132" s="627" t="e">
        <f t="shared" si="55"/>
        <v>#VALUE!</v>
      </c>
      <c r="X132" s="628" t="e">
        <f t="shared" si="56"/>
        <v>#VALUE!</v>
      </c>
      <c r="Y132" s="489" t="e">
        <f t="shared" si="57"/>
        <v>#VALUE!</v>
      </c>
      <c r="Z132" s="629" t="e">
        <f t="shared" si="58"/>
        <v>#VALUE!</v>
      </c>
      <c r="AA132" s="626" t="e">
        <f t="shared" si="59"/>
        <v>#VALUE!</v>
      </c>
      <c r="AB132" s="481" t="e">
        <f>MATCH(V132,Reference!$S$7:$S$17,1)</f>
        <v>#VALUE!</v>
      </c>
      <c r="AC132" s="1388" t="e">
        <f>12-MATCH(V132,Reference!$AD$6:$AD$16,-1)</f>
        <v>#VALUE!</v>
      </c>
      <c r="AD132" s="482" t="e">
        <f>MATCH(X132,Reference!$T$6:$AB$6,1)</f>
        <v>#VALUE!</v>
      </c>
      <c r="AE132" s="482" t="e">
        <f>10-MATCH(X132,Reference!$AD$18:$AL$18,-1)</f>
        <v>#VALUE!</v>
      </c>
      <c r="AF132" s="482" t="e">
        <f>INDEX(Reference!$T$7:$AB$17,AB132,AD132)</f>
        <v>#VALUE!</v>
      </c>
      <c r="AG132" s="482" t="e">
        <f>INDEX(Reference!$T$7:$AB$17,AB132,AE132)</f>
        <v>#VALUE!</v>
      </c>
      <c r="AH132" s="482" t="e">
        <f>INDEX(Reference!$T$7:$AB$17,AC132,AD132)</f>
        <v>#VALUE!</v>
      </c>
      <c r="AI132" s="482" t="e">
        <f>INDEX(Reference!$T$7:$AB$17,AC132,AE132)</f>
        <v>#VALUE!</v>
      </c>
      <c r="AJ132" s="482" t="e">
        <f>INDEX(Reference!$T$23:$AB$33,AB132,AD132)</f>
        <v>#VALUE!</v>
      </c>
      <c r="AK132" s="482" t="e">
        <f>INDEX(Reference!$T$23:$AB$33,AB132,AE132)</f>
        <v>#VALUE!</v>
      </c>
      <c r="AL132" s="482" t="e">
        <f>INDEX(Reference!$T$23:$AB$33,AC132,AD132)</f>
        <v>#VALUE!</v>
      </c>
      <c r="AM132" s="482" t="e">
        <f>INDEX(Reference!$T$23:$AB$33,AC132,AE132)</f>
        <v>#VALUE!</v>
      </c>
      <c r="AN132" s="483" t="e">
        <f>INDEX(Reference!$S$7:$S$17,AB132,1)</f>
        <v>#VALUE!</v>
      </c>
      <c r="AO132" s="483" t="e">
        <f>INDEX(Reference!$S$7:$S$17,AC132,1)</f>
        <v>#VALUE!</v>
      </c>
      <c r="AP132" s="484" t="e">
        <f>INDEX(Reference!$T$6:$AB$6,1,AD132)</f>
        <v>#VALUE!</v>
      </c>
      <c r="AQ132" s="484" t="e">
        <f>INDEX(Reference!$T$6:$AB$6,1,AE132)</f>
        <v>#VALUE!</v>
      </c>
      <c r="AR132" s="629" t="e">
        <f t="shared" si="60"/>
        <v>#VALUE!</v>
      </c>
      <c r="AS132" s="629" t="e">
        <f t="shared" si="61"/>
        <v>#VALUE!</v>
      </c>
      <c r="AT132" s="629" t="e">
        <f t="shared" si="62"/>
        <v>#VALUE!</v>
      </c>
      <c r="AU132" s="629" t="e">
        <f t="shared" si="63"/>
        <v>#VALUE!</v>
      </c>
      <c r="AV132" s="629" t="e">
        <f t="shared" si="64"/>
        <v>#VALUE!</v>
      </c>
      <c r="AW132" s="630" t="e">
        <f t="shared" si="65"/>
        <v>#VALUE!</v>
      </c>
      <c r="AZ132" s="489" t="str">
        <f t="shared" si="66"/>
        <v/>
      </c>
      <c r="BA132" s="631" t="e">
        <f t="shared" si="70"/>
        <v>#VALUE!</v>
      </c>
      <c r="BB132" s="491" t="e">
        <f t="shared" si="70"/>
        <v>#VALUE!</v>
      </c>
      <c r="BC132" s="491" t="e">
        <f t="shared" si="70"/>
        <v>#VALUE!</v>
      </c>
      <c r="BD132" s="491" t="e">
        <f t="shared" si="70"/>
        <v>#VALUE!</v>
      </c>
      <c r="BE132" s="491" t="e">
        <f t="shared" si="70"/>
        <v>#VALUE!</v>
      </c>
      <c r="BF132" s="491" t="e">
        <f t="shared" si="70"/>
        <v>#VALUE!</v>
      </c>
      <c r="BG132" s="491" t="e">
        <f t="shared" si="70"/>
        <v>#VALUE!</v>
      </c>
      <c r="BH132" s="491" t="e">
        <f t="shared" si="70"/>
        <v>#VALUE!</v>
      </c>
      <c r="BI132" s="491" t="e">
        <f t="shared" si="70"/>
        <v>#VALUE!</v>
      </c>
      <c r="BJ132" s="491" t="e">
        <f t="shared" si="70"/>
        <v>#VALUE!</v>
      </c>
      <c r="BK132" s="400">
        <f t="shared" si="67"/>
        <v>82</v>
      </c>
      <c r="BL132" s="491" t="e">
        <f t="shared" si="68"/>
        <v>#VALUE!</v>
      </c>
      <c r="BM132" s="491" t="e">
        <f t="shared" si="68"/>
        <v>#VALUE!</v>
      </c>
      <c r="BN132" s="491" t="e">
        <f t="shared" si="68"/>
        <v>#VALUE!</v>
      </c>
      <c r="BO132" s="491" t="e">
        <f t="shared" si="68"/>
        <v>#VALUE!</v>
      </c>
      <c r="BP132" s="622" t="e">
        <f t="shared" si="69"/>
        <v>#VALUE!</v>
      </c>
      <c r="BQ132" s="274" t="e">
        <f>IF(L132="","Column",IF(OR(C132&lt;MAX(ColSpa1,Geometry!$J$107),C132&gt;MAX(MAX(Geometry!$I$107:$I$116),MAX(Geometry!$J$107:$J$116))),MIN(6,INDEX($O$45:$O$48,MATCH(L132,$O$45:$O$48,1),1)),INDEX($O$45:$O$48,MATCH(L132,$O$45:$O$48,1),1)))</f>
        <v>#VALUE!</v>
      </c>
    </row>
    <row r="133" spans="1:69">
      <c r="A133" s="339"/>
      <c r="B133" s="96" t="e">
        <f>IF(MIN(ABS(C133-INDEX(Geometry!$Q$104:$Q$113,IF(ISERROR(MATCH(C133,Geometry!$Q$104:$Q$113,1)),1,MATCH(C133,Geometry!$Q$104:$Q$113,1)),1)),ABS(C133-INDEX(Geometry!$Q$104:$Q$113,IF(ISERROR(MAX(11-MATCH(C133,Geometry!$R$104:$R$113,-1),1)),1,MAX(11-MATCH(C133,Geometry!$R$104:$R$113,-1),1)),1)))&lt;(halfeffectiveface/12),"#","")</f>
        <v>#VALUE!</v>
      </c>
      <c r="C133" s="96" t="str">
        <f>'CAP18 Out(1)'!D91</f>
        <v/>
      </c>
      <c r="D133" s="184" t="str">
        <f>'CAP18 Out(1)'!M91</f>
        <v/>
      </c>
      <c r="E133" s="179" t="e">
        <f t="shared" si="43"/>
        <v>#VALUE!</v>
      </c>
      <c r="F133" s="87" t="e">
        <f t="shared" si="44"/>
        <v>#VALUE!</v>
      </c>
      <c r="G133" s="87" t="e">
        <f t="shared" si="45"/>
        <v>#VALUE!</v>
      </c>
      <c r="H133" s="185" t="e">
        <f t="shared" si="46"/>
        <v>#VALUE!</v>
      </c>
      <c r="I133" s="184" t="e">
        <f t="shared" si="47"/>
        <v>#VALUE!</v>
      </c>
      <c r="J133" s="184">
        <f t="shared" si="48"/>
        <v>0</v>
      </c>
      <c r="K133" s="184">
        <f t="shared" si="49"/>
        <v>0</v>
      </c>
      <c r="L133" s="296" t="e">
        <f t="shared" si="50"/>
        <v>#VALUE!</v>
      </c>
      <c r="M133" s="294" t="e">
        <f>IF(L133="Column","",IF(OR(C133&lt;MAX(ColSpa1,Geometry!$J$107),C133&gt;MAX(MAX(Geometry!$I$107:$I$116),MAX(Geometry!$J$107:$J$116))),"OH - 6''",""))</f>
        <v>#VALUE!</v>
      </c>
      <c r="N133" s="1053">
        <v>36.4</v>
      </c>
      <c r="O133" s="489">
        <f t="shared" si="51"/>
        <v>0</v>
      </c>
      <c r="P133" s="489">
        <f t="shared" si="52"/>
        <v>0</v>
      </c>
      <c r="Q133" s="400" t="e">
        <f>'CAP18 Out(1)'!I91</f>
        <v>#VALUE!</v>
      </c>
      <c r="R133" s="400" t="e">
        <f>'CAP18 Out(1)'!J91</f>
        <v>#VALUE!</v>
      </c>
      <c r="S133" s="400" t="e">
        <f>IF(E133=ABS(Q133),VLOOKUP('Bars B'!$F$10,BarTable,4,FALSE)/12,1.3*VLOOKUP('Bars A'!$F$10,BarTable,4,FALSE)/12)</f>
        <v>#VALUE!</v>
      </c>
      <c r="T133" s="626" t="e">
        <f t="shared" si="53"/>
        <v>#VALUE!</v>
      </c>
      <c r="U133" s="489" t="e">
        <f>IF(T133&gt;S133,IF(E133=ABS(R133),'Bars A'!$I$13,'Bars B'!$I$13),0.0000000001)</f>
        <v>#VALUE!</v>
      </c>
      <c r="V133" s="483" t="e">
        <f t="shared" si="54"/>
        <v>#VALUE!</v>
      </c>
      <c r="W133" s="627" t="e">
        <f t="shared" si="55"/>
        <v>#VALUE!</v>
      </c>
      <c r="X133" s="628" t="e">
        <f t="shared" si="56"/>
        <v>#VALUE!</v>
      </c>
      <c r="Y133" s="489" t="e">
        <f t="shared" si="57"/>
        <v>#VALUE!</v>
      </c>
      <c r="Z133" s="629" t="e">
        <f t="shared" si="58"/>
        <v>#VALUE!</v>
      </c>
      <c r="AA133" s="626" t="e">
        <f t="shared" si="59"/>
        <v>#VALUE!</v>
      </c>
      <c r="AB133" s="481" t="e">
        <f>MATCH(V133,Reference!$S$7:$S$17,1)</f>
        <v>#VALUE!</v>
      </c>
      <c r="AC133" s="1388" t="e">
        <f>12-MATCH(V133,Reference!$AD$6:$AD$16,-1)</f>
        <v>#VALUE!</v>
      </c>
      <c r="AD133" s="482" t="e">
        <f>MATCH(X133,Reference!$T$6:$AB$6,1)</f>
        <v>#VALUE!</v>
      </c>
      <c r="AE133" s="482" t="e">
        <f>10-MATCH(X133,Reference!$AD$18:$AL$18,-1)</f>
        <v>#VALUE!</v>
      </c>
      <c r="AF133" s="482" t="e">
        <f>INDEX(Reference!$T$7:$AB$17,AB133,AD133)</f>
        <v>#VALUE!</v>
      </c>
      <c r="AG133" s="482" t="e">
        <f>INDEX(Reference!$T$7:$AB$17,AB133,AE133)</f>
        <v>#VALUE!</v>
      </c>
      <c r="AH133" s="482" t="e">
        <f>INDEX(Reference!$T$7:$AB$17,AC133,AD133)</f>
        <v>#VALUE!</v>
      </c>
      <c r="AI133" s="482" t="e">
        <f>INDEX(Reference!$T$7:$AB$17,AC133,AE133)</f>
        <v>#VALUE!</v>
      </c>
      <c r="AJ133" s="482" t="e">
        <f>INDEX(Reference!$T$23:$AB$33,AB133,AD133)</f>
        <v>#VALUE!</v>
      </c>
      <c r="AK133" s="482" t="e">
        <f>INDEX(Reference!$T$23:$AB$33,AB133,AE133)</f>
        <v>#VALUE!</v>
      </c>
      <c r="AL133" s="482" t="e">
        <f>INDEX(Reference!$T$23:$AB$33,AC133,AD133)</f>
        <v>#VALUE!</v>
      </c>
      <c r="AM133" s="482" t="e">
        <f>INDEX(Reference!$T$23:$AB$33,AC133,AE133)</f>
        <v>#VALUE!</v>
      </c>
      <c r="AN133" s="483" t="e">
        <f>INDEX(Reference!$S$7:$S$17,AB133,1)</f>
        <v>#VALUE!</v>
      </c>
      <c r="AO133" s="483" t="e">
        <f>INDEX(Reference!$S$7:$S$17,AC133,1)</f>
        <v>#VALUE!</v>
      </c>
      <c r="AP133" s="484" t="e">
        <f>INDEX(Reference!$T$6:$AB$6,1,AD133)</f>
        <v>#VALUE!</v>
      </c>
      <c r="AQ133" s="484" t="e">
        <f>INDEX(Reference!$T$6:$AB$6,1,AE133)</f>
        <v>#VALUE!</v>
      </c>
      <c r="AR133" s="629" t="e">
        <f t="shared" si="60"/>
        <v>#VALUE!</v>
      </c>
      <c r="AS133" s="629" t="e">
        <f t="shared" si="61"/>
        <v>#VALUE!</v>
      </c>
      <c r="AT133" s="629" t="e">
        <f t="shared" si="62"/>
        <v>#VALUE!</v>
      </c>
      <c r="AU133" s="629" t="e">
        <f t="shared" si="63"/>
        <v>#VALUE!</v>
      </c>
      <c r="AV133" s="629" t="e">
        <f t="shared" si="64"/>
        <v>#VALUE!</v>
      </c>
      <c r="AW133" s="630" t="e">
        <f t="shared" si="65"/>
        <v>#VALUE!</v>
      </c>
      <c r="AZ133" s="489" t="str">
        <f t="shared" si="66"/>
        <v/>
      </c>
      <c r="BA133" s="631" t="e">
        <f t="shared" si="70"/>
        <v>#VALUE!</v>
      </c>
      <c r="BB133" s="491" t="e">
        <f t="shared" si="70"/>
        <v>#VALUE!</v>
      </c>
      <c r="BC133" s="491" t="e">
        <f t="shared" si="70"/>
        <v>#VALUE!</v>
      </c>
      <c r="BD133" s="491" t="e">
        <f t="shared" si="70"/>
        <v>#VALUE!</v>
      </c>
      <c r="BE133" s="491" t="e">
        <f t="shared" si="70"/>
        <v>#VALUE!</v>
      </c>
      <c r="BF133" s="491" t="e">
        <f t="shared" si="70"/>
        <v>#VALUE!</v>
      </c>
      <c r="BG133" s="491" t="e">
        <f t="shared" si="70"/>
        <v>#VALUE!</v>
      </c>
      <c r="BH133" s="491" t="e">
        <f t="shared" si="70"/>
        <v>#VALUE!</v>
      </c>
      <c r="BI133" s="491" t="e">
        <f t="shared" si="70"/>
        <v>#VALUE!</v>
      </c>
      <c r="BJ133" s="491" t="e">
        <f t="shared" si="70"/>
        <v>#VALUE!</v>
      </c>
      <c r="BK133" s="400">
        <f t="shared" si="67"/>
        <v>83</v>
      </c>
      <c r="BL133" s="491" t="e">
        <f t="shared" si="68"/>
        <v>#VALUE!</v>
      </c>
      <c r="BM133" s="491" t="e">
        <f t="shared" si="68"/>
        <v>#VALUE!</v>
      </c>
      <c r="BN133" s="491" t="e">
        <f t="shared" si="68"/>
        <v>#VALUE!</v>
      </c>
      <c r="BO133" s="491" t="e">
        <f t="shared" si="68"/>
        <v>#VALUE!</v>
      </c>
      <c r="BP133" s="622" t="e">
        <f t="shared" si="69"/>
        <v>#VALUE!</v>
      </c>
      <c r="BQ133" s="274" t="e">
        <f>IF(L133="","Column",IF(OR(C133&lt;MAX(ColSpa1,Geometry!$J$107),C133&gt;MAX(MAX(Geometry!$I$107:$I$116),MAX(Geometry!$J$107:$J$116))),MIN(6,INDEX($O$45:$O$48,MATCH(L133,$O$45:$O$48,1),1)),INDEX($O$45:$O$48,MATCH(L133,$O$45:$O$48,1),1)))</f>
        <v>#VALUE!</v>
      </c>
    </row>
    <row r="134" spans="1:69">
      <c r="A134" s="339"/>
      <c r="B134" s="96" t="e">
        <f>IF(MIN(ABS(C134-INDEX(Geometry!$Q$104:$Q$113,IF(ISERROR(MATCH(C134,Geometry!$Q$104:$Q$113,1)),1,MATCH(C134,Geometry!$Q$104:$Q$113,1)),1)),ABS(C134-INDEX(Geometry!$Q$104:$Q$113,IF(ISERROR(MAX(11-MATCH(C134,Geometry!$R$104:$R$113,-1),1)),1,MAX(11-MATCH(C134,Geometry!$R$104:$R$113,-1),1)),1)))&lt;(halfeffectiveface/12),"#","")</f>
        <v>#VALUE!</v>
      </c>
      <c r="C134" s="96" t="str">
        <f>'CAP18 Out(1)'!D92</f>
        <v/>
      </c>
      <c r="D134" s="184" t="str">
        <f>'CAP18 Out(1)'!M92</f>
        <v/>
      </c>
      <c r="E134" s="179" t="e">
        <f t="shared" si="43"/>
        <v>#VALUE!</v>
      </c>
      <c r="F134" s="87" t="e">
        <f t="shared" si="44"/>
        <v>#VALUE!</v>
      </c>
      <c r="G134" s="87" t="e">
        <f t="shared" si="45"/>
        <v>#VALUE!</v>
      </c>
      <c r="H134" s="185" t="e">
        <f t="shared" si="46"/>
        <v>#VALUE!</v>
      </c>
      <c r="I134" s="184" t="e">
        <f t="shared" si="47"/>
        <v>#VALUE!</v>
      </c>
      <c r="J134" s="184">
        <f t="shared" si="48"/>
        <v>0</v>
      </c>
      <c r="K134" s="184">
        <f t="shared" si="49"/>
        <v>0</v>
      </c>
      <c r="L134" s="296" t="e">
        <f t="shared" si="50"/>
        <v>#VALUE!</v>
      </c>
      <c r="M134" s="294" t="e">
        <f>IF(L134="Column","",IF(OR(C134&lt;MAX(ColSpa1,Geometry!$J$107),C134&gt;MAX(MAX(Geometry!$I$107:$I$116),MAX(Geometry!$J$107:$J$116))),"OH - 6''",""))</f>
        <v>#VALUE!</v>
      </c>
      <c r="N134" s="1053">
        <v>36.4</v>
      </c>
      <c r="O134" s="489">
        <f t="shared" si="51"/>
        <v>0</v>
      </c>
      <c r="P134" s="489">
        <f t="shared" si="52"/>
        <v>0</v>
      </c>
      <c r="Q134" s="400" t="e">
        <f>'CAP18 Out(1)'!I92</f>
        <v>#VALUE!</v>
      </c>
      <c r="R134" s="400" t="e">
        <f>'CAP18 Out(1)'!J92</f>
        <v>#VALUE!</v>
      </c>
      <c r="S134" s="400" t="e">
        <f>IF(E134=ABS(Q134),VLOOKUP('Bars B'!$F$10,BarTable,4,FALSE)/12,1.3*VLOOKUP('Bars A'!$F$10,BarTable,4,FALSE)/12)</f>
        <v>#VALUE!</v>
      </c>
      <c r="T134" s="626" t="e">
        <f t="shared" si="53"/>
        <v>#VALUE!</v>
      </c>
      <c r="U134" s="489" t="e">
        <f>IF(T134&gt;S134,IF(E134=ABS(R134),'Bars A'!$I$13,'Bars B'!$I$13),0.0000000001)</f>
        <v>#VALUE!</v>
      </c>
      <c r="V134" s="483" t="e">
        <f t="shared" si="54"/>
        <v>#VALUE!</v>
      </c>
      <c r="W134" s="627" t="e">
        <f t="shared" si="55"/>
        <v>#VALUE!</v>
      </c>
      <c r="X134" s="628" t="e">
        <f t="shared" si="56"/>
        <v>#VALUE!</v>
      </c>
      <c r="Y134" s="489" t="e">
        <f t="shared" si="57"/>
        <v>#VALUE!</v>
      </c>
      <c r="Z134" s="629" t="e">
        <f t="shared" si="58"/>
        <v>#VALUE!</v>
      </c>
      <c r="AA134" s="626" t="e">
        <f t="shared" si="59"/>
        <v>#VALUE!</v>
      </c>
      <c r="AB134" s="481" t="e">
        <f>MATCH(V134,Reference!$S$7:$S$17,1)</f>
        <v>#VALUE!</v>
      </c>
      <c r="AC134" s="1388" t="e">
        <f>12-MATCH(V134,Reference!$AD$6:$AD$16,-1)</f>
        <v>#VALUE!</v>
      </c>
      <c r="AD134" s="482" t="e">
        <f>MATCH(X134,Reference!$T$6:$AB$6,1)</f>
        <v>#VALUE!</v>
      </c>
      <c r="AE134" s="482" t="e">
        <f>10-MATCH(X134,Reference!$AD$18:$AL$18,-1)</f>
        <v>#VALUE!</v>
      </c>
      <c r="AF134" s="482" t="e">
        <f>INDEX(Reference!$T$7:$AB$17,AB134,AD134)</f>
        <v>#VALUE!</v>
      </c>
      <c r="AG134" s="482" t="e">
        <f>INDEX(Reference!$T$7:$AB$17,AB134,AE134)</f>
        <v>#VALUE!</v>
      </c>
      <c r="AH134" s="482" t="e">
        <f>INDEX(Reference!$T$7:$AB$17,AC134,AD134)</f>
        <v>#VALUE!</v>
      </c>
      <c r="AI134" s="482" t="e">
        <f>INDEX(Reference!$T$7:$AB$17,AC134,AE134)</f>
        <v>#VALUE!</v>
      </c>
      <c r="AJ134" s="482" t="e">
        <f>INDEX(Reference!$T$23:$AB$33,AB134,AD134)</f>
        <v>#VALUE!</v>
      </c>
      <c r="AK134" s="482" t="e">
        <f>INDEX(Reference!$T$23:$AB$33,AB134,AE134)</f>
        <v>#VALUE!</v>
      </c>
      <c r="AL134" s="482" t="e">
        <f>INDEX(Reference!$T$23:$AB$33,AC134,AD134)</f>
        <v>#VALUE!</v>
      </c>
      <c r="AM134" s="482" t="e">
        <f>INDEX(Reference!$T$23:$AB$33,AC134,AE134)</f>
        <v>#VALUE!</v>
      </c>
      <c r="AN134" s="483" t="e">
        <f>INDEX(Reference!$S$7:$S$17,AB134,1)</f>
        <v>#VALUE!</v>
      </c>
      <c r="AO134" s="483" t="e">
        <f>INDEX(Reference!$S$7:$S$17,AC134,1)</f>
        <v>#VALUE!</v>
      </c>
      <c r="AP134" s="484" t="e">
        <f>INDEX(Reference!$T$6:$AB$6,1,AD134)</f>
        <v>#VALUE!</v>
      </c>
      <c r="AQ134" s="484" t="e">
        <f>INDEX(Reference!$T$6:$AB$6,1,AE134)</f>
        <v>#VALUE!</v>
      </c>
      <c r="AR134" s="629" t="e">
        <f t="shared" si="60"/>
        <v>#VALUE!</v>
      </c>
      <c r="AS134" s="629" t="e">
        <f t="shared" si="61"/>
        <v>#VALUE!</v>
      </c>
      <c r="AT134" s="629" t="e">
        <f t="shared" si="62"/>
        <v>#VALUE!</v>
      </c>
      <c r="AU134" s="629" t="e">
        <f t="shared" si="63"/>
        <v>#VALUE!</v>
      </c>
      <c r="AV134" s="629" t="e">
        <f t="shared" si="64"/>
        <v>#VALUE!</v>
      </c>
      <c r="AW134" s="630" t="e">
        <f t="shared" si="65"/>
        <v>#VALUE!</v>
      </c>
      <c r="AZ134" s="489" t="str">
        <f t="shared" si="66"/>
        <v/>
      </c>
      <c r="BA134" s="631" t="e">
        <f t="shared" si="70"/>
        <v>#VALUE!</v>
      </c>
      <c r="BB134" s="491" t="e">
        <f t="shared" si="70"/>
        <v>#VALUE!</v>
      </c>
      <c r="BC134" s="491" t="e">
        <f t="shared" si="70"/>
        <v>#VALUE!</v>
      </c>
      <c r="BD134" s="491" t="e">
        <f t="shared" si="70"/>
        <v>#VALUE!</v>
      </c>
      <c r="BE134" s="491" t="e">
        <f t="shared" si="70"/>
        <v>#VALUE!</v>
      </c>
      <c r="BF134" s="491" t="e">
        <f t="shared" si="70"/>
        <v>#VALUE!</v>
      </c>
      <c r="BG134" s="491" t="e">
        <f t="shared" si="70"/>
        <v>#VALUE!</v>
      </c>
      <c r="BH134" s="491" t="e">
        <f t="shared" si="70"/>
        <v>#VALUE!</v>
      </c>
      <c r="BI134" s="491" t="e">
        <f t="shared" si="70"/>
        <v>#VALUE!</v>
      </c>
      <c r="BJ134" s="491" t="e">
        <f t="shared" si="70"/>
        <v>#VALUE!</v>
      </c>
      <c r="BK134" s="400">
        <f t="shared" si="67"/>
        <v>84</v>
      </c>
      <c r="BL134" s="491" t="e">
        <f t="shared" si="68"/>
        <v>#VALUE!</v>
      </c>
      <c r="BM134" s="491" t="e">
        <f t="shared" si="68"/>
        <v>#VALUE!</v>
      </c>
      <c r="BN134" s="491" t="e">
        <f t="shared" si="68"/>
        <v>#VALUE!</v>
      </c>
      <c r="BO134" s="491" t="e">
        <f t="shared" si="68"/>
        <v>#VALUE!</v>
      </c>
      <c r="BP134" s="622" t="e">
        <f t="shared" si="69"/>
        <v>#VALUE!</v>
      </c>
      <c r="BQ134" s="274" t="e">
        <f>IF(L134="","Column",IF(OR(C134&lt;MAX(ColSpa1,Geometry!$J$107),C134&gt;MAX(MAX(Geometry!$I$107:$I$116),MAX(Geometry!$J$107:$J$116))),MIN(6,INDEX($O$45:$O$48,MATCH(L134,$O$45:$O$48,1),1)),INDEX($O$45:$O$48,MATCH(L134,$O$45:$O$48,1),1)))</f>
        <v>#VALUE!</v>
      </c>
    </row>
    <row r="135" spans="1:69">
      <c r="A135" s="339"/>
      <c r="B135" s="96" t="e">
        <f>IF(MIN(ABS(C135-INDEX(Geometry!$Q$104:$Q$113,IF(ISERROR(MATCH(C135,Geometry!$Q$104:$Q$113,1)),1,MATCH(C135,Geometry!$Q$104:$Q$113,1)),1)),ABS(C135-INDEX(Geometry!$Q$104:$Q$113,IF(ISERROR(MAX(11-MATCH(C135,Geometry!$R$104:$R$113,-1),1)),1,MAX(11-MATCH(C135,Geometry!$R$104:$R$113,-1),1)),1)))&lt;(halfeffectiveface/12),"#","")</f>
        <v>#VALUE!</v>
      </c>
      <c r="C135" s="96" t="str">
        <f>'CAP18 Out(1)'!D93</f>
        <v/>
      </c>
      <c r="D135" s="184" t="str">
        <f>'CAP18 Out(1)'!M93</f>
        <v/>
      </c>
      <c r="E135" s="179" t="e">
        <f t="shared" si="43"/>
        <v>#VALUE!</v>
      </c>
      <c r="F135" s="87" t="e">
        <f t="shared" si="44"/>
        <v>#VALUE!</v>
      </c>
      <c r="G135" s="87" t="e">
        <f t="shared" si="45"/>
        <v>#VALUE!</v>
      </c>
      <c r="H135" s="185" t="e">
        <f t="shared" si="46"/>
        <v>#VALUE!</v>
      </c>
      <c r="I135" s="184" t="e">
        <f t="shared" si="47"/>
        <v>#VALUE!</v>
      </c>
      <c r="J135" s="184">
        <f t="shared" si="48"/>
        <v>0</v>
      </c>
      <c r="K135" s="184">
        <f t="shared" si="49"/>
        <v>0</v>
      </c>
      <c r="L135" s="296" t="e">
        <f t="shared" si="50"/>
        <v>#VALUE!</v>
      </c>
      <c r="M135" s="294" t="e">
        <f>IF(L135="Column","",IF(OR(C135&lt;MAX(ColSpa1,Geometry!$J$107),C135&gt;MAX(MAX(Geometry!$I$107:$I$116),MAX(Geometry!$J$107:$J$116))),"OH - 6''",""))</f>
        <v>#VALUE!</v>
      </c>
      <c r="N135" s="1053">
        <v>36.4</v>
      </c>
      <c r="O135" s="489">
        <f t="shared" si="51"/>
        <v>0</v>
      </c>
      <c r="P135" s="489">
        <f t="shared" si="52"/>
        <v>0</v>
      </c>
      <c r="Q135" s="400" t="e">
        <f>'CAP18 Out(1)'!I93</f>
        <v>#VALUE!</v>
      </c>
      <c r="R135" s="400" t="e">
        <f>'CAP18 Out(1)'!J93</f>
        <v>#VALUE!</v>
      </c>
      <c r="S135" s="400" t="e">
        <f>IF(E135=ABS(Q135),VLOOKUP('Bars B'!$F$10,BarTable,4,FALSE)/12,1.3*VLOOKUP('Bars A'!$F$10,BarTable,4,FALSE)/12)</f>
        <v>#VALUE!</v>
      </c>
      <c r="T135" s="626" t="e">
        <f t="shared" si="53"/>
        <v>#VALUE!</v>
      </c>
      <c r="U135" s="489" t="e">
        <f>IF(T135&gt;S135,IF(E135=ABS(R135),'Bars A'!$I$13,'Bars B'!$I$13),0.0000000001)</f>
        <v>#VALUE!</v>
      </c>
      <c r="V135" s="483" t="e">
        <f t="shared" si="54"/>
        <v>#VALUE!</v>
      </c>
      <c r="W135" s="627" t="e">
        <f t="shared" si="55"/>
        <v>#VALUE!</v>
      </c>
      <c r="X135" s="628" t="e">
        <f t="shared" si="56"/>
        <v>#VALUE!</v>
      </c>
      <c r="Y135" s="489" t="e">
        <f t="shared" si="57"/>
        <v>#VALUE!</v>
      </c>
      <c r="Z135" s="629" t="e">
        <f t="shared" si="58"/>
        <v>#VALUE!</v>
      </c>
      <c r="AA135" s="626" t="e">
        <f t="shared" si="59"/>
        <v>#VALUE!</v>
      </c>
      <c r="AB135" s="481" t="e">
        <f>MATCH(V135,Reference!$S$7:$S$17,1)</f>
        <v>#VALUE!</v>
      </c>
      <c r="AC135" s="1388" t="e">
        <f>12-MATCH(V135,Reference!$AD$6:$AD$16,-1)</f>
        <v>#VALUE!</v>
      </c>
      <c r="AD135" s="482" t="e">
        <f>MATCH(X135,Reference!$T$6:$AB$6,1)</f>
        <v>#VALUE!</v>
      </c>
      <c r="AE135" s="482" t="e">
        <f>10-MATCH(X135,Reference!$AD$18:$AL$18,-1)</f>
        <v>#VALUE!</v>
      </c>
      <c r="AF135" s="482" t="e">
        <f>INDEX(Reference!$T$7:$AB$17,AB135,AD135)</f>
        <v>#VALUE!</v>
      </c>
      <c r="AG135" s="482" t="e">
        <f>INDEX(Reference!$T$7:$AB$17,AB135,AE135)</f>
        <v>#VALUE!</v>
      </c>
      <c r="AH135" s="482" t="e">
        <f>INDEX(Reference!$T$7:$AB$17,AC135,AD135)</f>
        <v>#VALUE!</v>
      </c>
      <c r="AI135" s="482" t="e">
        <f>INDEX(Reference!$T$7:$AB$17,AC135,AE135)</f>
        <v>#VALUE!</v>
      </c>
      <c r="AJ135" s="482" t="e">
        <f>INDEX(Reference!$T$23:$AB$33,AB135,AD135)</f>
        <v>#VALUE!</v>
      </c>
      <c r="AK135" s="482" t="e">
        <f>INDEX(Reference!$T$23:$AB$33,AB135,AE135)</f>
        <v>#VALUE!</v>
      </c>
      <c r="AL135" s="482" t="e">
        <f>INDEX(Reference!$T$23:$AB$33,AC135,AD135)</f>
        <v>#VALUE!</v>
      </c>
      <c r="AM135" s="482" t="e">
        <f>INDEX(Reference!$T$23:$AB$33,AC135,AE135)</f>
        <v>#VALUE!</v>
      </c>
      <c r="AN135" s="483" t="e">
        <f>INDEX(Reference!$S$7:$S$17,AB135,1)</f>
        <v>#VALUE!</v>
      </c>
      <c r="AO135" s="483" t="e">
        <f>INDEX(Reference!$S$7:$S$17,AC135,1)</f>
        <v>#VALUE!</v>
      </c>
      <c r="AP135" s="484" t="e">
        <f>INDEX(Reference!$T$6:$AB$6,1,AD135)</f>
        <v>#VALUE!</v>
      </c>
      <c r="AQ135" s="484" t="e">
        <f>INDEX(Reference!$T$6:$AB$6,1,AE135)</f>
        <v>#VALUE!</v>
      </c>
      <c r="AR135" s="629" t="e">
        <f t="shared" si="60"/>
        <v>#VALUE!</v>
      </c>
      <c r="AS135" s="629" t="e">
        <f t="shared" si="61"/>
        <v>#VALUE!</v>
      </c>
      <c r="AT135" s="629" t="e">
        <f t="shared" si="62"/>
        <v>#VALUE!</v>
      </c>
      <c r="AU135" s="629" t="e">
        <f t="shared" si="63"/>
        <v>#VALUE!</v>
      </c>
      <c r="AV135" s="629" t="e">
        <f t="shared" si="64"/>
        <v>#VALUE!</v>
      </c>
      <c r="AW135" s="630" t="e">
        <f t="shared" si="65"/>
        <v>#VALUE!</v>
      </c>
      <c r="AZ135" s="489" t="str">
        <f t="shared" si="66"/>
        <v/>
      </c>
      <c r="BA135" s="631" t="e">
        <f t="shared" si="70"/>
        <v>#VALUE!</v>
      </c>
      <c r="BB135" s="491" t="e">
        <f t="shared" si="70"/>
        <v>#VALUE!</v>
      </c>
      <c r="BC135" s="491" t="e">
        <f t="shared" si="70"/>
        <v>#VALUE!</v>
      </c>
      <c r="BD135" s="491" t="e">
        <f t="shared" si="70"/>
        <v>#VALUE!</v>
      </c>
      <c r="BE135" s="491" t="e">
        <f t="shared" si="70"/>
        <v>#VALUE!</v>
      </c>
      <c r="BF135" s="491" t="e">
        <f t="shared" si="70"/>
        <v>#VALUE!</v>
      </c>
      <c r="BG135" s="491" t="e">
        <f t="shared" si="70"/>
        <v>#VALUE!</v>
      </c>
      <c r="BH135" s="491" t="e">
        <f t="shared" si="70"/>
        <v>#VALUE!</v>
      </c>
      <c r="BI135" s="491" t="e">
        <f t="shared" si="70"/>
        <v>#VALUE!</v>
      </c>
      <c r="BJ135" s="491" t="e">
        <f t="shared" si="70"/>
        <v>#VALUE!</v>
      </c>
      <c r="BK135" s="400">
        <f t="shared" si="67"/>
        <v>85</v>
      </c>
      <c r="BL135" s="491" t="e">
        <f t="shared" si="68"/>
        <v>#VALUE!</v>
      </c>
      <c r="BM135" s="491" t="e">
        <f t="shared" si="68"/>
        <v>#VALUE!</v>
      </c>
      <c r="BN135" s="491" t="e">
        <f t="shared" si="68"/>
        <v>#VALUE!</v>
      </c>
      <c r="BO135" s="491" t="e">
        <f t="shared" si="68"/>
        <v>#VALUE!</v>
      </c>
      <c r="BP135" s="622" t="e">
        <f t="shared" si="69"/>
        <v>#VALUE!</v>
      </c>
      <c r="BQ135" s="274" t="e">
        <f>IF(L135="","Column",IF(OR(C135&lt;MAX(ColSpa1,Geometry!$J$107),C135&gt;MAX(MAX(Geometry!$I$107:$I$116),MAX(Geometry!$J$107:$J$116))),MIN(6,INDEX($O$45:$O$48,MATCH(L135,$O$45:$O$48,1),1)),INDEX($O$45:$O$48,MATCH(L135,$O$45:$O$48,1),1)))</f>
        <v>#VALUE!</v>
      </c>
    </row>
    <row r="136" spans="1:69">
      <c r="A136" s="339"/>
      <c r="B136" s="96" t="e">
        <f>IF(MIN(ABS(C136-INDEX(Geometry!$Q$104:$Q$113,IF(ISERROR(MATCH(C136,Geometry!$Q$104:$Q$113,1)),1,MATCH(C136,Geometry!$Q$104:$Q$113,1)),1)),ABS(C136-INDEX(Geometry!$Q$104:$Q$113,IF(ISERROR(MAX(11-MATCH(C136,Geometry!$R$104:$R$113,-1),1)),1,MAX(11-MATCH(C136,Geometry!$R$104:$R$113,-1),1)),1)))&lt;(halfeffectiveface/12),"#","")</f>
        <v>#VALUE!</v>
      </c>
      <c r="C136" s="96" t="str">
        <f>'CAP18 Out(1)'!D94</f>
        <v/>
      </c>
      <c r="D136" s="184" t="str">
        <f>'CAP18 Out(1)'!M94</f>
        <v/>
      </c>
      <c r="E136" s="179" t="e">
        <f t="shared" si="43"/>
        <v>#VALUE!</v>
      </c>
      <c r="F136" s="87" t="e">
        <f t="shared" si="44"/>
        <v>#VALUE!</v>
      </c>
      <c r="G136" s="87" t="e">
        <f t="shared" si="45"/>
        <v>#VALUE!</v>
      </c>
      <c r="H136" s="185" t="e">
        <f t="shared" si="46"/>
        <v>#VALUE!</v>
      </c>
      <c r="I136" s="184" t="e">
        <f t="shared" si="47"/>
        <v>#VALUE!</v>
      </c>
      <c r="J136" s="184">
        <f t="shared" si="48"/>
        <v>0</v>
      </c>
      <c r="K136" s="184">
        <f t="shared" si="49"/>
        <v>0</v>
      </c>
      <c r="L136" s="296" t="e">
        <f t="shared" si="50"/>
        <v>#VALUE!</v>
      </c>
      <c r="M136" s="294" t="e">
        <f>IF(L136="Column","",IF(OR(C136&lt;MAX(ColSpa1,Geometry!$J$107),C136&gt;MAX(MAX(Geometry!$I$107:$I$116),MAX(Geometry!$J$107:$J$116))),"OH - 6''",""))</f>
        <v>#VALUE!</v>
      </c>
      <c r="N136" s="1053">
        <v>36.4</v>
      </c>
      <c r="O136" s="489">
        <f t="shared" si="51"/>
        <v>0</v>
      </c>
      <c r="P136" s="489">
        <f t="shared" si="52"/>
        <v>0</v>
      </c>
      <c r="Q136" s="400" t="e">
        <f>'CAP18 Out(1)'!I94</f>
        <v>#VALUE!</v>
      </c>
      <c r="R136" s="400" t="e">
        <f>'CAP18 Out(1)'!J94</f>
        <v>#VALUE!</v>
      </c>
      <c r="S136" s="400" t="e">
        <f>IF(E136=ABS(Q136),VLOOKUP('Bars B'!$F$10,BarTable,4,FALSE)/12,1.3*VLOOKUP('Bars A'!$F$10,BarTable,4,FALSE)/12)</f>
        <v>#VALUE!</v>
      </c>
      <c r="T136" s="626" t="e">
        <f t="shared" si="53"/>
        <v>#VALUE!</v>
      </c>
      <c r="U136" s="489" t="e">
        <f>IF(T136&gt;S136,IF(E136=ABS(R136),'Bars A'!$I$13,'Bars B'!$I$13),0.0000000001)</f>
        <v>#VALUE!</v>
      </c>
      <c r="V136" s="483" t="e">
        <f t="shared" si="54"/>
        <v>#VALUE!</v>
      </c>
      <c r="W136" s="627" t="e">
        <f t="shared" si="55"/>
        <v>#VALUE!</v>
      </c>
      <c r="X136" s="628" t="e">
        <f t="shared" si="56"/>
        <v>#VALUE!</v>
      </c>
      <c r="Y136" s="489" t="e">
        <f t="shared" si="57"/>
        <v>#VALUE!</v>
      </c>
      <c r="Z136" s="629" t="e">
        <f t="shared" si="58"/>
        <v>#VALUE!</v>
      </c>
      <c r="AA136" s="626" t="e">
        <f t="shared" si="59"/>
        <v>#VALUE!</v>
      </c>
      <c r="AB136" s="481" t="e">
        <f>MATCH(V136,Reference!$S$7:$S$17,1)</f>
        <v>#VALUE!</v>
      </c>
      <c r="AC136" s="1388" t="e">
        <f>12-MATCH(V136,Reference!$AD$6:$AD$16,-1)</f>
        <v>#VALUE!</v>
      </c>
      <c r="AD136" s="482" t="e">
        <f>MATCH(X136,Reference!$T$6:$AB$6,1)</f>
        <v>#VALUE!</v>
      </c>
      <c r="AE136" s="482" t="e">
        <f>10-MATCH(X136,Reference!$AD$18:$AL$18,-1)</f>
        <v>#VALUE!</v>
      </c>
      <c r="AF136" s="482" t="e">
        <f>INDEX(Reference!$T$7:$AB$17,AB136,AD136)</f>
        <v>#VALUE!</v>
      </c>
      <c r="AG136" s="482" t="e">
        <f>INDEX(Reference!$T$7:$AB$17,AB136,AE136)</f>
        <v>#VALUE!</v>
      </c>
      <c r="AH136" s="482" t="e">
        <f>INDEX(Reference!$T$7:$AB$17,AC136,AD136)</f>
        <v>#VALUE!</v>
      </c>
      <c r="AI136" s="482" t="e">
        <f>INDEX(Reference!$T$7:$AB$17,AC136,AE136)</f>
        <v>#VALUE!</v>
      </c>
      <c r="AJ136" s="482" t="e">
        <f>INDEX(Reference!$T$23:$AB$33,AB136,AD136)</f>
        <v>#VALUE!</v>
      </c>
      <c r="AK136" s="482" t="e">
        <f>INDEX(Reference!$T$23:$AB$33,AB136,AE136)</f>
        <v>#VALUE!</v>
      </c>
      <c r="AL136" s="482" t="e">
        <f>INDEX(Reference!$T$23:$AB$33,AC136,AD136)</f>
        <v>#VALUE!</v>
      </c>
      <c r="AM136" s="482" t="e">
        <f>INDEX(Reference!$T$23:$AB$33,AC136,AE136)</f>
        <v>#VALUE!</v>
      </c>
      <c r="AN136" s="483" t="e">
        <f>INDEX(Reference!$S$7:$S$17,AB136,1)</f>
        <v>#VALUE!</v>
      </c>
      <c r="AO136" s="483" t="e">
        <f>INDEX(Reference!$S$7:$S$17,AC136,1)</f>
        <v>#VALUE!</v>
      </c>
      <c r="AP136" s="484" t="e">
        <f>INDEX(Reference!$T$6:$AB$6,1,AD136)</f>
        <v>#VALUE!</v>
      </c>
      <c r="AQ136" s="484" t="e">
        <f>INDEX(Reference!$T$6:$AB$6,1,AE136)</f>
        <v>#VALUE!</v>
      </c>
      <c r="AR136" s="629" t="e">
        <f t="shared" si="60"/>
        <v>#VALUE!</v>
      </c>
      <c r="AS136" s="629" t="e">
        <f t="shared" si="61"/>
        <v>#VALUE!</v>
      </c>
      <c r="AT136" s="629" t="e">
        <f t="shared" si="62"/>
        <v>#VALUE!</v>
      </c>
      <c r="AU136" s="629" t="e">
        <f t="shared" si="63"/>
        <v>#VALUE!</v>
      </c>
      <c r="AV136" s="629" t="e">
        <f t="shared" si="64"/>
        <v>#VALUE!</v>
      </c>
      <c r="AW136" s="630" t="e">
        <f t="shared" si="65"/>
        <v>#VALUE!</v>
      </c>
      <c r="AZ136" s="489" t="str">
        <f t="shared" si="66"/>
        <v/>
      </c>
      <c r="BA136" s="631" t="e">
        <f t="shared" si="70"/>
        <v>#VALUE!</v>
      </c>
      <c r="BB136" s="491" t="e">
        <f t="shared" si="70"/>
        <v>#VALUE!</v>
      </c>
      <c r="BC136" s="491" t="e">
        <f t="shared" si="70"/>
        <v>#VALUE!</v>
      </c>
      <c r="BD136" s="491" t="e">
        <f t="shared" si="70"/>
        <v>#VALUE!</v>
      </c>
      <c r="BE136" s="491" t="e">
        <f t="shared" si="70"/>
        <v>#VALUE!</v>
      </c>
      <c r="BF136" s="491" t="e">
        <f t="shared" si="70"/>
        <v>#VALUE!</v>
      </c>
      <c r="BG136" s="491" t="e">
        <f t="shared" si="70"/>
        <v>#VALUE!</v>
      </c>
      <c r="BH136" s="491" t="e">
        <f t="shared" si="70"/>
        <v>#VALUE!</v>
      </c>
      <c r="BI136" s="491" t="e">
        <f t="shared" si="70"/>
        <v>#VALUE!</v>
      </c>
      <c r="BJ136" s="491" t="e">
        <f t="shared" si="70"/>
        <v>#VALUE!</v>
      </c>
      <c r="BK136" s="400">
        <f t="shared" si="67"/>
        <v>86</v>
      </c>
      <c r="BL136" s="491" t="e">
        <f t="shared" si="68"/>
        <v>#VALUE!</v>
      </c>
      <c r="BM136" s="491" t="e">
        <f t="shared" si="68"/>
        <v>#VALUE!</v>
      </c>
      <c r="BN136" s="491" t="e">
        <f t="shared" si="68"/>
        <v>#VALUE!</v>
      </c>
      <c r="BO136" s="491" t="e">
        <f t="shared" si="68"/>
        <v>#VALUE!</v>
      </c>
      <c r="BP136" s="622" t="e">
        <f t="shared" si="69"/>
        <v>#VALUE!</v>
      </c>
      <c r="BQ136" s="274" t="e">
        <f>IF(L136="","Column",IF(OR(C136&lt;MAX(ColSpa1,Geometry!$J$107),C136&gt;MAX(MAX(Geometry!$I$107:$I$116),MAX(Geometry!$J$107:$J$116))),MIN(6,INDEX($O$45:$O$48,MATCH(L136,$O$45:$O$48,1),1)),INDEX($O$45:$O$48,MATCH(L136,$O$45:$O$48,1),1)))</f>
        <v>#VALUE!</v>
      </c>
    </row>
    <row r="137" spans="1:69">
      <c r="A137" s="339"/>
      <c r="B137" s="96" t="e">
        <f>IF(MIN(ABS(C137-INDEX(Geometry!$Q$104:$Q$113,IF(ISERROR(MATCH(C137,Geometry!$Q$104:$Q$113,1)),1,MATCH(C137,Geometry!$Q$104:$Q$113,1)),1)),ABS(C137-INDEX(Geometry!$Q$104:$Q$113,IF(ISERROR(MAX(11-MATCH(C137,Geometry!$R$104:$R$113,-1),1)),1,MAX(11-MATCH(C137,Geometry!$R$104:$R$113,-1),1)),1)))&lt;(halfeffectiveface/12),"#","")</f>
        <v>#VALUE!</v>
      </c>
      <c r="C137" s="96" t="str">
        <f>'CAP18 Out(1)'!D95</f>
        <v/>
      </c>
      <c r="D137" s="184" t="str">
        <f>'CAP18 Out(1)'!M95</f>
        <v/>
      </c>
      <c r="E137" s="179" t="e">
        <f t="shared" si="43"/>
        <v>#VALUE!</v>
      </c>
      <c r="F137" s="87" t="e">
        <f t="shared" si="44"/>
        <v>#VALUE!</v>
      </c>
      <c r="G137" s="87" t="e">
        <f t="shared" si="45"/>
        <v>#VALUE!</v>
      </c>
      <c r="H137" s="185" t="e">
        <f t="shared" si="46"/>
        <v>#VALUE!</v>
      </c>
      <c r="I137" s="184" t="e">
        <f t="shared" si="47"/>
        <v>#VALUE!</v>
      </c>
      <c r="J137" s="184">
        <f t="shared" si="48"/>
        <v>0</v>
      </c>
      <c r="K137" s="184">
        <f t="shared" si="49"/>
        <v>0</v>
      </c>
      <c r="L137" s="296" t="e">
        <f t="shared" si="50"/>
        <v>#VALUE!</v>
      </c>
      <c r="M137" s="294" t="e">
        <f>IF(L137="Column","",IF(OR(C137&lt;MAX(ColSpa1,Geometry!$J$107),C137&gt;MAX(MAX(Geometry!$I$107:$I$116),MAX(Geometry!$J$107:$J$116))),"OH - 6''",""))</f>
        <v>#VALUE!</v>
      </c>
      <c r="N137" s="1053">
        <v>36.4</v>
      </c>
      <c r="O137" s="489">
        <f t="shared" si="51"/>
        <v>0</v>
      </c>
      <c r="P137" s="489">
        <f t="shared" si="52"/>
        <v>0</v>
      </c>
      <c r="Q137" s="400" t="e">
        <f>'CAP18 Out(1)'!I95</f>
        <v>#VALUE!</v>
      </c>
      <c r="R137" s="400" t="e">
        <f>'CAP18 Out(1)'!J95</f>
        <v>#VALUE!</v>
      </c>
      <c r="S137" s="400" t="e">
        <f>IF(E137=ABS(Q137),VLOOKUP('Bars B'!$F$10,BarTable,4,FALSE)/12,1.3*VLOOKUP('Bars A'!$F$10,BarTable,4,FALSE)/12)</f>
        <v>#VALUE!</v>
      </c>
      <c r="T137" s="626" t="e">
        <f t="shared" si="53"/>
        <v>#VALUE!</v>
      </c>
      <c r="U137" s="489" t="e">
        <f>IF(T137&gt;S137,IF(E137=ABS(R137),'Bars A'!$I$13,'Bars B'!$I$13),0.0000000001)</f>
        <v>#VALUE!</v>
      </c>
      <c r="V137" s="483" t="e">
        <f t="shared" si="54"/>
        <v>#VALUE!</v>
      </c>
      <c r="W137" s="627" t="e">
        <f t="shared" si="55"/>
        <v>#VALUE!</v>
      </c>
      <c r="X137" s="628" t="e">
        <f t="shared" si="56"/>
        <v>#VALUE!</v>
      </c>
      <c r="Y137" s="489" t="e">
        <f t="shared" si="57"/>
        <v>#VALUE!</v>
      </c>
      <c r="Z137" s="629" t="e">
        <f t="shared" si="58"/>
        <v>#VALUE!</v>
      </c>
      <c r="AA137" s="626" t="e">
        <f t="shared" si="59"/>
        <v>#VALUE!</v>
      </c>
      <c r="AB137" s="481" t="e">
        <f>MATCH(V137,Reference!$S$7:$S$17,1)</f>
        <v>#VALUE!</v>
      </c>
      <c r="AC137" s="1388" t="e">
        <f>12-MATCH(V137,Reference!$AD$6:$AD$16,-1)</f>
        <v>#VALUE!</v>
      </c>
      <c r="AD137" s="482" t="e">
        <f>MATCH(X137,Reference!$T$6:$AB$6,1)</f>
        <v>#VALUE!</v>
      </c>
      <c r="AE137" s="482" t="e">
        <f>10-MATCH(X137,Reference!$AD$18:$AL$18,-1)</f>
        <v>#VALUE!</v>
      </c>
      <c r="AF137" s="482" t="e">
        <f>INDEX(Reference!$T$7:$AB$17,AB137,AD137)</f>
        <v>#VALUE!</v>
      </c>
      <c r="AG137" s="482" t="e">
        <f>INDEX(Reference!$T$7:$AB$17,AB137,AE137)</f>
        <v>#VALUE!</v>
      </c>
      <c r="AH137" s="482" t="e">
        <f>INDEX(Reference!$T$7:$AB$17,AC137,AD137)</f>
        <v>#VALUE!</v>
      </c>
      <c r="AI137" s="482" t="e">
        <f>INDEX(Reference!$T$7:$AB$17,AC137,AE137)</f>
        <v>#VALUE!</v>
      </c>
      <c r="AJ137" s="482" t="e">
        <f>INDEX(Reference!$T$23:$AB$33,AB137,AD137)</f>
        <v>#VALUE!</v>
      </c>
      <c r="AK137" s="482" t="e">
        <f>INDEX(Reference!$T$23:$AB$33,AB137,AE137)</f>
        <v>#VALUE!</v>
      </c>
      <c r="AL137" s="482" t="e">
        <f>INDEX(Reference!$T$23:$AB$33,AC137,AD137)</f>
        <v>#VALUE!</v>
      </c>
      <c r="AM137" s="482" t="e">
        <f>INDEX(Reference!$T$23:$AB$33,AC137,AE137)</f>
        <v>#VALUE!</v>
      </c>
      <c r="AN137" s="483" t="e">
        <f>INDEX(Reference!$S$7:$S$17,AB137,1)</f>
        <v>#VALUE!</v>
      </c>
      <c r="AO137" s="483" t="e">
        <f>INDEX(Reference!$S$7:$S$17,AC137,1)</f>
        <v>#VALUE!</v>
      </c>
      <c r="AP137" s="484" t="e">
        <f>INDEX(Reference!$T$6:$AB$6,1,AD137)</f>
        <v>#VALUE!</v>
      </c>
      <c r="AQ137" s="484" t="e">
        <f>INDEX(Reference!$T$6:$AB$6,1,AE137)</f>
        <v>#VALUE!</v>
      </c>
      <c r="AR137" s="629" t="e">
        <f t="shared" si="60"/>
        <v>#VALUE!</v>
      </c>
      <c r="AS137" s="629" t="e">
        <f t="shared" si="61"/>
        <v>#VALUE!</v>
      </c>
      <c r="AT137" s="629" t="e">
        <f t="shared" si="62"/>
        <v>#VALUE!</v>
      </c>
      <c r="AU137" s="629" t="e">
        <f t="shared" si="63"/>
        <v>#VALUE!</v>
      </c>
      <c r="AV137" s="629" t="e">
        <f t="shared" si="64"/>
        <v>#VALUE!</v>
      </c>
      <c r="AW137" s="630" t="e">
        <f t="shared" si="65"/>
        <v>#VALUE!</v>
      </c>
      <c r="AZ137" s="489" t="str">
        <f t="shared" si="66"/>
        <v/>
      </c>
      <c r="BA137" s="631" t="e">
        <f t="shared" si="70"/>
        <v>#VALUE!</v>
      </c>
      <c r="BB137" s="491" t="e">
        <f t="shared" si="70"/>
        <v>#VALUE!</v>
      </c>
      <c r="BC137" s="491" t="e">
        <f t="shared" si="70"/>
        <v>#VALUE!</v>
      </c>
      <c r="BD137" s="491" t="e">
        <f t="shared" si="70"/>
        <v>#VALUE!</v>
      </c>
      <c r="BE137" s="491" t="e">
        <f t="shared" si="70"/>
        <v>#VALUE!</v>
      </c>
      <c r="BF137" s="491" t="e">
        <f t="shared" si="70"/>
        <v>#VALUE!</v>
      </c>
      <c r="BG137" s="491" t="e">
        <f t="shared" si="70"/>
        <v>#VALUE!</v>
      </c>
      <c r="BH137" s="491" t="e">
        <f t="shared" si="70"/>
        <v>#VALUE!</v>
      </c>
      <c r="BI137" s="491" t="e">
        <f t="shared" si="70"/>
        <v>#VALUE!</v>
      </c>
      <c r="BJ137" s="491" t="e">
        <f t="shared" si="70"/>
        <v>#VALUE!</v>
      </c>
      <c r="BK137" s="400">
        <f t="shared" si="67"/>
        <v>87</v>
      </c>
      <c r="BL137" s="491" t="e">
        <f t="shared" si="68"/>
        <v>#VALUE!</v>
      </c>
      <c r="BM137" s="491" t="e">
        <f t="shared" si="68"/>
        <v>#VALUE!</v>
      </c>
      <c r="BN137" s="491" t="e">
        <f t="shared" si="68"/>
        <v>#VALUE!</v>
      </c>
      <c r="BO137" s="491" t="e">
        <f t="shared" si="68"/>
        <v>#VALUE!</v>
      </c>
      <c r="BP137" s="622" t="e">
        <f t="shared" si="69"/>
        <v>#VALUE!</v>
      </c>
      <c r="BQ137" s="274" t="e">
        <f>IF(L137="","Column",IF(OR(C137&lt;MAX(ColSpa1,Geometry!$J$107),C137&gt;MAX(MAX(Geometry!$I$107:$I$116),MAX(Geometry!$J$107:$J$116))),MIN(6,INDEX($O$45:$O$48,MATCH(L137,$O$45:$O$48,1),1)),INDEX($O$45:$O$48,MATCH(L137,$O$45:$O$48,1),1)))</f>
        <v>#VALUE!</v>
      </c>
    </row>
    <row r="138" spans="1:69">
      <c r="A138" s="339"/>
      <c r="B138" s="96" t="e">
        <f>IF(MIN(ABS(C138-INDEX(Geometry!$Q$104:$Q$113,IF(ISERROR(MATCH(C138,Geometry!$Q$104:$Q$113,1)),1,MATCH(C138,Geometry!$Q$104:$Q$113,1)),1)),ABS(C138-INDEX(Geometry!$Q$104:$Q$113,IF(ISERROR(MAX(11-MATCH(C138,Geometry!$R$104:$R$113,-1),1)),1,MAX(11-MATCH(C138,Geometry!$R$104:$R$113,-1),1)),1)))&lt;(halfeffectiveface/12),"#","")</f>
        <v>#VALUE!</v>
      </c>
      <c r="C138" s="96" t="str">
        <f>'CAP18 Out(1)'!D96</f>
        <v/>
      </c>
      <c r="D138" s="184" t="str">
        <f>'CAP18 Out(1)'!M96</f>
        <v/>
      </c>
      <c r="E138" s="179" t="e">
        <f t="shared" si="43"/>
        <v>#VALUE!</v>
      </c>
      <c r="F138" s="87" t="e">
        <f t="shared" si="44"/>
        <v>#VALUE!</v>
      </c>
      <c r="G138" s="87" t="e">
        <f t="shared" si="45"/>
        <v>#VALUE!</v>
      </c>
      <c r="H138" s="185" t="e">
        <f t="shared" si="46"/>
        <v>#VALUE!</v>
      </c>
      <c r="I138" s="184" t="e">
        <f t="shared" si="47"/>
        <v>#VALUE!</v>
      </c>
      <c r="J138" s="184">
        <f t="shared" si="48"/>
        <v>0</v>
      </c>
      <c r="K138" s="184">
        <f t="shared" si="49"/>
        <v>0</v>
      </c>
      <c r="L138" s="296" t="e">
        <f t="shared" si="50"/>
        <v>#VALUE!</v>
      </c>
      <c r="M138" s="294" t="e">
        <f>IF(L138="Column","",IF(OR(C138&lt;MAX(ColSpa1,Geometry!$J$107),C138&gt;MAX(MAX(Geometry!$I$107:$I$116),MAX(Geometry!$J$107:$J$116))),"OH - 6''",""))</f>
        <v>#VALUE!</v>
      </c>
      <c r="N138" s="1053">
        <v>36.4</v>
      </c>
      <c r="O138" s="489">
        <f t="shared" si="51"/>
        <v>0</v>
      </c>
      <c r="P138" s="489">
        <f t="shared" si="52"/>
        <v>0</v>
      </c>
      <c r="Q138" s="400" t="e">
        <f>'CAP18 Out(1)'!I96</f>
        <v>#VALUE!</v>
      </c>
      <c r="R138" s="400" t="e">
        <f>'CAP18 Out(1)'!J96</f>
        <v>#VALUE!</v>
      </c>
      <c r="S138" s="400" t="e">
        <f>IF(E138=ABS(Q138),VLOOKUP('Bars B'!$F$10,BarTable,4,FALSE)/12,1.3*VLOOKUP('Bars A'!$F$10,BarTable,4,FALSE)/12)</f>
        <v>#VALUE!</v>
      </c>
      <c r="T138" s="626" t="e">
        <f t="shared" si="53"/>
        <v>#VALUE!</v>
      </c>
      <c r="U138" s="489" t="e">
        <f>IF(T138&gt;S138,IF(E138=ABS(R138),'Bars A'!$I$13,'Bars B'!$I$13),0.0000000001)</f>
        <v>#VALUE!</v>
      </c>
      <c r="V138" s="483" t="e">
        <f t="shared" si="54"/>
        <v>#VALUE!</v>
      </c>
      <c r="W138" s="627" t="e">
        <f t="shared" si="55"/>
        <v>#VALUE!</v>
      </c>
      <c r="X138" s="628" t="e">
        <f t="shared" si="56"/>
        <v>#VALUE!</v>
      </c>
      <c r="Y138" s="489" t="e">
        <f t="shared" si="57"/>
        <v>#VALUE!</v>
      </c>
      <c r="Z138" s="629" t="e">
        <f t="shared" si="58"/>
        <v>#VALUE!</v>
      </c>
      <c r="AA138" s="626" t="e">
        <f t="shared" si="59"/>
        <v>#VALUE!</v>
      </c>
      <c r="AB138" s="481" t="e">
        <f>MATCH(V138,Reference!$S$7:$S$17,1)</f>
        <v>#VALUE!</v>
      </c>
      <c r="AC138" s="1388" t="e">
        <f>12-MATCH(V138,Reference!$AD$6:$AD$16,-1)</f>
        <v>#VALUE!</v>
      </c>
      <c r="AD138" s="482" t="e">
        <f>MATCH(X138,Reference!$T$6:$AB$6,1)</f>
        <v>#VALUE!</v>
      </c>
      <c r="AE138" s="482" t="e">
        <f>10-MATCH(X138,Reference!$AD$18:$AL$18,-1)</f>
        <v>#VALUE!</v>
      </c>
      <c r="AF138" s="482" t="e">
        <f>INDEX(Reference!$T$7:$AB$17,AB138,AD138)</f>
        <v>#VALUE!</v>
      </c>
      <c r="AG138" s="482" t="e">
        <f>INDEX(Reference!$T$7:$AB$17,AB138,AE138)</f>
        <v>#VALUE!</v>
      </c>
      <c r="AH138" s="482" t="e">
        <f>INDEX(Reference!$T$7:$AB$17,AC138,AD138)</f>
        <v>#VALUE!</v>
      </c>
      <c r="AI138" s="482" t="e">
        <f>INDEX(Reference!$T$7:$AB$17,AC138,AE138)</f>
        <v>#VALUE!</v>
      </c>
      <c r="AJ138" s="482" t="e">
        <f>INDEX(Reference!$T$23:$AB$33,AB138,AD138)</f>
        <v>#VALUE!</v>
      </c>
      <c r="AK138" s="482" t="e">
        <f>INDEX(Reference!$T$23:$AB$33,AB138,AE138)</f>
        <v>#VALUE!</v>
      </c>
      <c r="AL138" s="482" t="e">
        <f>INDEX(Reference!$T$23:$AB$33,AC138,AD138)</f>
        <v>#VALUE!</v>
      </c>
      <c r="AM138" s="482" t="e">
        <f>INDEX(Reference!$T$23:$AB$33,AC138,AE138)</f>
        <v>#VALUE!</v>
      </c>
      <c r="AN138" s="483" t="e">
        <f>INDEX(Reference!$S$7:$S$17,AB138,1)</f>
        <v>#VALUE!</v>
      </c>
      <c r="AO138" s="483" t="e">
        <f>INDEX(Reference!$S$7:$S$17,AC138,1)</f>
        <v>#VALUE!</v>
      </c>
      <c r="AP138" s="484" t="e">
        <f>INDEX(Reference!$T$6:$AB$6,1,AD138)</f>
        <v>#VALUE!</v>
      </c>
      <c r="AQ138" s="484" t="e">
        <f>INDEX(Reference!$T$6:$AB$6,1,AE138)</f>
        <v>#VALUE!</v>
      </c>
      <c r="AR138" s="629" t="e">
        <f t="shared" si="60"/>
        <v>#VALUE!</v>
      </c>
      <c r="AS138" s="629" t="e">
        <f t="shared" si="61"/>
        <v>#VALUE!</v>
      </c>
      <c r="AT138" s="629" t="e">
        <f t="shared" si="62"/>
        <v>#VALUE!</v>
      </c>
      <c r="AU138" s="629" t="e">
        <f t="shared" si="63"/>
        <v>#VALUE!</v>
      </c>
      <c r="AV138" s="629" t="e">
        <f t="shared" si="64"/>
        <v>#VALUE!</v>
      </c>
      <c r="AW138" s="630" t="e">
        <f t="shared" si="65"/>
        <v>#VALUE!</v>
      </c>
      <c r="AZ138" s="489" t="str">
        <f t="shared" si="66"/>
        <v/>
      </c>
      <c r="BA138" s="631" t="e">
        <f t="shared" si="70"/>
        <v>#VALUE!</v>
      </c>
      <c r="BB138" s="491" t="e">
        <f t="shared" si="70"/>
        <v>#VALUE!</v>
      </c>
      <c r="BC138" s="491" t="e">
        <f t="shared" si="70"/>
        <v>#VALUE!</v>
      </c>
      <c r="BD138" s="491" t="e">
        <f t="shared" si="70"/>
        <v>#VALUE!</v>
      </c>
      <c r="BE138" s="491" t="e">
        <f t="shared" si="70"/>
        <v>#VALUE!</v>
      </c>
      <c r="BF138" s="491" t="e">
        <f t="shared" si="70"/>
        <v>#VALUE!</v>
      </c>
      <c r="BG138" s="491" t="e">
        <f t="shared" si="70"/>
        <v>#VALUE!</v>
      </c>
      <c r="BH138" s="491" t="e">
        <f t="shared" si="70"/>
        <v>#VALUE!</v>
      </c>
      <c r="BI138" s="491" t="e">
        <f t="shared" si="70"/>
        <v>#VALUE!</v>
      </c>
      <c r="BJ138" s="491" t="e">
        <f t="shared" si="70"/>
        <v>#VALUE!</v>
      </c>
      <c r="BK138" s="400">
        <f t="shared" si="67"/>
        <v>88</v>
      </c>
      <c r="BL138" s="491" t="e">
        <f t="shared" si="68"/>
        <v>#VALUE!</v>
      </c>
      <c r="BM138" s="491" t="e">
        <f t="shared" si="68"/>
        <v>#VALUE!</v>
      </c>
      <c r="BN138" s="491" t="e">
        <f t="shared" si="68"/>
        <v>#VALUE!</v>
      </c>
      <c r="BO138" s="491" t="e">
        <f t="shared" si="68"/>
        <v>#VALUE!</v>
      </c>
      <c r="BP138" s="622" t="e">
        <f t="shared" si="69"/>
        <v>#VALUE!</v>
      </c>
      <c r="BQ138" s="274" t="e">
        <f>IF(L138="","Column",IF(OR(C138&lt;MAX(ColSpa1,Geometry!$J$107),C138&gt;MAX(MAX(Geometry!$I$107:$I$116),MAX(Geometry!$J$107:$J$116))),MIN(6,INDEX($O$45:$O$48,MATCH(L138,$O$45:$O$48,1),1)),INDEX($O$45:$O$48,MATCH(L138,$O$45:$O$48,1),1)))</f>
        <v>#VALUE!</v>
      </c>
    </row>
    <row r="139" spans="1:69">
      <c r="A139" s="339"/>
      <c r="B139" s="96" t="e">
        <f>IF(MIN(ABS(C139-INDEX(Geometry!$Q$104:$Q$113,IF(ISERROR(MATCH(C139,Geometry!$Q$104:$Q$113,1)),1,MATCH(C139,Geometry!$Q$104:$Q$113,1)),1)),ABS(C139-INDEX(Geometry!$Q$104:$Q$113,IF(ISERROR(MAX(11-MATCH(C139,Geometry!$R$104:$R$113,-1),1)),1,MAX(11-MATCH(C139,Geometry!$R$104:$R$113,-1),1)),1)))&lt;(halfeffectiveface/12),"#","")</f>
        <v>#VALUE!</v>
      </c>
      <c r="C139" s="96" t="str">
        <f>'CAP18 Out(1)'!D97</f>
        <v/>
      </c>
      <c r="D139" s="184" t="str">
        <f>'CAP18 Out(1)'!M97</f>
        <v/>
      </c>
      <c r="E139" s="179" t="e">
        <f t="shared" si="43"/>
        <v>#VALUE!</v>
      </c>
      <c r="F139" s="87" t="e">
        <f t="shared" si="44"/>
        <v>#VALUE!</v>
      </c>
      <c r="G139" s="87" t="e">
        <f t="shared" si="45"/>
        <v>#VALUE!</v>
      </c>
      <c r="H139" s="185" t="e">
        <f t="shared" si="46"/>
        <v>#VALUE!</v>
      </c>
      <c r="I139" s="184" t="e">
        <f t="shared" si="47"/>
        <v>#VALUE!</v>
      </c>
      <c r="J139" s="184">
        <f t="shared" si="48"/>
        <v>0</v>
      </c>
      <c r="K139" s="184">
        <f t="shared" si="49"/>
        <v>0</v>
      </c>
      <c r="L139" s="296" t="e">
        <f t="shared" si="50"/>
        <v>#VALUE!</v>
      </c>
      <c r="M139" s="294" t="e">
        <f>IF(L139="Column","",IF(OR(C139&lt;MAX(ColSpa1,Geometry!$J$107),C139&gt;MAX(MAX(Geometry!$I$107:$I$116),MAX(Geometry!$J$107:$J$116))),"OH - 6''",""))</f>
        <v>#VALUE!</v>
      </c>
      <c r="N139" s="1053">
        <v>36.4</v>
      </c>
      <c r="O139" s="489">
        <f t="shared" si="51"/>
        <v>0</v>
      </c>
      <c r="P139" s="489">
        <f t="shared" si="52"/>
        <v>0</v>
      </c>
      <c r="Q139" s="400" t="e">
        <f>'CAP18 Out(1)'!I97</f>
        <v>#VALUE!</v>
      </c>
      <c r="R139" s="400" t="e">
        <f>'CAP18 Out(1)'!J97</f>
        <v>#VALUE!</v>
      </c>
      <c r="S139" s="400" t="e">
        <f>IF(E139=ABS(Q139),VLOOKUP('Bars B'!$F$10,BarTable,4,FALSE)/12,1.3*VLOOKUP('Bars A'!$F$10,BarTable,4,FALSE)/12)</f>
        <v>#VALUE!</v>
      </c>
      <c r="T139" s="626" t="e">
        <f t="shared" si="53"/>
        <v>#VALUE!</v>
      </c>
      <c r="U139" s="489" t="e">
        <f>IF(T139&gt;S139,IF(E139=ABS(R139),'Bars A'!$I$13,'Bars B'!$I$13),0.0000000001)</f>
        <v>#VALUE!</v>
      </c>
      <c r="V139" s="483" t="e">
        <f t="shared" si="54"/>
        <v>#VALUE!</v>
      </c>
      <c r="W139" s="627" t="e">
        <f t="shared" si="55"/>
        <v>#VALUE!</v>
      </c>
      <c r="X139" s="628" t="e">
        <f t="shared" si="56"/>
        <v>#VALUE!</v>
      </c>
      <c r="Y139" s="489" t="e">
        <f t="shared" si="57"/>
        <v>#VALUE!</v>
      </c>
      <c r="Z139" s="629" t="e">
        <f t="shared" si="58"/>
        <v>#VALUE!</v>
      </c>
      <c r="AA139" s="626" t="e">
        <f t="shared" si="59"/>
        <v>#VALUE!</v>
      </c>
      <c r="AB139" s="481" t="e">
        <f>MATCH(V139,Reference!$S$7:$S$17,1)</f>
        <v>#VALUE!</v>
      </c>
      <c r="AC139" s="1388" t="e">
        <f>12-MATCH(V139,Reference!$AD$6:$AD$16,-1)</f>
        <v>#VALUE!</v>
      </c>
      <c r="AD139" s="482" t="e">
        <f>MATCH(X139,Reference!$T$6:$AB$6,1)</f>
        <v>#VALUE!</v>
      </c>
      <c r="AE139" s="482" t="e">
        <f>10-MATCH(X139,Reference!$AD$18:$AL$18,-1)</f>
        <v>#VALUE!</v>
      </c>
      <c r="AF139" s="482" t="e">
        <f>INDEX(Reference!$T$7:$AB$17,AB139,AD139)</f>
        <v>#VALUE!</v>
      </c>
      <c r="AG139" s="482" t="e">
        <f>INDEX(Reference!$T$7:$AB$17,AB139,AE139)</f>
        <v>#VALUE!</v>
      </c>
      <c r="AH139" s="482" t="e">
        <f>INDEX(Reference!$T$7:$AB$17,AC139,AD139)</f>
        <v>#VALUE!</v>
      </c>
      <c r="AI139" s="482" t="e">
        <f>INDEX(Reference!$T$7:$AB$17,AC139,AE139)</f>
        <v>#VALUE!</v>
      </c>
      <c r="AJ139" s="482" t="e">
        <f>INDEX(Reference!$T$23:$AB$33,AB139,AD139)</f>
        <v>#VALUE!</v>
      </c>
      <c r="AK139" s="482" t="e">
        <f>INDEX(Reference!$T$23:$AB$33,AB139,AE139)</f>
        <v>#VALUE!</v>
      </c>
      <c r="AL139" s="482" t="e">
        <f>INDEX(Reference!$T$23:$AB$33,AC139,AD139)</f>
        <v>#VALUE!</v>
      </c>
      <c r="AM139" s="482" t="e">
        <f>INDEX(Reference!$T$23:$AB$33,AC139,AE139)</f>
        <v>#VALUE!</v>
      </c>
      <c r="AN139" s="483" t="e">
        <f>INDEX(Reference!$S$7:$S$17,AB139,1)</f>
        <v>#VALUE!</v>
      </c>
      <c r="AO139" s="483" t="e">
        <f>INDEX(Reference!$S$7:$S$17,AC139,1)</f>
        <v>#VALUE!</v>
      </c>
      <c r="AP139" s="484" t="e">
        <f>INDEX(Reference!$T$6:$AB$6,1,AD139)</f>
        <v>#VALUE!</v>
      </c>
      <c r="AQ139" s="484" t="e">
        <f>INDEX(Reference!$T$6:$AB$6,1,AE139)</f>
        <v>#VALUE!</v>
      </c>
      <c r="AR139" s="629" t="e">
        <f t="shared" si="60"/>
        <v>#VALUE!</v>
      </c>
      <c r="AS139" s="629" t="e">
        <f t="shared" si="61"/>
        <v>#VALUE!</v>
      </c>
      <c r="AT139" s="629" t="e">
        <f t="shared" si="62"/>
        <v>#VALUE!</v>
      </c>
      <c r="AU139" s="629" t="e">
        <f t="shared" si="63"/>
        <v>#VALUE!</v>
      </c>
      <c r="AV139" s="629" t="e">
        <f t="shared" si="64"/>
        <v>#VALUE!</v>
      </c>
      <c r="AW139" s="630" t="e">
        <f t="shared" si="65"/>
        <v>#VALUE!</v>
      </c>
      <c r="AZ139" s="489" t="str">
        <f t="shared" si="66"/>
        <v/>
      </c>
      <c r="BA139" s="631" t="e">
        <f t="shared" si="70"/>
        <v>#VALUE!</v>
      </c>
      <c r="BB139" s="491" t="e">
        <f t="shared" si="70"/>
        <v>#VALUE!</v>
      </c>
      <c r="BC139" s="491" t="e">
        <f t="shared" si="70"/>
        <v>#VALUE!</v>
      </c>
      <c r="BD139" s="491" t="e">
        <f t="shared" si="70"/>
        <v>#VALUE!</v>
      </c>
      <c r="BE139" s="491" t="e">
        <f t="shared" si="70"/>
        <v>#VALUE!</v>
      </c>
      <c r="BF139" s="491" t="e">
        <f t="shared" si="70"/>
        <v>#VALUE!</v>
      </c>
      <c r="BG139" s="491" t="e">
        <f t="shared" si="70"/>
        <v>#VALUE!</v>
      </c>
      <c r="BH139" s="491" t="e">
        <f t="shared" si="70"/>
        <v>#VALUE!</v>
      </c>
      <c r="BI139" s="491" t="e">
        <f t="shared" si="70"/>
        <v>#VALUE!</v>
      </c>
      <c r="BJ139" s="491" t="e">
        <f t="shared" si="70"/>
        <v>#VALUE!</v>
      </c>
      <c r="BK139" s="400">
        <f t="shared" si="67"/>
        <v>89</v>
      </c>
      <c r="BL139" s="491" t="e">
        <f t="shared" si="68"/>
        <v>#VALUE!</v>
      </c>
      <c r="BM139" s="491" t="e">
        <f t="shared" si="68"/>
        <v>#VALUE!</v>
      </c>
      <c r="BN139" s="491" t="e">
        <f t="shared" si="68"/>
        <v>#VALUE!</v>
      </c>
      <c r="BO139" s="491" t="e">
        <f t="shared" si="68"/>
        <v>#VALUE!</v>
      </c>
      <c r="BP139" s="622" t="e">
        <f t="shared" si="69"/>
        <v>#VALUE!</v>
      </c>
      <c r="BQ139" s="274" t="e">
        <f>IF(L139="","Column",IF(OR(C139&lt;MAX(ColSpa1,Geometry!$J$107),C139&gt;MAX(MAX(Geometry!$I$107:$I$116),MAX(Geometry!$J$107:$J$116))),MIN(6,INDEX($O$45:$O$48,MATCH(L139,$O$45:$O$48,1),1)),INDEX($O$45:$O$48,MATCH(L139,$O$45:$O$48,1),1)))</f>
        <v>#VALUE!</v>
      </c>
    </row>
    <row r="140" spans="1:69">
      <c r="A140" s="339"/>
      <c r="B140" s="96" t="e">
        <f>IF(MIN(ABS(C140-INDEX(Geometry!$Q$104:$Q$113,IF(ISERROR(MATCH(C140,Geometry!$Q$104:$Q$113,1)),1,MATCH(C140,Geometry!$Q$104:$Q$113,1)),1)),ABS(C140-INDEX(Geometry!$Q$104:$Q$113,IF(ISERROR(MAX(11-MATCH(C140,Geometry!$R$104:$R$113,-1),1)),1,MAX(11-MATCH(C140,Geometry!$R$104:$R$113,-1),1)),1)))&lt;(halfeffectiveface/12),"#","")</f>
        <v>#VALUE!</v>
      </c>
      <c r="C140" s="96" t="str">
        <f>'CAP18 Out(1)'!D98</f>
        <v/>
      </c>
      <c r="D140" s="184" t="str">
        <f>'CAP18 Out(1)'!M98</f>
        <v/>
      </c>
      <c r="E140" s="179" t="e">
        <f t="shared" si="43"/>
        <v>#VALUE!</v>
      </c>
      <c r="F140" s="87" t="e">
        <f t="shared" si="44"/>
        <v>#VALUE!</v>
      </c>
      <c r="G140" s="87" t="e">
        <f t="shared" si="45"/>
        <v>#VALUE!</v>
      </c>
      <c r="H140" s="185" t="e">
        <f t="shared" si="46"/>
        <v>#VALUE!</v>
      </c>
      <c r="I140" s="184" t="e">
        <f t="shared" si="47"/>
        <v>#VALUE!</v>
      </c>
      <c r="J140" s="184">
        <f t="shared" si="48"/>
        <v>0</v>
      </c>
      <c r="K140" s="184">
        <f t="shared" si="49"/>
        <v>0</v>
      </c>
      <c r="L140" s="296" t="e">
        <f t="shared" si="50"/>
        <v>#VALUE!</v>
      </c>
      <c r="M140" s="294" t="e">
        <f>IF(L140="Column","",IF(OR(C140&lt;MAX(ColSpa1,Geometry!$J$107),C140&gt;MAX(MAX(Geometry!$I$107:$I$116),MAX(Geometry!$J$107:$J$116))),"OH - 6''",""))</f>
        <v>#VALUE!</v>
      </c>
      <c r="N140" s="1053">
        <v>35.839780291296861</v>
      </c>
      <c r="O140" s="489">
        <f t="shared" si="51"/>
        <v>0</v>
      </c>
      <c r="P140" s="489">
        <f t="shared" si="52"/>
        <v>0</v>
      </c>
      <c r="Q140" s="400" t="e">
        <f>'CAP18 Out(1)'!I98</f>
        <v>#VALUE!</v>
      </c>
      <c r="R140" s="400" t="e">
        <f>'CAP18 Out(1)'!J98</f>
        <v>#VALUE!</v>
      </c>
      <c r="S140" s="400" t="e">
        <f>IF(E140=ABS(Q140),VLOOKUP('Bars B'!$F$10,BarTable,4,FALSE)/12,1.3*VLOOKUP('Bars A'!$F$10,BarTable,4,FALSE)/12)</f>
        <v>#VALUE!</v>
      </c>
      <c r="T140" s="626" t="e">
        <f t="shared" si="53"/>
        <v>#VALUE!</v>
      </c>
      <c r="U140" s="489" t="e">
        <f>IF(T140&gt;S140,IF(E140=ABS(R140),'Bars A'!$I$13,'Bars B'!$I$13),0.0000000001)</f>
        <v>#VALUE!</v>
      </c>
      <c r="V140" s="483" t="e">
        <f t="shared" si="54"/>
        <v>#VALUE!</v>
      </c>
      <c r="W140" s="627" t="e">
        <f t="shared" si="55"/>
        <v>#VALUE!</v>
      </c>
      <c r="X140" s="628" t="e">
        <f t="shared" si="56"/>
        <v>#VALUE!</v>
      </c>
      <c r="Y140" s="489" t="e">
        <f t="shared" si="57"/>
        <v>#VALUE!</v>
      </c>
      <c r="Z140" s="629" t="e">
        <f t="shared" si="58"/>
        <v>#VALUE!</v>
      </c>
      <c r="AA140" s="626" t="e">
        <f t="shared" si="59"/>
        <v>#VALUE!</v>
      </c>
      <c r="AB140" s="481" t="e">
        <f>MATCH(V140,Reference!$S$7:$S$17,1)</f>
        <v>#VALUE!</v>
      </c>
      <c r="AC140" s="1388" t="e">
        <f>12-MATCH(V140,Reference!$AD$6:$AD$16,-1)</f>
        <v>#VALUE!</v>
      </c>
      <c r="AD140" s="482" t="e">
        <f>MATCH(X140,Reference!$T$6:$AB$6,1)</f>
        <v>#VALUE!</v>
      </c>
      <c r="AE140" s="482" t="e">
        <f>10-MATCH(X140,Reference!$AD$18:$AL$18,-1)</f>
        <v>#VALUE!</v>
      </c>
      <c r="AF140" s="482" t="e">
        <f>INDEX(Reference!$T$7:$AB$17,AB140,AD140)</f>
        <v>#VALUE!</v>
      </c>
      <c r="AG140" s="482" t="e">
        <f>INDEX(Reference!$T$7:$AB$17,AB140,AE140)</f>
        <v>#VALUE!</v>
      </c>
      <c r="AH140" s="482" t="e">
        <f>INDEX(Reference!$T$7:$AB$17,AC140,AD140)</f>
        <v>#VALUE!</v>
      </c>
      <c r="AI140" s="482" t="e">
        <f>INDEX(Reference!$T$7:$AB$17,AC140,AE140)</f>
        <v>#VALUE!</v>
      </c>
      <c r="AJ140" s="482" t="e">
        <f>INDEX(Reference!$T$23:$AB$33,AB140,AD140)</f>
        <v>#VALUE!</v>
      </c>
      <c r="AK140" s="482" t="e">
        <f>INDEX(Reference!$T$23:$AB$33,AB140,AE140)</f>
        <v>#VALUE!</v>
      </c>
      <c r="AL140" s="482" t="e">
        <f>INDEX(Reference!$T$23:$AB$33,AC140,AD140)</f>
        <v>#VALUE!</v>
      </c>
      <c r="AM140" s="482" t="e">
        <f>INDEX(Reference!$T$23:$AB$33,AC140,AE140)</f>
        <v>#VALUE!</v>
      </c>
      <c r="AN140" s="483" t="e">
        <f>INDEX(Reference!$S$7:$S$17,AB140,1)</f>
        <v>#VALUE!</v>
      </c>
      <c r="AO140" s="483" t="e">
        <f>INDEX(Reference!$S$7:$S$17,AC140,1)</f>
        <v>#VALUE!</v>
      </c>
      <c r="AP140" s="484" t="e">
        <f>INDEX(Reference!$T$6:$AB$6,1,AD140)</f>
        <v>#VALUE!</v>
      </c>
      <c r="AQ140" s="484" t="e">
        <f>INDEX(Reference!$T$6:$AB$6,1,AE140)</f>
        <v>#VALUE!</v>
      </c>
      <c r="AR140" s="629" t="e">
        <f t="shared" si="60"/>
        <v>#VALUE!</v>
      </c>
      <c r="AS140" s="629" t="e">
        <f t="shared" si="61"/>
        <v>#VALUE!</v>
      </c>
      <c r="AT140" s="629" t="e">
        <f t="shared" si="62"/>
        <v>#VALUE!</v>
      </c>
      <c r="AU140" s="629" t="e">
        <f t="shared" si="63"/>
        <v>#VALUE!</v>
      </c>
      <c r="AV140" s="629" t="e">
        <f t="shared" si="64"/>
        <v>#VALUE!</v>
      </c>
      <c r="AW140" s="630" t="e">
        <f t="shared" si="65"/>
        <v>#VALUE!</v>
      </c>
      <c r="AZ140" s="489" t="str">
        <f t="shared" si="66"/>
        <v/>
      </c>
      <c r="BA140" s="631" t="e">
        <f t="shared" si="70"/>
        <v>#VALUE!</v>
      </c>
      <c r="BB140" s="491" t="e">
        <f t="shared" si="70"/>
        <v>#VALUE!</v>
      </c>
      <c r="BC140" s="491" t="e">
        <f t="shared" si="70"/>
        <v>#VALUE!</v>
      </c>
      <c r="BD140" s="491" t="e">
        <f t="shared" si="70"/>
        <v>#VALUE!</v>
      </c>
      <c r="BE140" s="491" t="e">
        <f t="shared" si="70"/>
        <v>#VALUE!</v>
      </c>
      <c r="BF140" s="491" t="e">
        <f t="shared" si="70"/>
        <v>#VALUE!</v>
      </c>
      <c r="BG140" s="491" t="e">
        <f t="shared" si="70"/>
        <v>#VALUE!</v>
      </c>
      <c r="BH140" s="491" t="e">
        <f t="shared" si="70"/>
        <v>#VALUE!</v>
      </c>
      <c r="BI140" s="491" t="e">
        <f t="shared" si="70"/>
        <v>#VALUE!</v>
      </c>
      <c r="BJ140" s="491" t="e">
        <f t="shared" si="70"/>
        <v>#VALUE!</v>
      </c>
      <c r="BK140" s="400">
        <f t="shared" si="67"/>
        <v>90</v>
      </c>
      <c r="BL140" s="491" t="e">
        <f t="shared" si="68"/>
        <v>#VALUE!</v>
      </c>
      <c r="BM140" s="491" t="e">
        <f t="shared" si="68"/>
        <v>#VALUE!</v>
      </c>
      <c r="BN140" s="491" t="e">
        <f t="shared" si="68"/>
        <v>#VALUE!</v>
      </c>
      <c r="BO140" s="491" t="e">
        <f t="shared" si="68"/>
        <v>#VALUE!</v>
      </c>
      <c r="BP140" s="622" t="e">
        <f t="shared" si="69"/>
        <v>#VALUE!</v>
      </c>
      <c r="BQ140" s="274" t="e">
        <f>IF(L140="","Column",IF(OR(C140&lt;MAX(ColSpa1,Geometry!$J$107),C140&gt;MAX(MAX(Geometry!$I$107:$I$116),MAX(Geometry!$J$107:$J$116))),MIN(6,INDEX($O$45:$O$48,MATCH(L140,$O$45:$O$48,1),1)),INDEX($O$45:$O$48,MATCH(L140,$O$45:$O$48,1),1)))</f>
        <v>#VALUE!</v>
      </c>
    </row>
    <row r="141" spans="1:69">
      <c r="A141" s="339"/>
      <c r="B141" s="96" t="e">
        <f>IF(MIN(ABS(C141-INDEX(Geometry!$Q$104:$Q$113,IF(ISERROR(MATCH(C141,Geometry!$Q$104:$Q$113,1)),1,MATCH(C141,Geometry!$Q$104:$Q$113,1)),1)),ABS(C141-INDEX(Geometry!$Q$104:$Q$113,IF(ISERROR(MAX(11-MATCH(C141,Geometry!$R$104:$R$113,-1),1)),1,MAX(11-MATCH(C141,Geometry!$R$104:$R$113,-1),1)),1)))&lt;(halfeffectiveface/12),"#","")</f>
        <v>#VALUE!</v>
      </c>
      <c r="C141" s="96" t="str">
        <f>'CAP18 Out(1)'!D99</f>
        <v/>
      </c>
      <c r="D141" s="184" t="str">
        <f>'CAP18 Out(1)'!M99</f>
        <v/>
      </c>
      <c r="E141" s="179" t="e">
        <f t="shared" si="43"/>
        <v>#VALUE!</v>
      </c>
      <c r="F141" s="87" t="e">
        <f t="shared" si="44"/>
        <v>#VALUE!</v>
      </c>
      <c r="G141" s="87" t="e">
        <f t="shared" si="45"/>
        <v>#VALUE!</v>
      </c>
      <c r="H141" s="185" t="e">
        <f t="shared" si="46"/>
        <v>#VALUE!</v>
      </c>
      <c r="I141" s="184" t="e">
        <f t="shared" si="47"/>
        <v>#VALUE!</v>
      </c>
      <c r="J141" s="184">
        <f t="shared" si="48"/>
        <v>0</v>
      </c>
      <c r="K141" s="184">
        <f t="shared" si="49"/>
        <v>0</v>
      </c>
      <c r="L141" s="296" t="e">
        <f t="shared" si="50"/>
        <v>#VALUE!</v>
      </c>
      <c r="M141" s="294" t="e">
        <f>IF(L141="Column","",IF(OR(C141&lt;MAX(ColSpa1,Geometry!$J$107),C141&gt;MAX(MAX(Geometry!$I$107:$I$116),MAX(Geometry!$J$107:$J$116))),"OH - 6''",""))</f>
        <v>#VALUE!</v>
      </c>
      <c r="N141" s="1053">
        <v>36.4</v>
      </c>
      <c r="O141" s="489">
        <f t="shared" si="51"/>
        <v>0</v>
      </c>
      <c r="P141" s="489">
        <f t="shared" si="52"/>
        <v>0</v>
      </c>
      <c r="Q141" s="400" t="e">
        <f>'CAP18 Out(1)'!I99</f>
        <v>#VALUE!</v>
      </c>
      <c r="R141" s="400" t="e">
        <f>'CAP18 Out(1)'!J99</f>
        <v>#VALUE!</v>
      </c>
      <c r="S141" s="400" t="e">
        <f>IF(E141=ABS(Q141),VLOOKUP('Bars B'!$F$10,BarTable,4,FALSE)/12,1.3*VLOOKUP('Bars A'!$F$10,BarTable,4,FALSE)/12)</f>
        <v>#VALUE!</v>
      </c>
      <c r="T141" s="626" t="e">
        <f t="shared" si="53"/>
        <v>#VALUE!</v>
      </c>
      <c r="U141" s="489" t="e">
        <f>IF(T141&gt;S141,IF(E141=ABS(R141),'Bars A'!$I$13,'Bars B'!$I$13),0.0000000001)</f>
        <v>#VALUE!</v>
      </c>
      <c r="V141" s="483" t="e">
        <f t="shared" si="54"/>
        <v>#VALUE!</v>
      </c>
      <c r="W141" s="627" t="e">
        <f t="shared" si="55"/>
        <v>#VALUE!</v>
      </c>
      <c r="X141" s="628" t="e">
        <f t="shared" si="56"/>
        <v>#VALUE!</v>
      </c>
      <c r="Y141" s="489" t="e">
        <f t="shared" si="57"/>
        <v>#VALUE!</v>
      </c>
      <c r="Z141" s="629" t="e">
        <f t="shared" si="58"/>
        <v>#VALUE!</v>
      </c>
      <c r="AA141" s="626" t="e">
        <f t="shared" si="59"/>
        <v>#VALUE!</v>
      </c>
      <c r="AB141" s="481" t="e">
        <f>MATCH(V141,Reference!$S$7:$S$17,1)</f>
        <v>#VALUE!</v>
      </c>
      <c r="AC141" s="1388" t="e">
        <f>12-MATCH(V141,Reference!$AD$6:$AD$16,-1)</f>
        <v>#VALUE!</v>
      </c>
      <c r="AD141" s="482" t="e">
        <f>MATCH(X141,Reference!$T$6:$AB$6,1)</f>
        <v>#VALUE!</v>
      </c>
      <c r="AE141" s="482" t="e">
        <f>10-MATCH(X141,Reference!$AD$18:$AL$18,-1)</f>
        <v>#VALUE!</v>
      </c>
      <c r="AF141" s="482" t="e">
        <f>INDEX(Reference!$T$7:$AB$17,AB141,AD141)</f>
        <v>#VALUE!</v>
      </c>
      <c r="AG141" s="482" t="e">
        <f>INDEX(Reference!$T$7:$AB$17,AB141,AE141)</f>
        <v>#VALUE!</v>
      </c>
      <c r="AH141" s="482" t="e">
        <f>INDEX(Reference!$T$7:$AB$17,AC141,AD141)</f>
        <v>#VALUE!</v>
      </c>
      <c r="AI141" s="482" t="e">
        <f>INDEX(Reference!$T$7:$AB$17,AC141,AE141)</f>
        <v>#VALUE!</v>
      </c>
      <c r="AJ141" s="482" t="e">
        <f>INDEX(Reference!$T$23:$AB$33,AB141,AD141)</f>
        <v>#VALUE!</v>
      </c>
      <c r="AK141" s="482" t="e">
        <f>INDEX(Reference!$T$23:$AB$33,AB141,AE141)</f>
        <v>#VALUE!</v>
      </c>
      <c r="AL141" s="482" t="e">
        <f>INDEX(Reference!$T$23:$AB$33,AC141,AD141)</f>
        <v>#VALUE!</v>
      </c>
      <c r="AM141" s="482" t="e">
        <f>INDEX(Reference!$T$23:$AB$33,AC141,AE141)</f>
        <v>#VALUE!</v>
      </c>
      <c r="AN141" s="483" t="e">
        <f>INDEX(Reference!$S$7:$S$17,AB141,1)</f>
        <v>#VALUE!</v>
      </c>
      <c r="AO141" s="483" t="e">
        <f>INDEX(Reference!$S$7:$S$17,AC141,1)</f>
        <v>#VALUE!</v>
      </c>
      <c r="AP141" s="484" t="e">
        <f>INDEX(Reference!$T$6:$AB$6,1,AD141)</f>
        <v>#VALUE!</v>
      </c>
      <c r="AQ141" s="484" t="e">
        <f>INDEX(Reference!$T$6:$AB$6,1,AE141)</f>
        <v>#VALUE!</v>
      </c>
      <c r="AR141" s="629" t="e">
        <f t="shared" si="60"/>
        <v>#VALUE!</v>
      </c>
      <c r="AS141" s="629" t="e">
        <f t="shared" si="61"/>
        <v>#VALUE!</v>
      </c>
      <c r="AT141" s="629" t="e">
        <f t="shared" si="62"/>
        <v>#VALUE!</v>
      </c>
      <c r="AU141" s="629" t="e">
        <f t="shared" si="63"/>
        <v>#VALUE!</v>
      </c>
      <c r="AV141" s="629" t="e">
        <f t="shared" si="64"/>
        <v>#VALUE!</v>
      </c>
      <c r="AW141" s="630" t="e">
        <f t="shared" si="65"/>
        <v>#VALUE!</v>
      </c>
      <c r="AZ141" s="489" t="str">
        <f t="shared" si="66"/>
        <v/>
      </c>
      <c r="BA141" s="631" t="e">
        <f t="shared" si="70"/>
        <v>#VALUE!</v>
      </c>
      <c r="BB141" s="491" t="e">
        <f t="shared" si="70"/>
        <v>#VALUE!</v>
      </c>
      <c r="BC141" s="491" t="e">
        <f t="shared" si="70"/>
        <v>#VALUE!</v>
      </c>
      <c r="BD141" s="491" t="e">
        <f t="shared" si="70"/>
        <v>#VALUE!</v>
      </c>
      <c r="BE141" s="491" t="e">
        <f t="shared" si="70"/>
        <v>#VALUE!</v>
      </c>
      <c r="BF141" s="491" t="e">
        <f t="shared" si="70"/>
        <v>#VALUE!</v>
      </c>
      <c r="BG141" s="491" t="e">
        <f t="shared" si="70"/>
        <v>#VALUE!</v>
      </c>
      <c r="BH141" s="491" t="e">
        <f t="shared" si="70"/>
        <v>#VALUE!</v>
      </c>
      <c r="BI141" s="491" t="e">
        <f t="shared" si="70"/>
        <v>#VALUE!</v>
      </c>
      <c r="BJ141" s="491" t="e">
        <f t="shared" si="70"/>
        <v>#VALUE!</v>
      </c>
      <c r="BK141" s="400">
        <f t="shared" si="67"/>
        <v>91</v>
      </c>
      <c r="BL141" s="491" t="e">
        <f t="shared" si="68"/>
        <v>#VALUE!</v>
      </c>
      <c r="BM141" s="491" t="e">
        <f t="shared" si="68"/>
        <v>#VALUE!</v>
      </c>
      <c r="BN141" s="491" t="e">
        <f t="shared" si="68"/>
        <v>#VALUE!</v>
      </c>
      <c r="BO141" s="491" t="e">
        <f t="shared" si="68"/>
        <v>#VALUE!</v>
      </c>
      <c r="BP141" s="622" t="e">
        <f t="shared" si="69"/>
        <v>#VALUE!</v>
      </c>
      <c r="BQ141" s="274" t="e">
        <f>IF(L141="","Column",IF(OR(C141&lt;MAX(ColSpa1,Geometry!$J$107),C141&gt;MAX(MAX(Geometry!$I$107:$I$116),MAX(Geometry!$J$107:$J$116))),MIN(6,INDEX($O$45:$O$48,MATCH(L141,$O$45:$O$48,1),1)),INDEX($O$45:$O$48,MATCH(L141,$O$45:$O$48,1),1)))</f>
        <v>#VALUE!</v>
      </c>
    </row>
    <row r="142" spans="1:69">
      <c r="A142" s="339"/>
      <c r="B142" s="96" t="e">
        <f>IF(MIN(ABS(C142-INDEX(Geometry!$Q$104:$Q$113,IF(ISERROR(MATCH(C142,Geometry!$Q$104:$Q$113,1)),1,MATCH(C142,Geometry!$Q$104:$Q$113,1)),1)),ABS(C142-INDEX(Geometry!$Q$104:$Q$113,IF(ISERROR(MAX(11-MATCH(C142,Geometry!$R$104:$R$113,-1),1)),1,MAX(11-MATCH(C142,Geometry!$R$104:$R$113,-1),1)),1)))&lt;(halfeffectiveface/12),"#","")</f>
        <v>#VALUE!</v>
      </c>
      <c r="C142" s="96" t="str">
        <f>'CAP18 Out(1)'!D100</f>
        <v/>
      </c>
      <c r="D142" s="184" t="str">
        <f>'CAP18 Out(1)'!M100</f>
        <v/>
      </c>
      <c r="E142" s="179" t="e">
        <f t="shared" si="43"/>
        <v>#VALUE!</v>
      </c>
      <c r="F142" s="87" t="e">
        <f t="shared" si="44"/>
        <v>#VALUE!</v>
      </c>
      <c r="G142" s="87" t="e">
        <f t="shared" si="45"/>
        <v>#VALUE!</v>
      </c>
      <c r="H142" s="185" t="e">
        <f t="shared" si="46"/>
        <v>#VALUE!</v>
      </c>
      <c r="I142" s="184" t="e">
        <f t="shared" si="47"/>
        <v>#VALUE!</v>
      </c>
      <c r="J142" s="184">
        <f t="shared" si="48"/>
        <v>0</v>
      </c>
      <c r="K142" s="184">
        <f t="shared" si="49"/>
        <v>0</v>
      </c>
      <c r="L142" s="296" t="e">
        <f t="shared" si="50"/>
        <v>#VALUE!</v>
      </c>
      <c r="M142" s="294" t="e">
        <f>IF(L142="Column","",IF(OR(C142&lt;MAX(ColSpa1,Geometry!$J$107),C142&gt;MAX(MAX(Geometry!$I$107:$I$116),MAX(Geometry!$J$107:$J$116))),"OH - 6''",""))</f>
        <v>#VALUE!</v>
      </c>
      <c r="N142" s="1053">
        <v>36.4</v>
      </c>
      <c r="O142" s="489">
        <f t="shared" si="51"/>
        <v>0</v>
      </c>
      <c r="P142" s="489">
        <f t="shared" si="52"/>
        <v>0</v>
      </c>
      <c r="Q142" s="400" t="e">
        <f>'CAP18 Out(1)'!I100</f>
        <v>#VALUE!</v>
      </c>
      <c r="R142" s="400" t="e">
        <f>'CAP18 Out(1)'!J100</f>
        <v>#VALUE!</v>
      </c>
      <c r="S142" s="400" t="e">
        <f>IF(E142=ABS(Q142),VLOOKUP('Bars B'!$F$10,BarTable,4,FALSE)/12,1.3*VLOOKUP('Bars A'!$F$10,BarTable,4,FALSE)/12)</f>
        <v>#VALUE!</v>
      </c>
      <c r="T142" s="626" t="e">
        <f t="shared" si="53"/>
        <v>#VALUE!</v>
      </c>
      <c r="U142" s="489" t="e">
        <f>IF(T142&gt;S142,IF(E142=ABS(R142),'Bars A'!$I$13,'Bars B'!$I$13),0.0000000001)</f>
        <v>#VALUE!</v>
      </c>
      <c r="V142" s="483" t="e">
        <f t="shared" si="54"/>
        <v>#VALUE!</v>
      </c>
      <c r="W142" s="627" t="e">
        <f t="shared" si="55"/>
        <v>#VALUE!</v>
      </c>
      <c r="X142" s="628" t="e">
        <f t="shared" si="56"/>
        <v>#VALUE!</v>
      </c>
      <c r="Y142" s="489" t="e">
        <f t="shared" si="57"/>
        <v>#VALUE!</v>
      </c>
      <c r="Z142" s="629" t="e">
        <f t="shared" si="58"/>
        <v>#VALUE!</v>
      </c>
      <c r="AA142" s="626" t="e">
        <f t="shared" si="59"/>
        <v>#VALUE!</v>
      </c>
      <c r="AB142" s="481" t="e">
        <f>MATCH(V142,Reference!$S$7:$S$17,1)</f>
        <v>#VALUE!</v>
      </c>
      <c r="AC142" s="1388" t="e">
        <f>12-MATCH(V142,Reference!$AD$6:$AD$16,-1)</f>
        <v>#VALUE!</v>
      </c>
      <c r="AD142" s="482" t="e">
        <f>MATCH(X142,Reference!$T$6:$AB$6,1)</f>
        <v>#VALUE!</v>
      </c>
      <c r="AE142" s="482" t="e">
        <f>10-MATCH(X142,Reference!$AD$18:$AL$18,-1)</f>
        <v>#VALUE!</v>
      </c>
      <c r="AF142" s="482" t="e">
        <f>INDEX(Reference!$T$7:$AB$17,AB142,AD142)</f>
        <v>#VALUE!</v>
      </c>
      <c r="AG142" s="482" t="e">
        <f>INDEX(Reference!$T$7:$AB$17,AB142,AE142)</f>
        <v>#VALUE!</v>
      </c>
      <c r="AH142" s="482" t="e">
        <f>INDEX(Reference!$T$7:$AB$17,AC142,AD142)</f>
        <v>#VALUE!</v>
      </c>
      <c r="AI142" s="482" t="e">
        <f>INDEX(Reference!$T$7:$AB$17,AC142,AE142)</f>
        <v>#VALUE!</v>
      </c>
      <c r="AJ142" s="482" t="e">
        <f>INDEX(Reference!$T$23:$AB$33,AB142,AD142)</f>
        <v>#VALUE!</v>
      </c>
      <c r="AK142" s="482" t="e">
        <f>INDEX(Reference!$T$23:$AB$33,AB142,AE142)</f>
        <v>#VALUE!</v>
      </c>
      <c r="AL142" s="482" t="e">
        <f>INDEX(Reference!$T$23:$AB$33,AC142,AD142)</f>
        <v>#VALUE!</v>
      </c>
      <c r="AM142" s="482" t="e">
        <f>INDEX(Reference!$T$23:$AB$33,AC142,AE142)</f>
        <v>#VALUE!</v>
      </c>
      <c r="AN142" s="483" t="e">
        <f>INDEX(Reference!$S$7:$S$17,AB142,1)</f>
        <v>#VALUE!</v>
      </c>
      <c r="AO142" s="483" t="e">
        <f>INDEX(Reference!$S$7:$S$17,AC142,1)</f>
        <v>#VALUE!</v>
      </c>
      <c r="AP142" s="484" t="e">
        <f>INDEX(Reference!$T$6:$AB$6,1,AD142)</f>
        <v>#VALUE!</v>
      </c>
      <c r="AQ142" s="484" t="e">
        <f>INDEX(Reference!$T$6:$AB$6,1,AE142)</f>
        <v>#VALUE!</v>
      </c>
      <c r="AR142" s="629" t="e">
        <f t="shared" si="60"/>
        <v>#VALUE!</v>
      </c>
      <c r="AS142" s="629" t="e">
        <f t="shared" si="61"/>
        <v>#VALUE!</v>
      </c>
      <c r="AT142" s="629" t="e">
        <f t="shared" si="62"/>
        <v>#VALUE!</v>
      </c>
      <c r="AU142" s="629" t="e">
        <f t="shared" si="63"/>
        <v>#VALUE!</v>
      </c>
      <c r="AV142" s="629" t="e">
        <f t="shared" si="64"/>
        <v>#VALUE!</v>
      </c>
      <c r="AW142" s="630" t="e">
        <f t="shared" si="65"/>
        <v>#VALUE!</v>
      </c>
      <c r="AZ142" s="489" t="str">
        <f t="shared" si="66"/>
        <v/>
      </c>
      <c r="BA142" s="631" t="e">
        <f t="shared" si="70"/>
        <v>#VALUE!</v>
      </c>
      <c r="BB142" s="491" t="e">
        <f t="shared" si="70"/>
        <v>#VALUE!</v>
      </c>
      <c r="BC142" s="491" t="e">
        <f t="shared" si="70"/>
        <v>#VALUE!</v>
      </c>
      <c r="BD142" s="491" t="e">
        <f t="shared" si="70"/>
        <v>#VALUE!</v>
      </c>
      <c r="BE142" s="491" t="e">
        <f t="shared" si="70"/>
        <v>#VALUE!</v>
      </c>
      <c r="BF142" s="491" t="e">
        <f t="shared" si="70"/>
        <v>#VALUE!</v>
      </c>
      <c r="BG142" s="491" t="e">
        <f t="shared" si="70"/>
        <v>#VALUE!</v>
      </c>
      <c r="BH142" s="491" t="e">
        <f t="shared" si="70"/>
        <v>#VALUE!</v>
      </c>
      <c r="BI142" s="491" t="e">
        <f t="shared" si="70"/>
        <v>#VALUE!</v>
      </c>
      <c r="BJ142" s="491" t="e">
        <f t="shared" si="70"/>
        <v>#VALUE!</v>
      </c>
      <c r="BK142" s="400">
        <f t="shared" si="67"/>
        <v>92</v>
      </c>
      <c r="BL142" s="491" t="e">
        <f t="shared" si="68"/>
        <v>#VALUE!</v>
      </c>
      <c r="BM142" s="491" t="e">
        <f t="shared" si="68"/>
        <v>#VALUE!</v>
      </c>
      <c r="BN142" s="491" t="e">
        <f t="shared" si="68"/>
        <v>#VALUE!</v>
      </c>
      <c r="BO142" s="491" t="e">
        <f t="shared" si="68"/>
        <v>#VALUE!</v>
      </c>
      <c r="BP142" s="622" t="e">
        <f t="shared" si="69"/>
        <v>#VALUE!</v>
      </c>
      <c r="BQ142" s="274" t="e">
        <f>IF(L142="","Column",IF(OR(C142&lt;MAX(ColSpa1,Geometry!$J$107),C142&gt;MAX(MAX(Geometry!$I$107:$I$116),MAX(Geometry!$J$107:$J$116))),MIN(6,INDEX($O$45:$O$48,MATCH(L142,$O$45:$O$48,1),1)),INDEX($O$45:$O$48,MATCH(L142,$O$45:$O$48,1),1)))</f>
        <v>#VALUE!</v>
      </c>
    </row>
    <row r="143" spans="1:69">
      <c r="A143" s="339"/>
      <c r="B143" s="96" t="e">
        <f>IF(MIN(ABS(C143-INDEX(Geometry!$Q$104:$Q$113,IF(ISERROR(MATCH(C143,Geometry!$Q$104:$Q$113,1)),1,MATCH(C143,Geometry!$Q$104:$Q$113,1)),1)),ABS(C143-INDEX(Geometry!$Q$104:$Q$113,IF(ISERROR(MAX(11-MATCH(C143,Geometry!$R$104:$R$113,-1),1)),1,MAX(11-MATCH(C143,Geometry!$R$104:$R$113,-1),1)),1)))&lt;(halfeffectiveface/12),"#","")</f>
        <v>#VALUE!</v>
      </c>
      <c r="C143" s="96" t="str">
        <f>'CAP18 Out(1)'!D101</f>
        <v/>
      </c>
      <c r="D143" s="184" t="str">
        <f>'CAP18 Out(1)'!M101</f>
        <v/>
      </c>
      <c r="E143" s="179" t="e">
        <f t="shared" si="43"/>
        <v>#VALUE!</v>
      </c>
      <c r="F143" s="87" t="e">
        <f t="shared" si="44"/>
        <v>#VALUE!</v>
      </c>
      <c r="G143" s="87" t="e">
        <f t="shared" si="45"/>
        <v>#VALUE!</v>
      </c>
      <c r="H143" s="185" t="e">
        <f t="shared" si="46"/>
        <v>#VALUE!</v>
      </c>
      <c r="I143" s="184" t="e">
        <f t="shared" si="47"/>
        <v>#VALUE!</v>
      </c>
      <c r="J143" s="184">
        <f t="shared" si="48"/>
        <v>0</v>
      </c>
      <c r="K143" s="184">
        <f t="shared" si="49"/>
        <v>0</v>
      </c>
      <c r="L143" s="296" t="e">
        <f t="shared" si="50"/>
        <v>#VALUE!</v>
      </c>
      <c r="M143" s="294" t="e">
        <f>IF(L143="Column","",IF(OR(C143&lt;MAX(ColSpa1,Geometry!$J$107),C143&gt;MAX(MAX(Geometry!$I$107:$I$116),MAX(Geometry!$J$107:$J$116))),"OH - 6''",""))</f>
        <v>#VALUE!</v>
      </c>
      <c r="N143" s="1053">
        <v>36.4</v>
      </c>
      <c r="O143" s="489">
        <f t="shared" si="51"/>
        <v>0</v>
      </c>
      <c r="P143" s="489">
        <f t="shared" si="52"/>
        <v>0</v>
      </c>
      <c r="Q143" s="400" t="e">
        <f>'CAP18 Out(1)'!I101</f>
        <v>#VALUE!</v>
      </c>
      <c r="R143" s="400" t="e">
        <f>'CAP18 Out(1)'!J101</f>
        <v>#VALUE!</v>
      </c>
      <c r="S143" s="400" t="e">
        <f>IF(E143=ABS(Q143),VLOOKUP('Bars B'!$F$10,BarTable,4,FALSE)/12,1.3*VLOOKUP('Bars A'!$F$10,BarTable,4,FALSE)/12)</f>
        <v>#VALUE!</v>
      </c>
      <c r="T143" s="626" t="e">
        <f t="shared" si="53"/>
        <v>#VALUE!</v>
      </c>
      <c r="U143" s="489" t="e">
        <f>IF(T143&gt;S143,IF(E143=ABS(R143),'Bars A'!$I$13,'Bars B'!$I$13),0.0000000001)</f>
        <v>#VALUE!</v>
      </c>
      <c r="V143" s="483" t="e">
        <f t="shared" si="54"/>
        <v>#VALUE!</v>
      </c>
      <c r="W143" s="627" t="e">
        <f t="shared" si="55"/>
        <v>#VALUE!</v>
      </c>
      <c r="X143" s="628" t="e">
        <f t="shared" si="56"/>
        <v>#VALUE!</v>
      </c>
      <c r="Y143" s="489" t="e">
        <f t="shared" si="57"/>
        <v>#VALUE!</v>
      </c>
      <c r="Z143" s="629" t="e">
        <f t="shared" si="58"/>
        <v>#VALUE!</v>
      </c>
      <c r="AA143" s="626" t="e">
        <f t="shared" si="59"/>
        <v>#VALUE!</v>
      </c>
      <c r="AB143" s="481" t="e">
        <f>MATCH(V143,Reference!$S$7:$S$17,1)</f>
        <v>#VALUE!</v>
      </c>
      <c r="AC143" s="1388" t="e">
        <f>12-MATCH(V143,Reference!$AD$6:$AD$16,-1)</f>
        <v>#VALUE!</v>
      </c>
      <c r="AD143" s="482" t="e">
        <f>MATCH(X143,Reference!$T$6:$AB$6,1)</f>
        <v>#VALUE!</v>
      </c>
      <c r="AE143" s="482" t="e">
        <f>10-MATCH(X143,Reference!$AD$18:$AL$18,-1)</f>
        <v>#VALUE!</v>
      </c>
      <c r="AF143" s="482" t="e">
        <f>INDEX(Reference!$T$7:$AB$17,AB143,AD143)</f>
        <v>#VALUE!</v>
      </c>
      <c r="AG143" s="482" t="e">
        <f>INDEX(Reference!$T$7:$AB$17,AB143,AE143)</f>
        <v>#VALUE!</v>
      </c>
      <c r="AH143" s="482" t="e">
        <f>INDEX(Reference!$T$7:$AB$17,AC143,AD143)</f>
        <v>#VALUE!</v>
      </c>
      <c r="AI143" s="482" t="e">
        <f>INDEX(Reference!$T$7:$AB$17,AC143,AE143)</f>
        <v>#VALUE!</v>
      </c>
      <c r="AJ143" s="482" t="e">
        <f>INDEX(Reference!$T$23:$AB$33,AB143,AD143)</f>
        <v>#VALUE!</v>
      </c>
      <c r="AK143" s="482" t="e">
        <f>INDEX(Reference!$T$23:$AB$33,AB143,AE143)</f>
        <v>#VALUE!</v>
      </c>
      <c r="AL143" s="482" t="e">
        <f>INDEX(Reference!$T$23:$AB$33,AC143,AD143)</f>
        <v>#VALUE!</v>
      </c>
      <c r="AM143" s="482" t="e">
        <f>INDEX(Reference!$T$23:$AB$33,AC143,AE143)</f>
        <v>#VALUE!</v>
      </c>
      <c r="AN143" s="483" t="e">
        <f>INDEX(Reference!$S$7:$S$17,AB143,1)</f>
        <v>#VALUE!</v>
      </c>
      <c r="AO143" s="483" t="e">
        <f>INDEX(Reference!$S$7:$S$17,AC143,1)</f>
        <v>#VALUE!</v>
      </c>
      <c r="AP143" s="484" t="e">
        <f>INDEX(Reference!$T$6:$AB$6,1,AD143)</f>
        <v>#VALUE!</v>
      </c>
      <c r="AQ143" s="484" t="e">
        <f>INDEX(Reference!$T$6:$AB$6,1,AE143)</f>
        <v>#VALUE!</v>
      </c>
      <c r="AR143" s="629" t="e">
        <f t="shared" si="60"/>
        <v>#VALUE!</v>
      </c>
      <c r="AS143" s="629" t="e">
        <f t="shared" si="61"/>
        <v>#VALUE!</v>
      </c>
      <c r="AT143" s="629" t="e">
        <f t="shared" si="62"/>
        <v>#VALUE!</v>
      </c>
      <c r="AU143" s="629" t="e">
        <f t="shared" si="63"/>
        <v>#VALUE!</v>
      </c>
      <c r="AV143" s="629" t="e">
        <f t="shared" si="64"/>
        <v>#VALUE!</v>
      </c>
      <c r="AW143" s="630" t="e">
        <f t="shared" si="65"/>
        <v>#VALUE!</v>
      </c>
      <c r="AZ143" s="489" t="str">
        <f t="shared" si="66"/>
        <v/>
      </c>
      <c r="BA143" s="631" t="e">
        <f t="shared" si="70"/>
        <v>#VALUE!</v>
      </c>
      <c r="BB143" s="491" t="e">
        <f t="shared" si="70"/>
        <v>#VALUE!</v>
      </c>
      <c r="BC143" s="491" t="e">
        <f t="shared" si="70"/>
        <v>#VALUE!</v>
      </c>
      <c r="BD143" s="491" t="e">
        <f t="shared" si="70"/>
        <v>#VALUE!</v>
      </c>
      <c r="BE143" s="491" t="e">
        <f t="shared" si="70"/>
        <v>#VALUE!</v>
      </c>
      <c r="BF143" s="491" t="e">
        <f t="shared" si="70"/>
        <v>#VALUE!</v>
      </c>
      <c r="BG143" s="491" t="e">
        <f t="shared" si="70"/>
        <v>#VALUE!</v>
      </c>
      <c r="BH143" s="491" t="e">
        <f t="shared" si="70"/>
        <v>#VALUE!</v>
      </c>
      <c r="BI143" s="491" t="e">
        <f t="shared" si="70"/>
        <v>#VALUE!</v>
      </c>
      <c r="BJ143" s="491" t="e">
        <f t="shared" si="70"/>
        <v>#VALUE!</v>
      </c>
      <c r="BK143" s="400">
        <f t="shared" si="67"/>
        <v>93</v>
      </c>
      <c r="BL143" s="491" t="e">
        <f t="shared" si="68"/>
        <v>#VALUE!</v>
      </c>
      <c r="BM143" s="491" t="e">
        <f t="shared" si="68"/>
        <v>#VALUE!</v>
      </c>
      <c r="BN143" s="491" t="e">
        <f t="shared" si="68"/>
        <v>#VALUE!</v>
      </c>
      <c r="BO143" s="491" t="e">
        <f t="shared" si="68"/>
        <v>#VALUE!</v>
      </c>
      <c r="BP143" s="622" t="e">
        <f t="shared" si="69"/>
        <v>#VALUE!</v>
      </c>
      <c r="BQ143" s="274" t="e">
        <f>IF(L143="","Column",IF(OR(C143&lt;MAX(ColSpa1,Geometry!$J$107),C143&gt;MAX(MAX(Geometry!$I$107:$I$116),MAX(Geometry!$J$107:$J$116))),MIN(6,INDEX($O$45:$O$48,MATCH(L143,$O$45:$O$48,1),1)),INDEX($O$45:$O$48,MATCH(L143,$O$45:$O$48,1),1)))</f>
        <v>#VALUE!</v>
      </c>
    </row>
    <row r="144" spans="1:69">
      <c r="A144" s="339"/>
      <c r="B144" s="96" t="e">
        <f>IF(MIN(ABS(C144-INDEX(Geometry!$Q$104:$Q$113,IF(ISERROR(MATCH(C144,Geometry!$Q$104:$Q$113,1)),1,MATCH(C144,Geometry!$Q$104:$Q$113,1)),1)),ABS(C144-INDEX(Geometry!$Q$104:$Q$113,IF(ISERROR(MAX(11-MATCH(C144,Geometry!$R$104:$R$113,-1),1)),1,MAX(11-MATCH(C144,Geometry!$R$104:$R$113,-1),1)),1)))&lt;(halfeffectiveface/12),"#","")</f>
        <v>#VALUE!</v>
      </c>
      <c r="C144" s="96" t="str">
        <f>'CAP18 Out(1)'!D102</f>
        <v/>
      </c>
      <c r="D144" s="184" t="str">
        <f>'CAP18 Out(1)'!M102</f>
        <v/>
      </c>
      <c r="E144" s="179" t="e">
        <f t="shared" si="43"/>
        <v>#VALUE!</v>
      </c>
      <c r="F144" s="87" t="e">
        <f t="shared" si="44"/>
        <v>#VALUE!</v>
      </c>
      <c r="G144" s="87" t="e">
        <f t="shared" si="45"/>
        <v>#VALUE!</v>
      </c>
      <c r="H144" s="185" t="e">
        <f t="shared" si="46"/>
        <v>#VALUE!</v>
      </c>
      <c r="I144" s="184" t="e">
        <f t="shared" si="47"/>
        <v>#VALUE!</v>
      </c>
      <c r="J144" s="184">
        <f t="shared" si="48"/>
        <v>0</v>
      </c>
      <c r="K144" s="184">
        <f t="shared" si="49"/>
        <v>0</v>
      </c>
      <c r="L144" s="296" t="e">
        <f t="shared" si="50"/>
        <v>#VALUE!</v>
      </c>
      <c r="M144" s="294" t="e">
        <f>IF(L144="Column","",IF(OR(C144&lt;MAX(ColSpa1,Geometry!$J$107),C144&gt;MAX(MAX(Geometry!$I$107:$I$116),MAX(Geometry!$J$107:$J$116))),"OH - 6''",""))</f>
        <v>#VALUE!</v>
      </c>
      <c r="N144" s="1053">
        <v>36.4</v>
      </c>
      <c r="O144" s="489">
        <f t="shared" si="51"/>
        <v>0</v>
      </c>
      <c r="P144" s="489">
        <f t="shared" si="52"/>
        <v>0</v>
      </c>
      <c r="Q144" s="400" t="e">
        <f>'CAP18 Out(1)'!I102</f>
        <v>#VALUE!</v>
      </c>
      <c r="R144" s="400" t="e">
        <f>'CAP18 Out(1)'!J102</f>
        <v>#VALUE!</v>
      </c>
      <c r="S144" s="400" t="e">
        <f>IF(E144=ABS(Q144),VLOOKUP('Bars B'!$F$10,BarTable,4,FALSE)/12,1.3*VLOOKUP('Bars A'!$F$10,BarTable,4,FALSE)/12)</f>
        <v>#VALUE!</v>
      </c>
      <c r="T144" s="626" t="e">
        <f t="shared" si="53"/>
        <v>#VALUE!</v>
      </c>
      <c r="U144" s="489" t="e">
        <f>IF(T144&gt;S144,IF(E144=ABS(R144),'Bars A'!$I$13,'Bars B'!$I$13),0.0000000001)</f>
        <v>#VALUE!</v>
      </c>
      <c r="V144" s="483" t="e">
        <f t="shared" si="54"/>
        <v>#VALUE!</v>
      </c>
      <c r="W144" s="627" t="e">
        <f t="shared" si="55"/>
        <v>#VALUE!</v>
      </c>
      <c r="X144" s="628" t="e">
        <f t="shared" si="56"/>
        <v>#VALUE!</v>
      </c>
      <c r="Y144" s="489" t="e">
        <f t="shared" si="57"/>
        <v>#VALUE!</v>
      </c>
      <c r="Z144" s="629" t="e">
        <f t="shared" si="58"/>
        <v>#VALUE!</v>
      </c>
      <c r="AA144" s="626" t="e">
        <f t="shared" si="59"/>
        <v>#VALUE!</v>
      </c>
      <c r="AB144" s="481" t="e">
        <f>MATCH(V144,Reference!$S$7:$S$17,1)</f>
        <v>#VALUE!</v>
      </c>
      <c r="AC144" s="1388" t="e">
        <f>12-MATCH(V144,Reference!$AD$6:$AD$16,-1)</f>
        <v>#VALUE!</v>
      </c>
      <c r="AD144" s="482" t="e">
        <f>MATCH(X144,Reference!$T$6:$AB$6,1)</f>
        <v>#VALUE!</v>
      </c>
      <c r="AE144" s="482" t="e">
        <f>10-MATCH(X144,Reference!$AD$18:$AL$18,-1)</f>
        <v>#VALUE!</v>
      </c>
      <c r="AF144" s="482" t="e">
        <f>INDEX(Reference!$T$7:$AB$17,AB144,AD144)</f>
        <v>#VALUE!</v>
      </c>
      <c r="AG144" s="482" t="e">
        <f>INDEX(Reference!$T$7:$AB$17,AB144,AE144)</f>
        <v>#VALUE!</v>
      </c>
      <c r="AH144" s="482" t="e">
        <f>INDEX(Reference!$T$7:$AB$17,AC144,AD144)</f>
        <v>#VALUE!</v>
      </c>
      <c r="AI144" s="482" t="e">
        <f>INDEX(Reference!$T$7:$AB$17,AC144,AE144)</f>
        <v>#VALUE!</v>
      </c>
      <c r="AJ144" s="482" t="e">
        <f>INDEX(Reference!$T$23:$AB$33,AB144,AD144)</f>
        <v>#VALUE!</v>
      </c>
      <c r="AK144" s="482" t="e">
        <f>INDEX(Reference!$T$23:$AB$33,AB144,AE144)</f>
        <v>#VALUE!</v>
      </c>
      <c r="AL144" s="482" t="e">
        <f>INDEX(Reference!$T$23:$AB$33,AC144,AD144)</f>
        <v>#VALUE!</v>
      </c>
      <c r="AM144" s="482" t="e">
        <f>INDEX(Reference!$T$23:$AB$33,AC144,AE144)</f>
        <v>#VALUE!</v>
      </c>
      <c r="AN144" s="483" t="e">
        <f>INDEX(Reference!$S$7:$S$17,AB144,1)</f>
        <v>#VALUE!</v>
      </c>
      <c r="AO144" s="483" t="e">
        <f>INDEX(Reference!$S$7:$S$17,AC144,1)</f>
        <v>#VALUE!</v>
      </c>
      <c r="AP144" s="484" t="e">
        <f>INDEX(Reference!$T$6:$AB$6,1,AD144)</f>
        <v>#VALUE!</v>
      </c>
      <c r="AQ144" s="484" t="e">
        <f>INDEX(Reference!$T$6:$AB$6,1,AE144)</f>
        <v>#VALUE!</v>
      </c>
      <c r="AR144" s="629" t="e">
        <f t="shared" si="60"/>
        <v>#VALUE!</v>
      </c>
      <c r="AS144" s="629" t="e">
        <f t="shared" si="61"/>
        <v>#VALUE!</v>
      </c>
      <c r="AT144" s="629" t="e">
        <f t="shared" si="62"/>
        <v>#VALUE!</v>
      </c>
      <c r="AU144" s="629" t="e">
        <f t="shared" si="63"/>
        <v>#VALUE!</v>
      </c>
      <c r="AV144" s="629" t="e">
        <f t="shared" si="64"/>
        <v>#VALUE!</v>
      </c>
      <c r="AW144" s="630" t="e">
        <f t="shared" si="65"/>
        <v>#VALUE!</v>
      </c>
      <c r="AZ144" s="489" t="str">
        <f t="shared" si="66"/>
        <v/>
      </c>
      <c r="BA144" s="631" t="e">
        <f t="shared" si="70"/>
        <v>#VALUE!</v>
      </c>
      <c r="BB144" s="491" t="e">
        <f t="shared" si="70"/>
        <v>#VALUE!</v>
      </c>
      <c r="BC144" s="491" t="e">
        <f t="shared" si="70"/>
        <v>#VALUE!</v>
      </c>
      <c r="BD144" s="491" t="e">
        <f t="shared" si="70"/>
        <v>#VALUE!</v>
      </c>
      <c r="BE144" s="491" t="e">
        <f t="shared" si="70"/>
        <v>#VALUE!</v>
      </c>
      <c r="BF144" s="491" t="e">
        <f t="shared" si="70"/>
        <v>#VALUE!</v>
      </c>
      <c r="BG144" s="491" t="e">
        <f t="shared" si="70"/>
        <v>#VALUE!</v>
      </c>
      <c r="BH144" s="491" t="e">
        <f t="shared" si="70"/>
        <v>#VALUE!</v>
      </c>
      <c r="BI144" s="491" t="e">
        <f t="shared" si="70"/>
        <v>#VALUE!</v>
      </c>
      <c r="BJ144" s="491" t="e">
        <f t="shared" si="70"/>
        <v>#VALUE!</v>
      </c>
      <c r="BK144" s="400">
        <f t="shared" si="67"/>
        <v>94</v>
      </c>
      <c r="BL144" s="491" t="e">
        <f t="shared" si="68"/>
        <v>#VALUE!</v>
      </c>
      <c r="BM144" s="491" t="e">
        <f t="shared" si="68"/>
        <v>#VALUE!</v>
      </c>
      <c r="BN144" s="491" t="e">
        <f t="shared" si="68"/>
        <v>#VALUE!</v>
      </c>
      <c r="BO144" s="491" t="e">
        <f t="shared" si="68"/>
        <v>#VALUE!</v>
      </c>
      <c r="BP144" s="622" t="e">
        <f t="shared" si="69"/>
        <v>#VALUE!</v>
      </c>
      <c r="BQ144" s="274" t="e">
        <f>IF(L144="","Column",IF(OR(C144&lt;MAX(ColSpa1,Geometry!$J$107),C144&gt;MAX(MAX(Geometry!$I$107:$I$116),MAX(Geometry!$J$107:$J$116))),MIN(6,INDEX($O$45:$O$48,MATCH(L144,$O$45:$O$48,1),1)),INDEX($O$45:$O$48,MATCH(L144,$O$45:$O$48,1),1)))</f>
        <v>#VALUE!</v>
      </c>
    </row>
    <row r="145" spans="1:69">
      <c r="A145" s="339"/>
      <c r="B145" s="96" t="e">
        <f>IF(MIN(ABS(C145-INDEX(Geometry!$Q$104:$Q$113,IF(ISERROR(MATCH(C145,Geometry!$Q$104:$Q$113,1)),1,MATCH(C145,Geometry!$Q$104:$Q$113,1)),1)),ABS(C145-INDEX(Geometry!$Q$104:$Q$113,IF(ISERROR(MAX(11-MATCH(C145,Geometry!$R$104:$R$113,-1),1)),1,MAX(11-MATCH(C145,Geometry!$R$104:$R$113,-1),1)),1)))&lt;(halfeffectiveface/12),"#","")</f>
        <v>#VALUE!</v>
      </c>
      <c r="C145" s="96" t="str">
        <f>'CAP18 Out(1)'!D103</f>
        <v/>
      </c>
      <c r="D145" s="184" t="str">
        <f>'CAP18 Out(1)'!M103</f>
        <v/>
      </c>
      <c r="E145" s="179" t="e">
        <f t="shared" si="43"/>
        <v>#VALUE!</v>
      </c>
      <c r="F145" s="87" t="e">
        <f t="shared" si="44"/>
        <v>#VALUE!</v>
      </c>
      <c r="G145" s="87" t="e">
        <f t="shared" si="45"/>
        <v>#VALUE!</v>
      </c>
      <c r="H145" s="185" t="e">
        <f t="shared" si="46"/>
        <v>#VALUE!</v>
      </c>
      <c r="I145" s="184" t="e">
        <f t="shared" si="47"/>
        <v>#VALUE!</v>
      </c>
      <c r="J145" s="184">
        <f t="shared" si="48"/>
        <v>0</v>
      </c>
      <c r="K145" s="184">
        <f t="shared" si="49"/>
        <v>0</v>
      </c>
      <c r="L145" s="296" t="e">
        <f t="shared" si="50"/>
        <v>#VALUE!</v>
      </c>
      <c r="M145" s="294" t="e">
        <f>IF(L145="Column","",IF(OR(C145&lt;MAX(ColSpa1,Geometry!$J$107),C145&gt;MAX(MAX(Geometry!$I$107:$I$116),MAX(Geometry!$J$107:$J$116))),"OH - 6''",""))</f>
        <v>#VALUE!</v>
      </c>
      <c r="N145" s="1053">
        <v>36.4</v>
      </c>
      <c r="O145" s="489">
        <f t="shared" si="51"/>
        <v>0</v>
      </c>
      <c r="P145" s="489">
        <f t="shared" si="52"/>
        <v>0</v>
      </c>
      <c r="Q145" s="400" t="e">
        <f>'CAP18 Out(1)'!I103</f>
        <v>#VALUE!</v>
      </c>
      <c r="R145" s="400" t="e">
        <f>'CAP18 Out(1)'!J103</f>
        <v>#VALUE!</v>
      </c>
      <c r="S145" s="400" t="e">
        <f>IF(E145=ABS(Q145),VLOOKUP('Bars B'!$F$10,BarTable,4,FALSE)/12,1.3*VLOOKUP('Bars A'!$F$10,BarTable,4,FALSE)/12)</f>
        <v>#VALUE!</v>
      </c>
      <c r="T145" s="626" t="e">
        <f t="shared" si="53"/>
        <v>#VALUE!</v>
      </c>
      <c r="U145" s="489" t="e">
        <f>IF(T145&gt;S145,IF(E145=ABS(R145),'Bars A'!$I$13,'Bars B'!$I$13),0.0000000001)</f>
        <v>#VALUE!</v>
      </c>
      <c r="V145" s="483" t="e">
        <f t="shared" si="54"/>
        <v>#VALUE!</v>
      </c>
      <c r="W145" s="627" t="e">
        <f t="shared" si="55"/>
        <v>#VALUE!</v>
      </c>
      <c r="X145" s="628" t="e">
        <f t="shared" si="56"/>
        <v>#VALUE!</v>
      </c>
      <c r="Y145" s="489" t="e">
        <f t="shared" si="57"/>
        <v>#VALUE!</v>
      </c>
      <c r="Z145" s="629" t="e">
        <f t="shared" si="58"/>
        <v>#VALUE!</v>
      </c>
      <c r="AA145" s="626" t="e">
        <f t="shared" si="59"/>
        <v>#VALUE!</v>
      </c>
      <c r="AB145" s="481" t="e">
        <f>MATCH(V145,Reference!$S$7:$S$17,1)</f>
        <v>#VALUE!</v>
      </c>
      <c r="AC145" s="1388" t="e">
        <f>12-MATCH(V145,Reference!$AD$6:$AD$16,-1)</f>
        <v>#VALUE!</v>
      </c>
      <c r="AD145" s="482" t="e">
        <f>MATCH(X145,Reference!$T$6:$AB$6,1)</f>
        <v>#VALUE!</v>
      </c>
      <c r="AE145" s="482" t="e">
        <f>10-MATCH(X145,Reference!$AD$18:$AL$18,-1)</f>
        <v>#VALUE!</v>
      </c>
      <c r="AF145" s="482" t="e">
        <f>INDEX(Reference!$T$7:$AB$17,AB145,AD145)</f>
        <v>#VALUE!</v>
      </c>
      <c r="AG145" s="482" t="e">
        <f>INDEX(Reference!$T$7:$AB$17,AB145,AE145)</f>
        <v>#VALUE!</v>
      </c>
      <c r="AH145" s="482" t="e">
        <f>INDEX(Reference!$T$7:$AB$17,AC145,AD145)</f>
        <v>#VALUE!</v>
      </c>
      <c r="AI145" s="482" t="e">
        <f>INDEX(Reference!$T$7:$AB$17,AC145,AE145)</f>
        <v>#VALUE!</v>
      </c>
      <c r="AJ145" s="482" t="e">
        <f>INDEX(Reference!$T$23:$AB$33,AB145,AD145)</f>
        <v>#VALUE!</v>
      </c>
      <c r="AK145" s="482" t="e">
        <f>INDEX(Reference!$T$23:$AB$33,AB145,AE145)</f>
        <v>#VALUE!</v>
      </c>
      <c r="AL145" s="482" t="e">
        <f>INDEX(Reference!$T$23:$AB$33,AC145,AD145)</f>
        <v>#VALUE!</v>
      </c>
      <c r="AM145" s="482" t="e">
        <f>INDEX(Reference!$T$23:$AB$33,AC145,AE145)</f>
        <v>#VALUE!</v>
      </c>
      <c r="AN145" s="483" t="e">
        <f>INDEX(Reference!$S$7:$S$17,AB145,1)</f>
        <v>#VALUE!</v>
      </c>
      <c r="AO145" s="483" t="e">
        <f>INDEX(Reference!$S$7:$S$17,AC145,1)</f>
        <v>#VALUE!</v>
      </c>
      <c r="AP145" s="484" t="e">
        <f>INDEX(Reference!$T$6:$AB$6,1,AD145)</f>
        <v>#VALUE!</v>
      </c>
      <c r="AQ145" s="484" t="e">
        <f>INDEX(Reference!$T$6:$AB$6,1,AE145)</f>
        <v>#VALUE!</v>
      </c>
      <c r="AR145" s="629" t="e">
        <f t="shared" si="60"/>
        <v>#VALUE!</v>
      </c>
      <c r="AS145" s="629" t="e">
        <f t="shared" si="61"/>
        <v>#VALUE!</v>
      </c>
      <c r="AT145" s="629" t="e">
        <f t="shared" si="62"/>
        <v>#VALUE!</v>
      </c>
      <c r="AU145" s="629" t="e">
        <f t="shared" si="63"/>
        <v>#VALUE!</v>
      </c>
      <c r="AV145" s="629" t="e">
        <f t="shared" si="64"/>
        <v>#VALUE!</v>
      </c>
      <c r="AW145" s="630" t="e">
        <f t="shared" si="65"/>
        <v>#VALUE!</v>
      </c>
      <c r="AZ145" s="489" t="str">
        <f t="shared" si="66"/>
        <v/>
      </c>
      <c r="BA145" s="631" t="e">
        <f t="shared" si="70"/>
        <v>#VALUE!</v>
      </c>
      <c r="BB145" s="491" t="e">
        <f t="shared" si="70"/>
        <v>#VALUE!</v>
      </c>
      <c r="BC145" s="491" t="e">
        <f t="shared" si="70"/>
        <v>#VALUE!</v>
      </c>
      <c r="BD145" s="491" t="e">
        <f t="shared" si="70"/>
        <v>#VALUE!</v>
      </c>
      <c r="BE145" s="491" t="e">
        <f t="shared" si="70"/>
        <v>#VALUE!</v>
      </c>
      <c r="BF145" s="491" t="e">
        <f t="shared" si="70"/>
        <v>#VALUE!</v>
      </c>
      <c r="BG145" s="491" t="e">
        <f t="shared" si="70"/>
        <v>#VALUE!</v>
      </c>
      <c r="BH145" s="491" t="e">
        <f t="shared" si="70"/>
        <v>#VALUE!</v>
      </c>
      <c r="BI145" s="491" t="e">
        <f t="shared" si="70"/>
        <v>#VALUE!</v>
      </c>
      <c r="BJ145" s="491" t="e">
        <f t="shared" si="70"/>
        <v>#VALUE!</v>
      </c>
      <c r="BK145" s="400">
        <f t="shared" si="67"/>
        <v>95</v>
      </c>
      <c r="BL145" s="491" t="e">
        <f t="shared" si="68"/>
        <v>#VALUE!</v>
      </c>
      <c r="BM145" s="491" t="e">
        <f t="shared" si="68"/>
        <v>#VALUE!</v>
      </c>
      <c r="BN145" s="491" t="e">
        <f t="shared" si="68"/>
        <v>#VALUE!</v>
      </c>
      <c r="BO145" s="491" t="e">
        <f t="shared" si="68"/>
        <v>#VALUE!</v>
      </c>
      <c r="BP145" s="622" t="e">
        <f t="shared" si="69"/>
        <v>#VALUE!</v>
      </c>
      <c r="BQ145" s="274" t="e">
        <f>IF(L145="","Column",IF(OR(C145&lt;MAX(ColSpa1,Geometry!$J$107),C145&gt;MAX(MAX(Geometry!$I$107:$I$116),MAX(Geometry!$J$107:$J$116))),MIN(6,INDEX($O$45:$O$48,MATCH(L145,$O$45:$O$48,1),1)),INDEX($O$45:$O$48,MATCH(L145,$O$45:$O$48,1),1)))</f>
        <v>#VALUE!</v>
      </c>
    </row>
    <row r="146" spans="1:69">
      <c r="A146" s="339"/>
      <c r="B146" s="96" t="e">
        <f>IF(MIN(ABS(C146-INDEX(Geometry!$Q$104:$Q$113,IF(ISERROR(MATCH(C146,Geometry!$Q$104:$Q$113,1)),1,MATCH(C146,Geometry!$Q$104:$Q$113,1)),1)),ABS(C146-INDEX(Geometry!$Q$104:$Q$113,IF(ISERROR(MAX(11-MATCH(C146,Geometry!$R$104:$R$113,-1),1)),1,MAX(11-MATCH(C146,Geometry!$R$104:$R$113,-1),1)),1)))&lt;(halfeffectiveface/12),"#","")</f>
        <v>#VALUE!</v>
      </c>
      <c r="C146" s="96" t="str">
        <f>'CAP18 Out(1)'!D104</f>
        <v/>
      </c>
      <c r="D146" s="184" t="str">
        <f>'CAP18 Out(1)'!M104</f>
        <v/>
      </c>
      <c r="E146" s="179" t="e">
        <f t="shared" si="43"/>
        <v>#VALUE!</v>
      </c>
      <c r="F146" s="87" t="e">
        <f t="shared" si="44"/>
        <v>#VALUE!</v>
      </c>
      <c r="G146" s="87" t="e">
        <f t="shared" si="45"/>
        <v>#VALUE!</v>
      </c>
      <c r="H146" s="185" t="e">
        <f t="shared" si="46"/>
        <v>#VALUE!</v>
      </c>
      <c r="I146" s="184" t="e">
        <f t="shared" si="47"/>
        <v>#VALUE!</v>
      </c>
      <c r="J146" s="184">
        <f t="shared" si="48"/>
        <v>0</v>
      </c>
      <c r="K146" s="184">
        <f t="shared" si="49"/>
        <v>0</v>
      </c>
      <c r="L146" s="296" t="e">
        <f t="shared" si="50"/>
        <v>#VALUE!</v>
      </c>
      <c r="M146" s="294" t="e">
        <f>IF(L146="Column","",IF(OR(C146&lt;MAX(ColSpa1,Geometry!$J$107),C146&gt;MAX(MAX(Geometry!$I$107:$I$116),MAX(Geometry!$J$107:$J$116))),"OH - 6''",""))</f>
        <v>#VALUE!</v>
      </c>
      <c r="N146" s="1053">
        <v>36.400000000000006</v>
      </c>
      <c r="O146" s="489">
        <f t="shared" si="51"/>
        <v>0</v>
      </c>
      <c r="P146" s="489">
        <f t="shared" si="52"/>
        <v>0</v>
      </c>
      <c r="Q146" s="400" t="e">
        <f>'CAP18 Out(1)'!I104</f>
        <v>#VALUE!</v>
      </c>
      <c r="R146" s="400" t="e">
        <f>'CAP18 Out(1)'!J104</f>
        <v>#VALUE!</v>
      </c>
      <c r="S146" s="400" t="e">
        <f>IF(E146=ABS(Q146),VLOOKUP('Bars B'!$F$10,BarTable,4,FALSE)/12,1.3*VLOOKUP('Bars A'!$F$10,BarTable,4,FALSE)/12)</f>
        <v>#VALUE!</v>
      </c>
      <c r="T146" s="626" t="e">
        <f t="shared" si="53"/>
        <v>#VALUE!</v>
      </c>
      <c r="U146" s="489" t="e">
        <f>IF(T146&gt;S146,IF(E146=ABS(R146),'Bars A'!$I$13,'Bars B'!$I$13),0.0000000001)</f>
        <v>#VALUE!</v>
      </c>
      <c r="V146" s="483" t="e">
        <f t="shared" si="54"/>
        <v>#VALUE!</v>
      </c>
      <c r="W146" s="627" t="e">
        <f t="shared" si="55"/>
        <v>#VALUE!</v>
      </c>
      <c r="X146" s="628" t="e">
        <f t="shared" si="56"/>
        <v>#VALUE!</v>
      </c>
      <c r="Y146" s="489" t="e">
        <f t="shared" si="57"/>
        <v>#VALUE!</v>
      </c>
      <c r="Z146" s="629" t="e">
        <f t="shared" si="58"/>
        <v>#VALUE!</v>
      </c>
      <c r="AA146" s="626" t="e">
        <f t="shared" si="59"/>
        <v>#VALUE!</v>
      </c>
      <c r="AB146" s="481" t="e">
        <f>MATCH(V146,Reference!$S$7:$S$17,1)</f>
        <v>#VALUE!</v>
      </c>
      <c r="AC146" s="1388" t="e">
        <f>12-MATCH(V146,Reference!$AD$6:$AD$16,-1)</f>
        <v>#VALUE!</v>
      </c>
      <c r="AD146" s="482" t="e">
        <f>MATCH(X146,Reference!$T$6:$AB$6,1)</f>
        <v>#VALUE!</v>
      </c>
      <c r="AE146" s="482" t="e">
        <f>10-MATCH(X146,Reference!$AD$18:$AL$18,-1)</f>
        <v>#VALUE!</v>
      </c>
      <c r="AF146" s="482" t="e">
        <f>INDEX(Reference!$T$7:$AB$17,AB146,AD146)</f>
        <v>#VALUE!</v>
      </c>
      <c r="AG146" s="482" t="e">
        <f>INDEX(Reference!$T$7:$AB$17,AB146,AE146)</f>
        <v>#VALUE!</v>
      </c>
      <c r="AH146" s="482" t="e">
        <f>INDEX(Reference!$T$7:$AB$17,AC146,AD146)</f>
        <v>#VALUE!</v>
      </c>
      <c r="AI146" s="482" t="e">
        <f>INDEX(Reference!$T$7:$AB$17,AC146,AE146)</f>
        <v>#VALUE!</v>
      </c>
      <c r="AJ146" s="482" t="e">
        <f>INDEX(Reference!$T$23:$AB$33,AB146,AD146)</f>
        <v>#VALUE!</v>
      </c>
      <c r="AK146" s="482" t="e">
        <f>INDEX(Reference!$T$23:$AB$33,AB146,AE146)</f>
        <v>#VALUE!</v>
      </c>
      <c r="AL146" s="482" t="e">
        <f>INDEX(Reference!$T$23:$AB$33,AC146,AD146)</f>
        <v>#VALUE!</v>
      </c>
      <c r="AM146" s="482" t="e">
        <f>INDEX(Reference!$T$23:$AB$33,AC146,AE146)</f>
        <v>#VALUE!</v>
      </c>
      <c r="AN146" s="483" t="e">
        <f>INDEX(Reference!$S$7:$S$17,AB146,1)</f>
        <v>#VALUE!</v>
      </c>
      <c r="AO146" s="483" t="e">
        <f>INDEX(Reference!$S$7:$S$17,AC146,1)</f>
        <v>#VALUE!</v>
      </c>
      <c r="AP146" s="484" t="e">
        <f>INDEX(Reference!$T$6:$AB$6,1,AD146)</f>
        <v>#VALUE!</v>
      </c>
      <c r="AQ146" s="484" t="e">
        <f>INDEX(Reference!$T$6:$AB$6,1,AE146)</f>
        <v>#VALUE!</v>
      </c>
      <c r="AR146" s="629" t="e">
        <f t="shared" si="60"/>
        <v>#VALUE!</v>
      </c>
      <c r="AS146" s="629" t="e">
        <f t="shared" si="61"/>
        <v>#VALUE!</v>
      </c>
      <c r="AT146" s="629" t="e">
        <f t="shared" si="62"/>
        <v>#VALUE!</v>
      </c>
      <c r="AU146" s="629" t="e">
        <f t="shared" si="63"/>
        <v>#VALUE!</v>
      </c>
      <c r="AV146" s="629" t="e">
        <f t="shared" si="64"/>
        <v>#VALUE!</v>
      </c>
      <c r="AW146" s="630" t="e">
        <f t="shared" si="65"/>
        <v>#VALUE!</v>
      </c>
      <c r="AZ146" s="489" t="str">
        <f t="shared" si="66"/>
        <v/>
      </c>
      <c r="BA146" s="631" t="e">
        <f t="shared" si="70"/>
        <v>#VALUE!</v>
      </c>
      <c r="BB146" s="491" t="e">
        <f t="shared" si="70"/>
        <v>#VALUE!</v>
      </c>
      <c r="BC146" s="491" t="e">
        <f t="shared" si="70"/>
        <v>#VALUE!</v>
      </c>
      <c r="BD146" s="491" t="e">
        <f t="shared" si="70"/>
        <v>#VALUE!</v>
      </c>
      <c r="BE146" s="491" t="e">
        <f t="shared" si="70"/>
        <v>#VALUE!</v>
      </c>
      <c r="BF146" s="491" t="e">
        <f t="shared" ref="BA146:BJ155" si="71">$E$13*MIN(Vnmax,$AA146+$K146/BF$51)</f>
        <v>#VALUE!</v>
      </c>
      <c r="BG146" s="491" t="e">
        <f t="shared" si="71"/>
        <v>#VALUE!</v>
      </c>
      <c r="BH146" s="491" t="e">
        <f t="shared" si="71"/>
        <v>#VALUE!</v>
      </c>
      <c r="BI146" s="491" t="e">
        <f t="shared" si="71"/>
        <v>#VALUE!</v>
      </c>
      <c r="BJ146" s="491" t="e">
        <f t="shared" si="71"/>
        <v>#VALUE!</v>
      </c>
      <c r="BK146" s="400">
        <f t="shared" si="67"/>
        <v>96</v>
      </c>
      <c r="BL146" s="491" t="e">
        <f t="shared" si="68"/>
        <v>#VALUE!</v>
      </c>
      <c r="BM146" s="491" t="e">
        <f t="shared" si="68"/>
        <v>#VALUE!</v>
      </c>
      <c r="BN146" s="491" t="e">
        <f t="shared" si="68"/>
        <v>#VALUE!</v>
      </c>
      <c r="BO146" s="491" t="e">
        <f t="shared" si="68"/>
        <v>#VALUE!</v>
      </c>
      <c r="BP146" s="622" t="e">
        <f t="shared" si="69"/>
        <v>#VALUE!</v>
      </c>
      <c r="BQ146" s="274" t="e">
        <f>IF(L146="","Column",IF(OR(C146&lt;MAX(ColSpa1,Geometry!$J$107),C146&gt;MAX(MAX(Geometry!$I$107:$I$116),MAX(Geometry!$J$107:$J$116))),MIN(6,INDEX($O$45:$O$48,MATCH(L146,$O$45:$O$48,1),1)),INDEX($O$45:$O$48,MATCH(L146,$O$45:$O$48,1),1)))</f>
        <v>#VALUE!</v>
      </c>
    </row>
    <row r="147" spans="1:69">
      <c r="A147" s="339"/>
      <c r="B147" s="96" t="e">
        <f>IF(MIN(ABS(C147-INDEX(Geometry!$Q$104:$Q$113,IF(ISERROR(MATCH(C147,Geometry!$Q$104:$Q$113,1)),1,MATCH(C147,Geometry!$Q$104:$Q$113,1)),1)),ABS(C147-INDEX(Geometry!$Q$104:$Q$113,IF(ISERROR(MAX(11-MATCH(C147,Geometry!$R$104:$R$113,-1),1)),1,MAX(11-MATCH(C147,Geometry!$R$104:$R$113,-1),1)),1)))&lt;(halfeffectiveface/12),"#","")</f>
        <v>#VALUE!</v>
      </c>
      <c r="C147" s="96" t="str">
        <f>'CAP18 Out(1)'!D105</f>
        <v/>
      </c>
      <c r="D147" s="184" t="str">
        <f>'CAP18 Out(1)'!M105</f>
        <v/>
      </c>
      <c r="E147" s="179" t="e">
        <f t="shared" si="43"/>
        <v>#VALUE!</v>
      </c>
      <c r="F147" s="87" t="e">
        <f t="shared" si="44"/>
        <v>#VALUE!</v>
      </c>
      <c r="G147" s="87" t="e">
        <f t="shared" si="45"/>
        <v>#VALUE!</v>
      </c>
      <c r="H147" s="185" t="e">
        <f t="shared" si="46"/>
        <v>#VALUE!</v>
      </c>
      <c r="I147" s="184" t="e">
        <f t="shared" si="47"/>
        <v>#VALUE!</v>
      </c>
      <c r="J147" s="184">
        <f t="shared" si="48"/>
        <v>0</v>
      </c>
      <c r="K147" s="184">
        <f t="shared" si="49"/>
        <v>0</v>
      </c>
      <c r="L147" s="296" t="e">
        <f t="shared" si="50"/>
        <v>#VALUE!</v>
      </c>
      <c r="M147" s="294" t="e">
        <f>IF(L147="Column","",IF(OR(C147&lt;MAX(ColSpa1,Geometry!$J$107),C147&gt;MAX(MAX(Geometry!$I$107:$I$116),MAX(Geometry!$J$107:$J$116))),"OH - 6''",""))</f>
        <v>#VALUE!</v>
      </c>
      <c r="N147" s="1053">
        <v>36.399999999999984</v>
      </c>
      <c r="O147" s="489">
        <f t="shared" si="51"/>
        <v>0</v>
      </c>
      <c r="P147" s="489">
        <f t="shared" si="52"/>
        <v>0</v>
      </c>
      <c r="Q147" s="400" t="e">
        <f>'CAP18 Out(1)'!I105</f>
        <v>#VALUE!</v>
      </c>
      <c r="R147" s="400" t="e">
        <f>'CAP18 Out(1)'!J105</f>
        <v>#VALUE!</v>
      </c>
      <c r="S147" s="400" t="e">
        <f>IF(E147=ABS(Q147),VLOOKUP('Bars B'!$F$10,BarTable,4,FALSE)/12,1.3*VLOOKUP('Bars A'!$F$10,BarTable,4,FALSE)/12)</f>
        <v>#VALUE!</v>
      </c>
      <c r="T147" s="626" t="e">
        <f t="shared" si="53"/>
        <v>#VALUE!</v>
      </c>
      <c r="U147" s="489" t="e">
        <f>IF(T147&gt;S147,IF(E147=ABS(R147),'Bars A'!$I$13,'Bars B'!$I$13),0.0000000001)</f>
        <v>#VALUE!</v>
      </c>
      <c r="V147" s="483" t="e">
        <f t="shared" si="54"/>
        <v>#VALUE!</v>
      </c>
      <c r="W147" s="627" t="e">
        <f t="shared" si="55"/>
        <v>#VALUE!</v>
      </c>
      <c r="X147" s="628" t="e">
        <f t="shared" si="56"/>
        <v>#VALUE!</v>
      </c>
      <c r="Y147" s="489" t="e">
        <f t="shared" si="57"/>
        <v>#VALUE!</v>
      </c>
      <c r="Z147" s="629" t="e">
        <f t="shared" si="58"/>
        <v>#VALUE!</v>
      </c>
      <c r="AA147" s="626" t="e">
        <f t="shared" si="59"/>
        <v>#VALUE!</v>
      </c>
      <c r="AB147" s="481" t="e">
        <f>MATCH(V147,Reference!$S$7:$S$17,1)</f>
        <v>#VALUE!</v>
      </c>
      <c r="AC147" s="1388" t="e">
        <f>12-MATCH(V147,Reference!$AD$6:$AD$16,-1)</f>
        <v>#VALUE!</v>
      </c>
      <c r="AD147" s="482" t="e">
        <f>MATCH(X147,Reference!$T$6:$AB$6,1)</f>
        <v>#VALUE!</v>
      </c>
      <c r="AE147" s="482" t="e">
        <f>10-MATCH(X147,Reference!$AD$18:$AL$18,-1)</f>
        <v>#VALUE!</v>
      </c>
      <c r="AF147" s="482" t="e">
        <f>INDEX(Reference!$T$7:$AB$17,AB147,AD147)</f>
        <v>#VALUE!</v>
      </c>
      <c r="AG147" s="482" t="e">
        <f>INDEX(Reference!$T$7:$AB$17,AB147,AE147)</f>
        <v>#VALUE!</v>
      </c>
      <c r="AH147" s="482" t="e">
        <f>INDEX(Reference!$T$7:$AB$17,AC147,AD147)</f>
        <v>#VALUE!</v>
      </c>
      <c r="AI147" s="482" t="e">
        <f>INDEX(Reference!$T$7:$AB$17,AC147,AE147)</f>
        <v>#VALUE!</v>
      </c>
      <c r="AJ147" s="482" t="e">
        <f>INDEX(Reference!$T$23:$AB$33,AB147,AD147)</f>
        <v>#VALUE!</v>
      </c>
      <c r="AK147" s="482" t="e">
        <f>INDEX(Reference!$T$23:$AB$33,AB147,AE147)</f>
        <v>#VALUE!</v>
      </c>
      <c r="AL147" s="482" t="e">
        <f>INDEX(Reference!$T$23:$AB$33,AC147,AD147)</f>
        <v>#VALUE!</v>
      </c>
      <c r="AM147" s="482" t="e">
        <f>INDEX(Reference!$T$23:$AB$33,AC147,AE147)</f>
        <v>#VALUE!</v>
      </c>
      <c r="AN147" s="483" t="e">
        <f>INDEX(Reference!$S$7:$S$17,AB147,1)</f>
        <v>#VALUE!</v>
      </c>
      <c r="AO147" s="483" t="e">
        <f>INDEX(Reference!$S$7:$S$17,AC147,1)</f>
        <v>#VALUE!</v>
      </c>
      <c r="AP147" s="484" t="e">
        <f>INDEX(Reference!$T$6:$AB$6,1,AD147)</f>
        <v>#VALUE!</v>
      </c>
      <c r="AQ147" s="484" t="e">
        <f>INDEX(Reference!$T$6:$AB$6,1,AE147)</f>
        <v>#VALUE!</v>
      </c>
      <c r="AR147" s="629" t="e">
        <f t="shared" si="60"/>
        <v>#VALUE!</v>
      </c>
      <c r="AS147" s="629" t="e">
        <f t="shared" si="61"/>
        <v>#VALUE!</v>
      </c>
      <c r="AT147" s="629" t="e">
        <f t="shared" si="62"/>
        <v>#VALUE!</v>
      </c>
      <c r="AU147" s="629" t="e">
        <f t="shared" si="63"/>
        <v>#VALUE!</v>
      </c>
      <c r="AV147" s="629" t="e">
        <f t="shared" si="64"/>
        <v>#VALUE!</v>
      </c>
      <c r="AW147" s="630" t="e">
        <f t="shared" si="65"/>
        <v>#VALUE!</v>
      </c>
      <c r="AZ147" s="489" t="str">
        <f t="shared" si="66"/>
        <v/>
      </c>
      <c r="BA147" s="631" t="e">
        <f t="shared" si="71"/>
        <v>#VALUE!</v>
      </c>
      <c r="BB147" s="491" t="e">
        <f t="shared" si="71"/>
        <v>#VALUE!</v>
      </c>
      <c r="BC147" s="491" t="e">
        <f t="shared" si="71"/>
        <v>#VALUE!</v>
      </c>
      <c r="BD147" s="491" t="e">
        <f t="shared" si="71"/>
        <v>#VALUE!</v>
      </c>
      <c r="BE147" s="491" t="e">
        <f t="shared" si="71"/>
        <v>#VALUE!</v>
      </c>
      <c r="BF147" s="491" t="e">
        <f t="shared" si="71"/>
        <v>#VALUE!</v>
      </c>
      <c r="BG147" s="491" t="e">
        <f t="shared" si="71"/>
        <v>#VALUE!</v>
      </c>
      <c r="BH147" s="491" t="e">
        <f t="shared" si="71"/>
        <v>#VALUE!</v>
      </c>
      <c r="BI147" s="491" t="e">
        <f t="shared" si="71"/>
        <v>#VALUE!</v>
      </c>
      <c r="BJ147" s="491" t="e">
        <f t="shared" si="71"/>
        <v>#VALUE!</v>
      </c>
      <c r="BK147" s="400">
        <f t="shared" si="67"/>
        <v>97</v>
      </c>
      <c r="BL147" s="491" t="e">
        <f t="shared" si="68"/>
        <v>#VALUE!</v>
      </c>
      <c r="BM147" s="491" t="e">
        <f t="shared" si="68"/>
        <v>#VALUE!</v>
      </c>
      <c r="BN147" s="491" t="e">
        <f t="shared" si="68"/>
        <v>#VALUE!</v>
      </c>
      <c r="BO147" s="491" t="e">
        <f t="shared" si="68"/>
        <v>#VALUE!</v>
      </c>
      <c r="BP147" s="622" t="e">
        <f t="shared" si="69"/>
        <v>#VALUE!</v>
      </c>
      <c r="BQ147" s="274" t="e">
        <f>IF(L147="","Column",IF(OR(C147&lt;MAX(ColSpa1,Geometry!$J$107),C147&gt;MAX(MAX(Geometry!$I$107:$I$116),MAX(Geometry!$J$107:$J$116))),MIN(6,INDEX($O$45:$O$48,MATCH(L147,$O$45:$O$48,1),1)),INDEX($O$45:$O$48,MATCH(L147,$O$45:$O$48,1),1)))</f>
        <v>#VALUE!</v>
      </c>
    </row>
    <row r="148" spans="1:69">
      <c r="A148" s="339"/>
      <c r="B148" s="96" t="e">
        <f>IF(MIN(ABS(C148-INDEX(Geometry!$Q$104:$Q$113,IF(ISERROR(MATCH(C148,Geometry!$Q$104:$Q$113,1)),1,MATCH(C148,Geometry!$Q$104:$Q$113,1)),1)),ABS(C148-INDEX(Geometry!$Q$104:$Q$113,IF(ISERROR(MAX(11-MATCH(C148,Geometry!$R$104:$R$113,-1),1)),1,MAX(11-MATCH(C148,Geometry!$R$104:$R$113,-1),1)),1)))&lt;(halfeffectiveface/12),"#","")</f>
        <v>#VALUE!</v>
      </c>
      <c r="C148" s="96" t="str">
        <f>'CAP18 Out(1)'!D106</f>
        <v/>
      </c>
      <c r="D148" s="184" t="str">
        <f>'CAP18 Out(1)'!M106</f>
        <v/>
      </c>
      <c r="E148" s="179" t="e">
        <f t="shared" si="43"/>
        <v>#VALUE!</v>
      </c>
      <c r="F148" s="87" t="e">
        <f t="shared" si="44"/>
        <v>#VALUE!</v>
      </c>
      <c r="G148" s="87" t="e">
        <f t="shared" si="45"/>
        <v>#VALUE!</v>
      </c>
      <c r="H148" s="185" t="e">
        <f t="shared" si="46"/>
        <v>#VALUE!</v>
      </c>
      <c r="I148" s="184" t="e">
        <f t="shared" si="47"/>
        <v>#VALUE!</v>
      </c>
      <c r="J148" s="184">
        <f t="shared" si="48"/>
        <v>0</v>
      </c>
      <c r="K148" s="184">
        <f t="shared" si="49"/>
        <v>0</v>
      </c>
      <c r="L148" s="296" t="e">
        <f t="shared" si="50"/>
        <v>#VALUE!</v>
      </c>
      <c r="M148" s="294" t="e">
        <f>IF(L148="Column","",IF(OR(C148&lt;MAX(ColSpa1,Geometry!$J$107),C148&gt;MAX(MAX(Geometry!$I$107:$I$116),MAX(Geometry!$J$107:$J$116))),"OH - 6''",""))</f>
        <v>#VALUE!</v>
      </c>
      <c r="N148" s="1053">
        <v>36.400000000000006</v>
      </c>
      <c r="O148" s="489">
        <f t="shared" si="51"/>
        <v>0</v>
      </c>
      <c r="P148" s="489">
        <f t="shared" si="52"/>
        <v>0</v>
      </c>
      <c r="Q148" s="400" t="e">
        <f>'CAP18 Out(1)'!I106</f>
        <v>#VALUE!</v>
      </c>
      <c r="R148" s="400" t="e">
        <f>'CAP18 Out(1)'!J106</f>
        <v>#VALUE!</v>
      </c>
      <c r="S148" s="400" t="e">
        <f>IF(E148=ABS(Q148),VLOOKUP('Bars B'!$F$10,BarTable,4,FALSE)/12,1.3*VLOOKUP('Bars A'!$F$10,BarTable,4,FALSE)/12)</f>
        <v>#VALUE!</v>
      </c>
      <c r="T148" s="626" t="e">
        <f t="shared" si="53"/>
        <v>#VALUE!</v>
      </c>
      <c r="U148" s="489" t="e">
        <f>IF(T148&gt;S148,IF(E148=ABS(R148),'Bars A'!$I$13,'Bars B'!$I$13),0.0000000001)</f>
        <v>#VALUE!</v>
      </c>
      <c r="V148" s="483" t="e">
        <f t="shared" si="54"/>
        <v>#VALUE!</v>
      </c>
      <c r="W148" s="627" t="e">
        <f t="shared" si="55"/>
        <v>#VALUE!</v>
      </c>
      <c r="X148" s="628" t="e">
        <f t="shared" si="56"/>
        <v>#VALUE!</v>
      </c>
      <c r="Y148" s="489" t="e">
        <f t="shared" si="57"/>
        <v>#VALUE!</v>
      </c>
      <c r="Z148" s="629" t="e">
        <f t="shared" si="58"/>
        <v>#VALUE!</v>
      </c>
      <c r="AA148" s="626" t="e">
        <f t="shared" si="59"/>
        <v>#VALUE!</v>
      </c>
      <c r="AB148" s="481" t="e">
        <f>MATCH(V148,Reference!$S$7:$S$17,1)</f>
        <v>#VALUE!</v>
      </c>
      <c r="AC148" s="1388" t="e">
        <f>12-MATCH(V148,Reference!$AD$6:$AD$16,-1)</f>
        <v>#VALUE!</v>
      </c>
      <c r="AD148" s="482" t="e">
        <f>MATCH(X148,Reference!$T$6:$AB$6,1)</f>
        <v>#VALUE!</v>
      </c>
      <c r="AE148" s="482" t="e">
        <f>10-MATCH(X148,Reference!$AD$18:$AL$18,-1)</f>
        <v>#VALUE!</v>
      </c>
      <c r="AF148" s="482" t="e">
        <f>INDEX(Reference!$T$7:$AB$17,AB148,AD148)</f>
        <v>#VALUE!</v>
      </c>
      <c r="AG148" s="482" t="e">
        <f>INDEX(Reference!$T$7:$AB$17,AB148,AE148)</f>
        <v>#VALUE!</v>
      </c>
      <c r="AH148" s="482" t="e">
        <f>INDEX(Reference!$T$7:$AB$17,AC148,AD148)</f>
        <v>#VALUE!</v>
      </c>
      <c r="AI148" s="482" t="e">
        <f>INDEX(Reference!$T$7:$AB$17,AC148,AE148)</f>
        <v>#VALUE!</v>
      </c>
      <c r="AJ148" s="482" t="e">
        <f>INDEX(Reference!$T$23:$AB$33,AB148,AD148)</f>
        <v>#VALUE!</v>
      </c>
      <c r="AK148" s="482" t="e">
        <f>INDEX(Reference!$T$23:$AB$33,AB148,AE148)</f>
        <v>#VALUE!</v>
      </c>
      <c r="AL148" s="482" t="e">
        <f>INDEX(Reference!$T$23:$AB$33,AC148,AD148)</f>
        <v>#VALUE!</v>
      </c>
      <c r="AM148" s="482" t="e">
        <f>INDEX(Reference!$T$23:$AB$33,AC148,AE148)</f>
        <v>#VALUE!</v>
      </c>
      <c r="AN148" s="483" t="e">
        <f>INDEX(Reference!$S$7:$S$17,AB148,1)</f>
        <v>#VALUE!</v>
      </c>
      <c r="AO148" s="483" t="e">
        <f>INDEX(Reference!$S$7:$S$17,AC148,1)</f>
        <v>#VALUE!</v>
      </c>
      <c r="AP148" s="484" t="e">
        <f>INDEX(Reference!$T$6:$AB$6,1,AD148)</f>
        <v>#VALUE!</v>
      </c>
      <c r="AQ148" s="484" t="e">
        <f>INDEX(Reference!$T$6:$AB$6,1,AE148)</f>
        <v>#VALUE!</v>
      </c>
      <c r="AR148" s="629" t="e">
        <f t="shared" si="60"/>
        <v>#VALUE!</v>
      </c>
      <c r="AS148" s="629" t="e">
        <f t="shared" si="61"/>
        <v>#VALUE!</v>
      </c>
      <c r="AT148" s="629" t="e">
        <f t="shared" si="62"/>
        <v>#VALUE!</v>
      </c>
      <c r="AU148" s="629" t="e">
        <f t="shared" si="63"/>
        <v>#VALUE!</v>
      </c>
      <c r="AV148" s="629" t="e">
        <f t="shared" si="64"/>
        <v>#VALUE!</v>
      </c>
      <c r="AW148" s="630" t="e">
        <f t="shared" si="65"/>
        <v>#VALUE!</v>
      </c>
      <c r="AZ148" s="489" t="str">
        <f t="shared" si="66"/>
        <v/>
      </c>
      <c r="BA148" s="631" t="e">
        <f t="shared" si="71"/>
        <v>#VALUE!</v>
      </c>
      <c r="BB148" s="491" t="e">
        <f t="shared" si="71"/>
        <v>#VALUE!</v>
      </c>
      <c r="BC148" s="491" t="e">
        <f t="shared" si="71"/>
        <v>#VALUE!</v>
      </c>
      <c r="BD148" s="491" t="e">
        <f t="shared" si="71"/>
        <v>#VALUE!</v>
      </c>
      <c r="BE148" s="491" t="e">
        <f t="shared" si="71"/>
        <v>#VALUE!</v>
      </c>
      <c r="BF148" s="491" t="e">
        <f t="shared" si="71"/>
        <v>#VALUE!</v>
      </c>
      <c r="BG148" s="491" t="e">
        <f t="shared" si="71"/>
        <v>#VALUE!</v>
      </c>
      <c r="BH148" s="491" t="e">
        <f t="shared" si="71"/>
        <v>#VALUE!</v>
      </c>
      <c r="BI148" s="491" t="e">
        <f t="shared" si="71"/>
        <v>#VALUE!</v>
      </c>
      <c r="BJ148" s="491" t="e">
        <f t="shared" si="71"/>
        <v>#VALUE!</v>
      </c>
      <c r="BK148" s="400">
        <f t="shared" si="67"/>
        <v>98</v>
      </c>
      <c r="BL148" s="491" t="e">
        <f t="shared" si="68"/>
        <v>#VALUE!</v>
      </c>
      <c r="BM148" s="491" t="e">
        <f t="shared" si="68"/>
        <v>#VALUE!</v>
      </c>
      <c r="BN148" s="491" t="e">
        <f t="shared" si="68"/>
        <v>#VALUE!</v>
      </c>
      <c r="BO148" s="491" t="e">
        <f t="shared" si="68"/>
        <v>#VALUE!</v>
      </c>
      <c r="BP148" s="622" t="e">
        <f t="shared" si="69"/>
        <v>#VALUE!</v>
      </c>
      <c r="BQ148" s="274" t="e">
        <f>IF(L148="","Column",IF(OR(C148&lt;MAX(ColSpa1,Geometry!$J$107),C148&gt;MAX(MAX(Geometry!$I$107:$I$116),MAX(Geometry!$J$107:$J$116))),MIN(6,INDEX($O$45:$O$48,MATCH(L148,$O$45:$O$48,1),1)),INDEX($O$45:$O$48,MATCH(L148,$O$45:$O$48,1),1)))</f>
        <v>#VALUE!</v>
      </c>
    </row>
    <row r="149" spans="1:69">
      <c r="A149" s="339"/>
      <c r="B149" s="96" t="e">
        <f>IF(MIN(ABS(C149-INDEX(Geometry!$Q$104:$Q$113,IF(ISERROR(MATCH(C149,Geometry!$Q$104:$Q$113,1)),1,MATCH(C149,Geometry!$Q$104:$Q$113,1)),1)),ABS(C149-INDEX(Geometry!$Q$104:$Q$113,IF(ISERROR(MAX(11-MATCH(C149,Geometry!$R$104:$R$113,-1),1)),1,MAX(11-MATCH(C149,Geometry!$R$104:$R$113,-1),1)),1)))&lt;(halfeffectiveface/12),"#","")</f>
        <v>#VALUE!</v>
      </c>
      <c r="C149" s="96" t="str">
        <f>'CAP18 Out(1)'!D107</f>
        <v/>
      </c>
      <c r="D149" s="184" t="str">
        <f>'CAP18 Out(1)'!M107</f>
        <v/>
      </c>
      <c r="E149" s="179" t="e">
        <f t="shared" si="43"/>
        <v>#VALUE!</v>
      </c>
      <c r="F149" s="87" t="e">
        <f t="shared" si="44"/>
        <v>#VALUE!</v>
      </c>
      <c r="G149" s="87" t="e">
        <f t="shared" si="45"/>
        <v>#VALUE!</v>
      </c>
      <c r="H149" s="185" t="e">
        <f t="shared" si="46"/>
        <v>#VALUE!</v>
      </c>
      <c r="I149" s="184" t="e">
        <f t="shared" si="47"/>
        <v>#VALUE!</v>
      </c>
      <c r="J149" s="184">
        <f t="shared" si="48"/>
        <v>0</v>
      </c>
      <c r="K149" s="184">
        <f t="shared" si="49"/>
        <v>0</v>
      </c>
      <c r="L149" s="296" t="e">
        <f t="shared" si="50"/>
        <v>#VALUE!</v>
      </c>
      <c r="M149" s="294" t="e">
        <f>IF(L149="Column","",IF(OR(C149&lt;MAX(ColSpa1,Geometry!$J$107),C149&gt;MAX(MAX(Geometry!$I$107:$I$116),MAX(Geometry!$J$107:$J$116))),"OH - 6''",""))</f>
        <v>#VALUE!</v>
      </c>
      <c r="N149" s="1053">
        <v>36.399999999999984</v>
      </c>
      <c r="O149" s="489">
        <f t="shared" si="51"/>
        <v>0</v>
      </c>
      <c r="P149" s="489">
        <f t="shared" si="52"/>
        <v>0</v>
      </c>
      <c r="Q149" s="400" t="e">
        <f>'CAP18 Out(1)'!I107</f>
        <v>#VALUE!</v>
      </c>
      <c r="R149" s="400" t="e">
        <f>'CAP18 Out(1)'!J107</f>
        <v>#VALUE!</v>
      </c>
      <c r="S149" s="400" t="e">
        <f>IF(E149=ABS(Q149),VLOOKUP('Bars B'!$F$10,BarTable,4,FALSE)/12,1.3*VLOOKUP('Bars A'!$F$10,BarTable,4,FALSE)/12)</f>
        <v>#VALUE!</v>
      </c>
      <c r="T149" s="626" t="e">
        <f t="shared" si="53"/>
        <v>#VALUE!</v>
      </c>
      <c r="U149" s="489" t="e">
        <f>IF(T149&gt;S149,IF(E149=ABS(R149),'Bars A'!$I$13,'Bars B'!$I$13),0.0000000001)</f>
        <v>#VALUE!</v>
      </c>
      <c r="V149" s="483" t="e">
        <f t="shared" si="54"/>
        <v>#VALUE!</v>
      </c>
      <c r="W149" s="627" t="e">
        <f t="shared" si="55"/>
        <v>#VALUE!</v>
      </c>
      <c r="X149" s="628" t="e">
        <f t="shared" si="56"/>
        <v>#VALUE!</v>
      </c>
      <c r="Y149" s="489" t="e">
        <f t="shared" si="57"/>
        <v>#VALUE!</v>
      </c>
      <c r="Z149" s="629" t="e">
        <f t="shared" si="58"/>
        <v>#VALUE!</v>
      </c>
      <c r="AA149" s="626" t="e">
        <f t="shared" si="59"/>
        <v>#VALUE!</v>
      </c>
      <c r="AB149" s="481" t="e">
        <f>MATCH(V149,Reference!$S$7:$S$17,1)</f>
        <v>#VALUE!</v>
      </c>
      <c r="AC149" s="1388" t="e">
        <f>12-MATCH(V149,Reference!$AD$6:$AD$16,-1)</f>
        <v>#VALUE!</v>
      </c>
      <c r="AD149" s="482" t="e">
        <f>MATCH(X149,Reference!$T$6:$AB$6,1)</f>
        <v>#VALUE!</v>
      </c>
      <c r="AE149" s="482" t="e">
        <f>10-MATCH(X149,Reference!$AD$18:$AL$18,-1)</f>
        <v>#VALUE!</v>
      </c>
      <c r="AF149" s="482" t="e">
        <f>INDEX(Reference!$T$7:$AB$17,AB149,AD149)</f>
        <v>#VALUE!</v>
      </c>
      <c r="AG149" s="482" t="e">
        <f>INDEX(Reference!$T$7:$AB$17,AB149,AE149)</f>
        <v>#VALUE!</v>
      </c>
      <c r="AH149" s="482" t="e">
        <f>INDEX(Reference!$T$7:$AB$17,AC149,AD149)</f>
        <v>#VALUE!</v>
      </c>
      <c r="AI149" s="482" t="e">
        <f>INDEX(Reference!$T$7:$AB$17,AC149,AE149)</f>
        <v>#VALUE!</v>
      </c>
      <c r="AJ149" s="482" t="e">
        <f>INDEX(Reference!$T$23:$AB$33,AB149,AD149)</f>
        <v>#VALUE!</v>
      </c>
      <c r="AK149" s="482" t="e">
        <f>INDEX(Reference!$T$23:$AB$33,AB149,AE149)</f>
        <v>#VALUE!</v>
      </c>
      <c r="AL149" s="482" t="e">
        <f>INDEX(Reference!$T$23:$AB$33,AC149,AD149)</f>
        <v>#VALUE!</v>
      </c>
      <c r="AM149" s="482" t="e">
        <f>INDEX(Reference!$T$23:$AB$33,AC149,AE149)</f>
        <v>#VALUE!</v>
      </c>
      <c r="AN149" s="483" t="e">
        <f>INDEX(Reference!$S$7:$S$17,AB149,1)</f>
        <v>#VALUE!</v>
      </c>
      <c r="AO149" s="483" t="e">
        <f>INDEX(Reference!$S$7:$S$17,AC149,1)</f>
        <v>#VALUE!</v>
      </c>
      <c r="AP149" s="484" t="e">
        <f>INDEX(Reference!$T$6:$AB$6,1,AD149)</f>
        <v>#VALUE!</v>
      </c>
      <c r="AQ149" s="484" t="e">
        <f>INDEX(Reference!$T$6:$AB$6,1,AE149)</f>
        <v>#VALUE!</v>
      </c>
      <c r="AR149" s="629" t="e">
        <f t="shared" si="60"/>
        <v>#VALUE!</v>
      </c>
      <c r="AS149" s="629" t="e">
        <f t="shared" si="61"/>
        <v>#VALUE!</v>
      </c>
      <c r="AT149" s="629" t="e">
        <f t="shared" si="62"/>
        <v>#VALUE!</v>
      </c>
      <c r="AU149" s="629" t="e">
        <f t="shared" si="63"/>
        <v>#VALUE!</v>
      </c>
      <c r="AV149" s="629" t="e">
        <f t="shared" si="64"/>
        <v>#VALUE!</v>
      </c>
      <c r="AW149" s="630" t="e">
        <f t="shared" si="65"/>
        <v>#VALUE!</v>
      </c>
      <c r="AZ149" s="489" t="str">
        <f t="shared" si="66"/>
        <v/>
      </c>
      <c r="BA149" s="631" t="e">
        <f t="shared" si="71"/>
        <v>#VALUE!</v>
      </c>
      <c r="BB149" s="491" t="e">
        <f t="shared" si="71"/>
        <v>#VALUE!</v>
      </c>
      <c r="BC149" s="491" t="e">
        <f t="shared" si="71"/>
        <v>#VALUE!</v>
      </c>
      <c r="BD149" s="491" t="e">
        <f t="shared" si="71"/>
        <v>#VALUE!</v>
      </c>
      <c r="BE149" s="491" t="e">
        <f t="shared" si="71"/>
        <v>#VALUE!</v>
      </c>
      <c r="BF149" s="491" t="e">
        <f t="shared" si="71"/>
        <v>#VALUE!</v>
      </c>
      <c r="BG149" s="491" t="e">
        <f t="shared" si="71"/>
        <v>#VALUE!</v>
      </c>
      <c r="BH149" s="491" t="e">
        <f t="shared" si="71"/>
        <v>#VALUE!</v>
      </c>
      <c r="BI149" s="491" t="e">
        <f t="shared" si="71"/>
        <v>#VALUE!</v>
      </c>
      <c r="BJ149" s="491" t="e">
        <f t="shared" si="71"/>
        <v>#VALUE!</v>
      </c>
      <c r="BK149" s="400">
        <f t="shared" si="67"/>
        <v>99</v>
      </c>
      <c r="BL149" s="491" t="e">
        <f t="shared" si="68"/>
        <v>#VALUE!</v>
      </c>
      <c r="BM149" s="491" t="e">
        <f t="shared" si="68"/>
        <v>#VALUE!</v>
      </c>
      <c r="BN149" s="491" t="e">
        <f t="shared" si="68"/>
        <v>#VALUE!</v>
      </c>
      <c r="BO149" s="491" t="e">
        <f t="shared" si="68"/>
        <v>#VALUE!</v>
      </c>
      <c r="BP149" s="622" t="e">
        <f t="shared" si="69"/>
        <v>#VALUE!</v>
      </c>
      <c r="BQ149" s="274" t="e">
        <f>IF(L149="","Column",IF(OR(C149&lt;MAX(ColSpa1,Geometry!$J$107),C149&gt;MAX(MAX(Geometry!$I$107:$I$116),MAX(Geometry!$J$107:$J$116))),MIN(6,INDEX($O$45:$O$48,MATCH(L149,$O$45:$O$48,1),1)),INDEX($O$45:$O$48,MATCH(L149,$O$45:$O$48,1),1)))</f>
        <v>#VALUE!</v>
      </c>
    </row>
    <row r="150" spans="1:69">
      <c r="A150" s="339"/>
      <c r="B150" s="96" t="e">
        <f>IF(MIN(ABS(C150-INDEX(Geometry!$Q$104:$Q$113,IF(ISERROR(MATCH(C150,Geometry!$Q$104:$Q$113,1)),1,MATCH(C150,Geometry!$Q$104:$Q$113,1)),1)),ABS(C150-INDEX(Geometry!$Q$104:$Q$113,IF(ISERROR(MAX(11-MATCH(C150,Geometry!$R$104:$R$113,-1),1)),1,MAX(11-MATCH(C150,Geometry!$R$104:$R$113,-1),1)),1)))&lt;(halfeffectiveface/12),"#","")</f>
        <v>#VALUE!</v>
      </c>
      <c r="C150" s="96" t="str">
        <f>'CAP18 Out(1)'!D108</f>
        <v/>
      </c>
      <c r="D150" s="184" t="str">
        <f>'CAP18 Out(1)'!M108</f>
        <v/>
      </c>
      <c r="E150" s="179" t="e">
        <f t="shared" si="43"/>
        <v>#VALUE!</v>
      </c>
      <c r="F150" s="87" t="e">
        <f t="shared" si="44"/>
        <v>#VALUE!</v>
      </c>
      <c r="G150" s="87" t="e">
        <f t="shared" si="45"/>
        <v>#VALUE!</v>
      </c>
      <c r="H150" s="185" t="e">
        <f t="shared" si="46"/>
        <v>#VALUE!</v>
      </c>
      <c r="I150" s="184" t="e">
        <f t="shared" si="47"/>
        <v>#VALUE!</v>
      </c>
      <c r="J150" s="184">
        <f t="shared" si="48"/>
        <v>0</v>
      </c>
      <c r="K150" s="184">
        <f t="shared" si="49"/>
        <v>0</v>
      </c>
      <c r="L150" s="296" t="e">
        <f t="shared" si="50"/>
        <v>#VALUE!</v>
      </c>
      <c r="M150" s="294" t="e">
        <f>IF(L150="Column","",IF(OR(C150&lt;MAX(ColSpa1,Geometry!$J$107),C150&gt;MAX(MAX(Geometry!$I$107:$I$116),MAX(Geometry!$J$107:$J$116))),"OH - 6''",""))</f>
        <v>#VALUE!</v>
      </c>
      <c r="N150" s="1053">
        <v>36.400000000000006</v>
      </c>
      <c r="O150" s="489">
        <f t="shared" si="51"/>
        <v>0</v>
      </c>
      <c r="P150" s="489">
        <f t="shared" si="52"/>
        <v>0</v>
      </c>
      <c r="Q150" s="400" t="e">
        <f>'CAP18 Out(1)'!I108</f>
        <v>#VALUE!</v>
      </c>
      <c r="R150" s="400" t="e">
        <f>'CAP18 Out(1)'!J108</f>
        <v>#VALUE!</v>
      </c>
      <c r="S150" s="400" t="e">
        <f>IF(E150=ABS(Q150),VLOOKUP('Bars B'!$F$10,BarTable,4,FALSE)/12,1.3*VLOOKUP('Bars A'!$F$10,BarTable,4,FALSE)/12)</f>
        <v>#VALUE!</v>
      </c>
      <c r="T150" s="626" t="e">
        <f t="shared" si="53"/>
        <v>#VALUE!</v>
      </c>
      <c r="U150" s="489" t="e">
        <f>IF(T150&gt;S150,IF(E150=ABS(R150),'Bars A'!$I$13,'Bars B'!$I$13),0.0000000001)</f>
        <v>#VALUE!</v>
      </c>
      <c r="V150" s="483" t="e">
        <f t="shared" si="54"/>
        <v>#VALUE!</v>
      </c>
      <c r="W150" s="627" t="e">
        <f t="shared" si="55"/>
        <v>#VALUE!</v>
      </c>
      <c r="X150" s="628" t="e">
        <f t="shared" si="56"/>
        <v>#VALUE!</v>
      </c>
      <c r="Y150" s="489" t="e">
        <f t="shared" si="57"/>
        <v>#VALUE!</v>
      </c>
      <c r="Z150" s="629" t="e">
        <f t="shared" si="58"/>
        <v>#VALUE!</v>
      </c>
      <c r="AA150" s="626" t="e">
        <f t="shared" si="59"/>
        <v>#VALUE!</v>
      </c>
      <c r="AB150" s="481" t="e">
        <f>MATCH(V150,Reference!$S$7:$S$17,1)</f>
        <v>#VALUE!</v>
      </c>
      <c r="AC150" s="1388" t="e">
        <f>12-MATCH(V150,Reference!$AD$6:$AD$16,-1)</f>
        <v>#VALUE!</v>
      </c>
      <c r="AD150" s="482" t="e">
        <f>MATCH(X150,Reference!$T$6:$AB$6,1)</f>
        <v>#VALUE!</v>
      </c>
      <c r="AE150" s="482" t="e">
        <f>10-MATCH(X150,Reference!$AD$18:$AL$18,-1)</f>
        <v>#VALUE!</v>
      </c>
      <c r="AF150" s="482" t="e">
        <f>INDEX(Reference!$T$7:$AB$17,AB150,AD150)</f>
        <v>#VALUE!</v>
      </c>
      <c r="AG150" s="482" t="e">
        <f>INDEX(Reference!$T$7:$AB$17,AB150,AE150)</f>
        <v>#VALUE!</v>
      </c>
      <c r="AH150" s="482" t="e">
        <f>INDEX(Reference!$T$7:$AB$17,AC150,AD150)</f>
        <v>#VALUE!</v>
      </c>
      <c r="AI150" s="482" t="e">
        <f>INDEX(Reference!$T$7:$AB$17,AC150,AE150)</f>
        <v>#VALUE!</v>
      </c>
      <c r="AJ150" s="482" t="e">
        <f>INDEX(Reference!$T$23:$AB$33,AB150,AD150)</f>
        <v>#VALUE!</v>
      </c>
      <c r="AK150" s="482" t="e">
        <f>INDEX(Reference!$T$23:$AB$33,AB150,AE150)</f>
        <v>#VALUE!</v>
      </c>
      <c r="AL150" s="482" t="e">
        <f>INDEX(Reference!$T$23:$AB$33,AC150,AD150)</f>
        <v>#VALUE!</v>
      </c>
      <c r="AM150" s="482" t="e">
        <f>INDEX(Reference!$T$23:$AB$33,AC150,AE150)</f>
        <v>#VALUE!</v>
      </c>
      <c r="AN150" s="483" t="e">
        <f>INDEX(Reference!$S$7:$S$17,AB150,1)</f>
        <v>#VALUE!</v>
      </c>
      <c r="AO150" s="483" t="e">
        <f>INDEX(Reference!$S$7:$S$17,AC150,1)</f>
        <v>#VALUE!</v>
      </c>
      <c r="AP150" s="484" t="e">
        <f>INDEX(Reference!$T$6:$AB$6,1,AD150)</f>
        <v>#VALUE!</v>
      </c>
      <c r="AQ150" s="484" t="e">
        <f>INDEX(Reference!$T$6:$AB$6,1,AE150)</f>
        <v>#VALUE!</v>
      </c>
      <c r="AR150" s="629" t="e">
        <f t="shared" si="60"/>
        <v>#VALUE!</v>
      </c>
      <c r="AS150" s="629" t="e">
        <f t="shared" si="61"/>
        <v>#VALUE!</v>
      </c>
      <c r="AT150" s="629" t="e">
        <f t="shared" si="62"/>
        <v>#VALUE!</v>
      </c>
      <c r="AU150" s="629" t="e">
        <f t="shared" si="63"/>
        <v>#VALUE!</v>
      </c>
      <c r="AV150" s="629" t="e">
        <f t="shared" si="64"/>
        <v>#VALUE!</v>
      </c>
      <c r="AW150" s="630" t="e">
        <f t="shared" si="65"/>
        <v>#VALUE!</v>
      </c>
      <c r="AZ150" s="489" t="str">
        <f t="shared" si="66"/>
        <v/>
      </c>
      <c r="BA150" s="631" t="e">
        <f t="shared" si="71"/>
        <v>#VALUE!</v>
      </c>
      <c r="BB150" s="491" t="e">
        <f t="shared" si="71"/>
        <v>#VALUE!</v>
      </c>
      <c r="BC150" s="491" t="e">
        <f t="shared" si="71"/>
        <v>#VALUE!</v>
      </c>
      <c r="BD150" s="491" t="e">
        <f t="shared" si="71"/>
        <v>#VALUE!</v>
      </c>
      <c r="BE150" s="491" t="e">
        <f t="shared" si="71"/>
        <v>#VALUE!</v>
      </c>
      <c r="BF150" s="491" t="e">
        <f t="shared" si="71"/>
        <v>#VALUE!</v>
      </c>
      <c r="BG150" s="491" t="e">
        <f t="shared" si="71"/>
        <v>#VALUE!</v>
      </c>
      <c r="BH150" s="491" t="e">
        <f t="shared" si="71"/>
        <v>#VALUE!</v>
      </c>
      <c r="BI150" s="491" t="e">
        <f t="shared" si="71"/>
        <v>#VALUE!</v>
      </c>
      <c r="BJ150" s="491" t="e">
        <f t="shared" si="71"/>
        <v>#VALUE!</v>
      </c>
      <c r="BK150" s="400">
        <f t="shared" si="67"/>
        <v>100</v>
      </c>
      <c r="BL150" s="491" t="e">
        <f t="shared" si="68"/>
        <v>#VALUE!</v>
      </c>
      <c r="BM150" s="491" t="e">
        <f t="shared" si="68"/>
        <v>#VALUE!</v>
      </c>
      <c r="BN150" s="491" t="e">
        <f t="shared" si="68"/>
        <v>#VALUE!</v>
      </c>
      <c r="BO150" s="491" t="e">
        <f t="shared" si="68"/>
        <v>#VALUE!</v>
      </c>
      <c r="BP150" s="622" t="e">
        <f t="shared" si="69"/>
        <v>#VALUE!</v>
      </c>
      <c r="BQ150" s="274" t="e">
        <f>IF(L150="","Column",IF(OR(C150&lt;MAX(ColSpa1,Geometry!$J$107),C150&gt;MAX(MAX(Geometry!$I$107:$I$116),MAX(Geometry!$J$107:$J$116))),MIN(6,INDEX($O$45:$O$48,MATCH(L150,$O$45:$O$48,1),1)),INDEX($O$45:$O$48,MATCH(L150,$O$45:$O$48,1),1)))</f>
        <v>#VALUE!</v>
      </c>
    </row>
    <row r="151" spans="1:69">
      <c r="A151" s="339"/>
      <c r="B151" s="96" t="e">
        <f>IF(MIN(ABS(C151-INDEX(Geometry!$Q$104:$Q$113,IF(ISERROR(MATCH(C151,Geometry!$Q$104:$Q$113,1)),1,MATCH(C151,Geometry!$Q$104:$Q$113,1)),1)),ABS(C151-INDEX(Geometry!$Q$104:$Q$113,IF(ISERROR(MAX(11-MATCH(C151,Geometry!$R$104:$R$113,-1),1)),1,MAX(11-MATCH(C151,Geometry!$R$104:$R$113,-1),1)),1)))&lt;(halfeffectiveface/12),"#","")</f>
        <v>#VALUE!</v>
      </c>
      <c r="C151" s="96" t="str">
        <f>'CAP18 Out(1)'!D109</f>
        <v/>
      </c>
      <c r="D151" s="184" t="str">
        <f>'CAP18 Out(1)'!M109</f>
        <v/>
      </c>
      <c r="E151" s="179" t="e">
        <f t="shared" si="43"/>
        <v>#VALUE!</v>
      </c>
      <c r="F151" s="87" t="e">
        <f t="shared" si="44"/>
        <v>#VALUE!</v>
      </c>
      <c r="G151" s="87" t="e">
        <f t="shared" si="45"/>
        <v>#VALUE!</v>
      </c>
      <c r="H151" s="185" t="e">
        <f t="shared" si="46"/>
        <v>#VALUE!</v>
      </c>
      <c r="I151" s="184" t="e">
        <f t="shared" si="47"/>
        <v>#VALUE!</v>
      </c>
      <c r="J151" s="184">
        <f t="shared" si="48"/>
        <v>0</v>
      </c>
      <c r="K151" s="184">
        <f t="shared" si="49"/>
        <v>0</v>
      </c>
      <c r="L151" s="296" t="e">
        <f t="shared" si="50"/>
        <v>#VALUE!</v>
      </c>
      <c r="M151" s="294" t="e">
        <f>IF(L151="Column","",IF(OR(C151&lt;MAX(ColSpa1,Geometry!$J$107),C151&gt;MAX(MAX(Geometry!$I$107:$I$116),MAX(Geometry!$J$107:$J$116))),"OH - 6''",""))</f>
        <v>#VALUE!</v>
      </c>
      <c r="N151" s="1053">
        <v>36.399999999999984</v>
      </c>
      <c r="O151" s="489">
        <f t="shared" si="51"/>
        <v>0</v>
      </c>
      <c r="P151" s="489">
        <f t="shared" si="52"/>
        <v>0</v>
      </c>
      <c r="Q151" s="400" t="e">
        <f>'CAP18 Out(1)'!I109</f>
        <v>#VALUE!</v>
      </c>
      <c r="R151" s="400" t="e">
        <f>'CAP18 Out(1)'!J109</f>
        <v>#VALUE!</v>
      </c>
      <c r="S151" s="400" t="e">
        <f>IF(E151=ABS(Q151),VLOOKUP('Bars B'!$F$10,BarTable,4,FALSE)/12,1.3*VLOOKUP('Bars A'!$F$10,BarTable,4,FALSE)/12)</f>
        <v>#VALUE!</v>
      </c>
      <c r="T151" s="626" t="e">
        <f t="shared" si="53"/>
        <v>#VALUE!</v>
      </c>
      <c r="U151" s="489" t="e">
        <f>IF(T151&gt;S151,IF(E151=ABS(R151),'Bars A'!$I$13,'Bars B'!$I$13),0.0000000001)</f>
        <v>#VALUE!</v>
      </c>
      <c r="V151" s="483" t="e">
        <f t="shared" si="54"/>
        <v>#VALUE!</v>
      </c>
      <c r="W151" s="627" t="e">
        <f t="shared" si="55"/>
        <v>#VALUE!</v>
      </c>
      <c r="X151" s="628" t="e">
        <f t="shared" si="56"/>
        <v>#VALUE!</v>
      </c>
      <c r="Y151" s="489" t="e">
        <f t="shared" si="57"/>
        <v>#VALUE!</v>
      </c>
      <c r="Z151" s="629" t="e">
        <f t="shared" si="58"/>
        <v>#VALUE!</v>
      </c>
      <c r="AA151" s="626" t="e">
        <f t="shared" si="59"/>
        <v>#VALUE!</v>
      </c>
      <c r="AB151" s="481" t="e">
        <f>MATCH(V151,Reference!$S$7:$S$17,1)</f>
        <v>#VALUE!</v>
      </c>
      <c r="AC151" s="1388" t="e">
        <f>12-MATCH(V151,Reference!$AD$6:$AD$16,-1)</f>
        <v>#VALUE!</v>
      </c>
      <c r="AD151" s="482" t="e">
        <f>MATCH(X151,Reference!$T$6:$AB$6,1)</f>
        <v>#VALUE!</v>
      </c>
      <c r="AE151" s="482" t="e">
        <f>10-MATCH(X151,Reference!$AD$18:$AL$18,-1)</f>
        <v>#VALUE!</v>
      </c>
      <c r="AF151" s="482" t="e">
        <f>INDEX(Reference!$T$7:$AB$17,AB151,AD151)</f>
        <v>#VALUE!</v>
      </c>
      <c r="AG151" s="482" t="e">
        <f>INDEX(Reference!$T$7:$AB$17,AB151,AE151)</f>
        <v>#VALUE!</v>
      </c>
      <c r="AH151" s="482" t="e">
        <f>INDEX(Reference!$T$7:$AB$17,AC151,AD151)</f>
        <v>#VALUE!</v>
      </c>
      <c r="AI151" s="482" t="e">
        <f>INDEX(Reference!$T$7:$AB$17,AC151,AE151)</f>
        <v>#VALUE!</v>
      </c>
      <c r="AJ151" s="482" t="e">
        <f>INDEX(Reference!$T$23:$AB$33,AB151,AD151)</f>
        <v>#VALUE!</v>
      </c>
      <c r="AK151" s="482" t="e">
        <f>INDEX(Reference!$T$23:$AB$33,AB151,AE151)</f>
        <v>#VALUE!</v>
      </c>
      <c r="AL151" s="482" t="e">
        <f>INDEX(Reference!$T$23:$AB$33,AC151,AD151)</f>
        <v>#VALUE!</v>
      </c>
      <c r="AM151" s="482" t="e">
        <f>INDEX(Reference!$T$23:$AB$33,AC151,AE151)</f>
        <v>#VALUE!</v>
      </c>
      <c r="AN151" s="483" t="e">
        <f>INDEX(Reference!$S$7:$S$17,AB151,1)</f>
        <v>#VALUE!</v>
      </c>
      <c r="AO151" s="483" t="e">
        <f>INDEX(Reference!$S$7:$S$17,AC151,1)</f>
        <v>#VALUE!</v>
      </c>
      <c r="AP151" s="484" t="e">
        <f>INDEX(Reference!$T$6:$AB$6,1,AD151)</f>
        <v>#VALUE!</v>
      </c>
      <c r="AQ151" s="484" t="e">
        <f>INDEX(Reference!$T$6:$AB$6,1,AE151)</f>
        <v>#VALUE!</v>
      </c>
      <c r="AR151" s="629" t="e">
        <f t="shared" si="60"/>
        <v>#VALUE!</v>
      </c>
      <c r="AS151" s="629" t="e">
        <f t="shared" si="61"/>
        <v>#VALUE!</v>
      </c>
      <c r="AT151" s="629" t="e">
        <f t="shared" si="62"/>
        <v>#VALUE!</v>
      </c>
      <c r="AU151" s="629" t="e">
        <f t="shared" si="63"/>
        <v>#VALUE!</v>
      </c>
      <c r="AV151" s="629" t="e">
        <f t="shared" si="64"/>
        <v>#VALUE!</v>
      </c>
      <c r="AW151" s="630" t="e">
        <f t="shared" si="65"/>
        <v>#VALUE!</v>
      </c>
      <c r="AZ151" s="489" t="str">
        <f t="shared" si="66"/>
        <v/>
      </c>
      <c r="BA151" s="631" t="e">
        <f t="shared" si="71"/>
        <v>#VALUE!</v>
      </c>
      <c r="BB151" s="491" t="e">
        <f t="shared" si="71"/>
        <v>#VALUE!</v>
      </c>
      <c r="BC151" s="491" t="e">
        <f t="shared" si="71"/>
        <v>#VALUE!</v>
      </c>
      <c r="BD151" s="491" t="e">
        <f t="shared" si="71"/>
        <v>#VALUE!</v>
      </c>
      <c r="BE151" s="491" t="e">
        <f t="shared" si="71"/>
        <v>#VALUE!</v>
      </c>
      <c r="BF151" s="491" t="e">
        <f t="shared" si="71"/>
        <v>#VALUE!</v>
      </c>
      <c r="BG151" s="491" t="e">
        <f t="shared" si="71"/>
        <v>#VALUE!</v>
      </c>
      <c r="BH151" s="491" t="e">
        <f t="shared" si="71"/>
        <v>#VALUE!</v>
      </c>
      <c r="BI151" s="491" t="e">
        <f t="shared" si="71"/>
        <v>#VALUE!</v>
      </c>
      <c r="BJ151" s="491" t="e">
        <f t="shared" si="71"/>
        <v>#VALUE!</v>
      </c>
      <c r="BK151" s="400">
        <f t="shared" si="67"/>
        <v>101</v>
      </c>
      <c r="BL151" s="491" t="e">
        <f t="shared" si="68"/>
        <v>#VALUE!</v>
      </c>
      <c r="BM151" s="491" t="e">
        <f t="shared" si="68"/>
        <v>#VALUE!</v>
      </c>
      <c r="BN151" s="491" t="e">
        <f t="shared" si="68"/>
        <v>#VALUE!</v>
      </c>
      <c r="BO151" s="491" t="e">
        <f t="shared" si="68"/>
        <v>#VALUE!</v>
      </c>
      <c r="BP151" s="622" t="e">
        <f t="shared" si="69"/>
        <v>#VALUE!</v>
      </c>
      <c r="BQ151" s="274" t="e">
        <f>IF(L151="","Column",IF(OR(C151&lt;MAX(ColSpa1,Geometry!$J$107),C151&gt;MAX(MAX(Geometry!$I$107:$I$116),MAX(Geometry!$J$107:$J$116))),MIN(6,INDEX($O$45:$O$48,MATCH(L151,$O$45:$O$48,1),1)),INDEX($O$45:$O$48,MATCH(L151,$O$45:$O$48,1),1)))</f>
        <v>#VALUE!</v>
      </c>
    </row>
    <row r="152" spans="1:69">
      <c r="A152" s="339"/>
      <c r="B152" s="96" t="e">
        <f>IF(MIN(ABS(C152-INDEX(Geometry!$Q$104:$Q$113,IF(ISERROR(MATCH(C152,Geometry!$Q$104:$Q$113,1)),1,MATCH(C152,Geometry!$Q$104:$Q$113,1)),1)),ABS(C152-INDEX(Geometry!$Q$104:$Q$113,IF(ISERROR(MAX(11-MATCH(C152,Geometry!$R$104:$R$113,-1),1)),1,MAX(11-MATCH(C152,Geometry!$R$104:$R$113,-1),1)),1)))&lt;(halfeffectiveface/12),"#","")</f>
        <v>#VALUE!</v>
      </c>
      <c r="C152" s="96" t="str">
        <f>'CAP18 Out(1)'!D110</f>
        <v/>
      </c>
      <c r="D152" s="184" t="str">
        <f>'CAP18 Out(1)'!M110</f>
        <v/>
      </c>
      <c r="E152" s="179" t="e">
        <f t="shared" si="43"/>
        <v>#VALUE!</v>
      </c>
      <c r="F152" s="87" t="e">
        <f t="shared" si="44"/>
        <v>#VALUE!</v>
      </c>
      <c r="G152" s="87" t="e">
        <f t="shared" si="45"/>
        <v>#VALUE!</v>
      </c>
      <c r="H152" s="185" t="e">
        <f t="shared" si="46"/>
        <v>#VALUE!</v>
      </c>
      <c r="I152" s="184" t="e">
        <f t="shared" si="47"/>
        <v>#VALUE!</v>
      </c>
      <c r="J152" s="184">
        <f t="shared" si="48"/>
        <v>0</v>
      </c>
      <c r="K152" s="184">
        <f t="shared" si="49"/>
        <v>0</v>
      </c>
      <c r="L152" s="296" t="e">
        <f t="shared" si="50"/>
        <v>#VALUE!</v>
      </c>
      <c r="M152" s="294" t="e">
        <f>IF(L152="Column","",IF(OR(C152&lt;MAX(ColSpa1,Geometry!$J$107),C152&gt;MAX(MAX(Geometry!$I$107:$I$116),MAX(Geometry!$J$107:$J$116))),"OH - 6''",""))</f>
        <v>#VALUE!</v>
      </c>
      <c r="N152" s="1053">
        <v>36.400000000000006</v>
      </c>
      <c r="O152" s="489">
        <f t="shared" si="51"/>
        <v>0</v>
      </c>
      <c r="P152" s="489">
        <f t="shared" si="52"/>
        <v>0</v>
      </c>
      <c r="Q152" s="400" t="e">
        <f>'CAP18 Out(1)'!I110</f>
        <v>#VALUE!</v>
      </c>
      <c r="R152" s="400" t="e">
        <f>'CAP18 Out(1)'!J110</f>
        <v>#VALUE!</v>
      </c>
      <c r="S152" s="400" t="e">
        <f>IF(E152=ABS(Q152),VLOOKUP('Bars B'!$F$10,BarTable,4,FALSE)/12,1.3*VLOOKUP('Bars A'!$F$10,BarTable,4,FALSE)/12)</f>
        <v>#VALUE!</v>
      </c>
      <c r="T152" s="626" t="e">
        <f t="shared" si="53"/>
        <v>#VALUE!</v>
      </c>
      <c r="U152" s="489" t="e">
        <f>IF(T152&gt;S152,IF(E152=ABS(R152),'Bars A'!$I$13,'Bars B'!$I$13),0.0000000001)</f>
        <v>#VALUE!</v>
      </c>
      <c r="V152" s="483" t="e">
        <f t="shared" si="54"/>
        <v>#VALUE!</v>
      </c>
      <c r="W152" s="627" t="e">
        <f t="shared" si="55"/>
        <v>#VALUE!</v>
      </c>
      <c r="X152" s="628" t="e">
        <f t="shared" si="56"/>
        <v>#VALUE!</v>
      </c>
      <c r="Y152" s="489" t="e">
        <f t="shared" si="57"/>
        <v>#VALUE!</v>
      </c>
      <c r="Z152" s="629" t="e">
        <f t="shared" si="58"/>
        <v>#VALUE!</v>
      </c>
      <c r="AA152" s="626" t="e">
        <f t="shared" si="59"/>
        <v>#VALUE!</v>
      </c>
      <c r="AB152" s="481" t="e">
        <f>MATCH(V152,Reference!$S$7:$S$17,1)</f>
        <v>#VALUE!</v>
      </c>
      <c r="AC152" s="1388" t="e">
        <f>12-MATCH(V152,Reference!$AD$6:$AD$16,-1)</f>
        <v>#VALUE!</v>
      </c>
      <c r="AD152" s="482" t="e">
        <f>MATCH(X152,Reference!$T$6:$AB$6,1)</f>
        <v>#VALUE!</v>
      </c>
      <c r="AE152" s="482" t="e">
        <f>10-MATCH(X152,Reference!$AD$18:$AL$18,-1)</f>
        <v>#VALUE!</v>
      </c>
      <c r="AF152" s="482" t="e">
        <f>INDEX(Reference!$T$7:$AB$17,AB152,AD152)</f>
        <v>#VALUE!</v>
      </c>
      <c r="AG152" s="482" t="e">
        <f>INDEX(Reference!$T$7:$AB$17,AB152,AE152)</f>
        <v>#VALUE!</v>
      </c>
      <c r="AH152" s="482" t="e">
        <f>INDEX(Reference!$T$7:$AB$17,AC152,AD152)</f>
        <v>#VALUE!</v>
      </c>
      <c r="AI152" s="482" t="e">
        <f>INDEX(Reference!$T$7:$AB$17,AC152,AE152)</f>
        <v>#VALUE!</v>
      </c>
      <c r="AJ152" s="482" t="e">
        <f>INDEX(Reference!$T$23:$AB$33,AB152,AD152)</f>
        <v>#VALUE!</v>
      </c>
      <c r="AK152" s="482" t="e">
        <f>INDEX(Reference!$T$23:$AB$33,AB152,AE152)</f>
        <v>#VALUE!</v>
      </c>
      <c r="AL152" s="482" t="e">
        <f>INDEX(Reference!$T$23:$AB$33,AC152,AD152)</f>
        <v>#VALUE!</v>
      </c>
      <c r="AM152" s="482" t="e">
        <f>INDEX(Reference!$T$23:$AB$33,AC152,AE152)</f>
        <v>#VALUE!</v>
      </c>
      <c r="AN152" s="483" t="e">
        <f>INDEX(Reference!$S$7:$S$17,AB152,1)</f>
        <v>#VALUE!</v>
      </c>
      <c r="AO152" s="483" t="e">
        <f>INDEX(Reference!$S$7:$S$17,AC152,1)</f>
        <v>#VALUE!</v>
      </c>
      <c r="AP152" s="484" t="e">
        <f>INDEX(Reference!$T$6:$AB$6,1,AD152)</f>
        <v>#VALUE!</v>
      </c>
      <c r="AQ152" s="484" t="e">
        <f>INDEX(Reference!$T$6:$AB$6,1,AE152)</f>
        <v>#VALUE!</v>
      </c>
      <c r="AR152" s="629" t="e">
        <f t="shared" si="60"/>
        <v>#VALUE!</v>
      </c>
      <c r="AS152" s="629" t="e">
        <f t="shared" si="61"/>
        <v>#VALUE!</v>
      </c>
      <c r="AT152" s="629" t="e">
        <f t="shared" si="62"/>
        <v>#VALUE!</v>
      </c>
      <c r="AU152" s="629" t="e">
        <f t="shared" si="63"/>
        <v>#VALUE!</v>
      </c>
      <c r="AV152" s="629" t="e">
        <f t="shared" si="64"/>
        <v>#VALUE!</v>
      </c>
      <c r="AW152" s="630" t="e">
        <f t="shared" si="65"/>
        <v>#VALUE!</v>
      </c>
      <c r="AZ152" s="489" t="str">
        <f t="shared" si="66"/>
        <v/>
      </c>
      <c r="BA152" s="631" t="e">
        <f t="shared" si="71"/>
        <v>#VALUE!</v>
      </c>
      <c r="BB152" s="491" t="e">
        <f t="shared" si="71"/>
        <v>#VALUE!</v>
      </c>
      <c r="BC152" s="491" t="e">
        <f t="shared" si="71"/>
        <v>#VALUE!</v>
      </c>
      <c r="BD152" s="491" t="e">
        <f t="shared" si="71"/>
        <v>#VALUE!</v>
      </c>
      <c r="BE152" s="491" t="e">
        <f t="shared" si="71"/>
        <v>#VALUE!</v>
      </c>
      <c r="BF152" s="491" t="e">
        <f t="shared" si="71"/>
        <v>#VALUE!</v>
      </c>
      <c r="BG152" s="491" t="e">
        <f t="shared" si="71"/>
        <v>#VALUE!</v>
      </c>
      <c r="BH152" s="491" t="e">
        <f t="shared" si="71"/>
        <v>#VALUE!</v>
      </c>
      <c r="BI152" s="491" t="e">
        <f t="shared" si="71"/>
        <v>#VALUE!</v>
      </c>
      <c r="BJ152" s="491" t="e">
        <f t="shared" si="71"/>
        <v>#VALUE!</v>
      </c>
      <c r="BK152" s="400">
        <f t="shared" si="67"/>
        <v>102</v>
      </c>
      <c r="BL152" s="491" t="e">
        <f t="shared" si="68"/>
        <v>#VALUE!</v>
      </c>
      <c r="BM152" s="491" t="e">
        <f t="shared" si="68"/>
        <v>#VALUE!</v>
      </c>
      <c r="BN152" s="491" t="e">
        <f t="shared" si="68"/>
        <v>#VALUE!</v>
      </c>
      <c r="BO152" s="491" t="e">
        <f t="shared" si="68"/>
        <v>#VALUE!</v>
      </c>
      <c r="BP152" s="622" t="e">
        <f t="shared" si="69"/>
        <v>#VALUE!</v>
      </c>
      <c r="BQ152" s="274" t="e">
        <f>IF(L152="","Column",IF(OR(C152&lt;MAX(ColSpa1,Geometry!$J$107),C152&gt;MAX(MAX(Geometry!$I$107:$I$116),MAX(Geometry!$J$107:$J$116))),MIN(6,INDEX($O$45:$O$48,MATCH(L152,$O$45:$O$48,1),1)),INDEX($O$45:$O$48,MATCH(L152,$O$45:$O$48,1),1)))</f>
        <v>#VALUE!</v>
      </c>
    </row>
    <row r="153" spans="1:69">
      <c r="A153" s="339"/>
      <c r="B153" s="96" t="e">
        <f>IF(MIN(ABS(C153-INDEX(Geometry!$Q$104:$Q$113,IF(ISERROR(MATCH(C153,Geometry!$Q$104:$Q$113,1)),1,MATCH(C153,Geometry!$Q$104:$Q$113,1)),1)),ABS(C153-INDEX(Geometry!$Q$104:$Q$113,IF(ISERROR(MAX(11-MATCH(C153,Geometry!$R$104:$R$113,-1),1)),1,MAX(11-MATCH(C153,Geometry!$R$104:$R$113,-1),1)),1)))&lt;(halfeffectiveface/12),"#","")</f>
        <v>#VALUE!</v>
      </c>
      <c r="C153" s="96" t="str">
        <f>'CAP18 Out(1)'!D111</f>
        <v/>
      </c>
      <c r="D153" s="184" t="str">
        <f>'CAP18 Out(1)'!M111</f>
        <v/>
      </c>
      <c r="E153" s="179" t="e">
        <f t="shared" si="43"/>
        <v>#VALUE!</v>
      </c>
      <c r="F153" s="87" t="e">
        <f t="shared" si="44"/>
        <v>#VALUE!</v>
      </c>
      <c r="G153" s="87" t="e">
        <f t="shared" si="45"/>
        <v>#VALUE!</v>
      </c>
      <c r="H153" s="185" t="e">
        <f t="shared" si="46"/>
        <v>#VALUE!</v>
      </c>
      <c r="I153" s="184" t="e">
        <f t="shared" si="47"/>
        <v>#VALUE!</v>
      </c>
      <c r="J153" s="184">
        <f t="shared" si="48"/>
        <v>0</v>
      </c>
      <c r="K153" s="184">
        <f t="shared" si="49"/>
        <v>0</v>
      </c>
      <c r="L153" s="296" t="e">
        <f t="shared" si="50"/>
        <v>#VALUE!</v>
      </c>
      <c r="M153" s="294" t="e">
        <f>IF(L153="Column","",IF(OR(C153&lt;MAX(ColSpa1,Geometry!$J$107),C153&gt;MAX(MAX(Geometry!$I$107:$I$116),MAX(Geometry!$J$107:$J$116))),"OH - 6''",""))</f>
        <v>#VALUE!</v>
      </c>
      <c r="N153" s="1053">
        <v>36.399999999999984</v>
      </c>
      <c r="O153" s="489">
        <f t="shared" si="51"/>
        <v>0</v>
      </c>
      <c r="P153" s="489">
        <f t="shared" si="52"/>
        <v>0</v>
      </c>
      <c r="Q153" s="400" t="e">
        <f>'CAP18 Out(1)'!I111</f>
        <v>#VALUE!</v>
      </c>
      <c r="R153" s="400" t="e">
        <f>'CAP18 Out(1)'!J111</f>
        <v>#VALUE!</v>
      </c>
      <c r="S153" s="400" t="e">
        <f>IF(E153=ABS(Q153),VLOOKUP('Bars B'!$F$10,BarTable,4,FALSE)/12,1.3*VLOOKUP('Bars A'!$F$10,BarTable,4,FALSE)/12)</f>
        <v>#VALUE!</v>
      </c>
      <c r="T153" s="626" t="e">
        <f t="shared" si="53"/>
        <v>#VALUE!</v>
      </c>
      <c r="U153" s="489" t="e">
        <f>IF(T153&gt;S153,IF(E153=ABS(R153),'Bars A'!$I$13,'Bars B'!$I$13),0.0000000001)</f>
        <v>#VALUE!</v>
      </c>
      <c r="V153" s="483" t="e">
        <f t="shared" si="54"/>
        <v>#VALUE!</v>
      </c>
      <c r="W153" s="627" t="e">
        <f t="shared" si="55"/>
        <v>#VALUE!</v>
      </c>
      <c r="X153" s="628" t="e">
        <f t="shared" si="56"/>
        <v>#VALUE!</v>
      </c>
      <c r="Y153" s="489" t="e">
        <f t="shared" si="57"/>
        <v>#VALUE!</v>
      </c>
      <c r="Z153" s="629" t="e">
        <f t="shared" si="58"/>
        <v>#VALUE!</v>
      </c>
      <c r="AA153" s="626" t="e">
        <f t="shared" si="59"/>
        <v>#VALUE!</v>
      </c>
      <c r="AB153" s="481" t="e">
        <f>MATCH(V153,Reference!$S$7:$S$17,1)</f>
        <v>#VALUE!</v>
      </c>
      <c r="AC153" s="1388" t="e">
        <f>12-MATCH(V153,Reference!$AD$6:$AD$16,-1)</f>
        <v>#VALUE!</v>
      </c>
      <c r="AD153" s="482" t="e">
        <f>MATCH(X153,Reference!$T$6:$AB$6,1)</f>
        <v>#VALUE!</v>
      </c>
      <c r="AE153" s="482" t="e">
        <f>10-MATCH(X153,Reference!$AD$18:$AL$18,-1)</f>
        <v>#VALUE!</v>
      </c>
      <c r="AF153" s="482" t="e">
        <f>INDEX(Reference!$T$7:$AB$17,AB153,AD153)</f>
        <v>#VALUE!</v>
      </c>
      <c r="AG153" s="482" t="e">
        <f>INDEX(Reference!$T$7:$AB$17,AB153,AE153)</f>
        <v>#VALUE!</v>
      </c>
      <c r="AH153" s="482" t="e">
        <f>INDEX(Reference!$T$7:$AB$17,AC153,AD153)</f>
        <v>#VALUE!</v>
      </c>
      <c r="AI153" s="482" t="e">
        <f>INDEX(Reference!$T$7:$AB$17,AC153,AE153)</f>
        <v>#VALUE!</v>
      </c>
      <c r="AJ153" s="482" t="e">
        <f>INDEX(Reference!$T$23:$AB$33,AB153,AD153)</f>
        <v>#VALUE!</v>
      </c>
      <c r="AK153" s="482" t="e">
        <f>INDEX(Reference!$T$23:$AB$33,AB153,AE153)</f>
        <v>#VALUE!</v>
      </c>
      <c r="AL153" s="482" t="e">
        <f>INDEX(Reference!$T$23:$AB$33,AC153,AD153)</f>
        <v>#VALUE!</v>
      </c>
      <c r="AM153" s="482" t="e">
        <f>INDEX(Reference!$T$23:$AB$33,AC153,AE153)</f>
        <v>#VALUE!</v>
      </c>
      <c r="AN153" s="483" t="e">
        <f>INDEX(Reference!$S$7:$S$17,AB153,1)</f>
        <v>#VALUE!</v>
      </c>
      <c r="AO153" s="483" t="e">
        <f>INDEX(Reference!$S$7:$S$17,AC153,1)</f>
        <v>#VALUE!</v>
      </c>
      <c r="AP153" s="484" t="e">
        <f>INDEX(Reference!$T$6:$AB$6,1,AD153)</f>
        <v>#VALUE!</v>
      </c>
      <c r="AQ153" s="484" t="e">
        <f>INDEX(Reference!$T$6:$AB$6,1,AE153)</f>
        <v>#VALUE!</v>
      </c>
      <c r="AR153" s="629" t="e">
        <f t="shared" si="60"/>
        <v>#VALUE!</v>
      </c>
      <c r="AS153" s="629" t="e">
        <f t="shared" si="61"/>
        <v>#VALUE!</v>
      </c>
      <c r="AT153" s="629" t="e">
        <f t="shared" si="62"/>
        <v>#VALUE!</v>
      </c>
      <c r="AU153" s="629" t="e">
        <f t="shared" si="63"/>
        <v>#VALUE!</v>
      </c>
      <c r="AV153" s="629" t="e">
        <f t="shared" si="64"/>
        <v>#VALUE!</v>
      </c>
      <c r="AW153" s="630" t="e">
        <f t="shared" si="65"/>
        <v>#VALUE!</v>
      </c>
      <c r="AZ153" s="489" t="str">
        <f t="shared" si="66"/>
        <v/>
      </c>
      <c r="BA153" s="631" t="e">
        <f t="shared" si="71"/>
        <v>#VALUE!</v>
      </c>
      <c r="BB153" s="491" t="e">
        <f t="shared" si="71"/>
        <v>#VALUE!</v>
      </c>
      <c r="BC153" s="491" t="e">
        <f t="shared" si="71"/>
        <v>#VALUE!</v>
      </c>
      <c r="BD153" s="491" t="e">
        <f t="shared" si="71"/>
        <v>#VALUE!</v>
      </c>
      <c r="BE153" s="491" t="e">
        <f t="shared" si="71"/>
        <v>#VALUE!</v>
      </c>
      <c r="BF153" s="491" t="e">
        <f t="shared" si="71"/>
        <v>#VALUE!</v>
      </c>
      <c r="BG153" s="491" t="e">
        <f t="shared" si="71"/>
        <v>#VALUE!</v>
      </c>
      <c r="BH153" s="491" t="e">
        <f t="shared" si="71"/>
        <v>#VALUE!</v>
      </c>
      <c r="BI153" s="491" t="e">
        <f t="shared" si="71"/>
        <v>#VALUE!</v>
      </c>
      <c r="BJ153" s="491" t="e">
        <f t="shared" si="71"/>
        <v>#VALUE!</v>
      </c>
      <c r="BK153" s="400">
        <f t="shared" si="67"/>
        <v>103</v>
      </c>
      <c r="BL153" s="491" t="e">
        <f t="shared" si="68"/>
        <v>#VALUE!</v>
      </c>
      <c r="BM153" s="491" t="e">
        <f t="shared" si="68"/>
        <v>#VALUE!</v>
      </c>
      <c r="BN153" s="491" t="e">
        <f t="shared" si="68"/>
        <v>#VALUE!</v>
      </c>
      <c r="BO153" s="491" t="e">
        <f t="shared" si="68"/>
        <v>#VALUE!</v>
      </c>
      <c r="BP153" s="622" t="e">
        <f t="shared" si="69"/>
        <v>#VALUE!</v>
      </c>
      <c r="BQ153" s="274" t="e">
        <f>IF(L153="","Column",IF(OR(C153&lt;MAX(ColSpa1,Geometry!$J$107),C153&gt;MAX(MAX(Geometry!$I$107:$I$116),MAX(Geometry!$J$107:$J$116))),MIN(6,INDEX($O$45:$O$48,MATCH(L153,$O$45:$O$48,1),1)),INDEX($O$45:$O$48,MATCH(L153,$O$45:$O$48,1),1)))</f>
        <v>#VALUE!</v>
      </c>
    </row>
    <row r="154" spans="1:69">
      <c r="A154" s="339"/>
      <c r="B154" s="96" t="e">
        <f>IF(MIN(ABS(C154-INDEX(Geometry!$Q$104:$Q$113,IF(ISERROR(MATCH(C154,Geometry!$Q$104:$Q$113,1)),1,MATCH(C154,Geometry!$Q$104:$Q$113,1)),1)),ABS(C154-INDEX(Geometry!$Q$104:$Q$113,IF(ISERROR(MAX(11-MATCH(C154,Geometry!$R$104:$R$113,-1),1)),1,MAX(11-MATCH(C154,Geometry!$R$104:$R$113,-1),1)),1)))&lt;(halfeffectiveface/12),"#","")</f>
        <v>#VALUE!</v>
      </c>
      <c r="C154" s="96" t="str">
        <f>'CAP18 Out(1)'!D112</f>
        <v/>
      </c>
      <c r="D154" s="184" t="str">
        <f>'CAP18 Out(1)'!M112</f>
        <v/>
      </c>
      <c r="E154" s="179" t="e">
        <f t="shared" si="43"/>
        <v>#VALUE!</v>
      </c>
      <c r="F154" s="87" t="e">
        <f t="shared" si="44"/>
        <v>#VALUE!</v>
      </c>
      <c r="G154" s="87" t="e">
        <f t="shared" si="45"/>
        <v>#VALUE!</v>
      </c>
      <c r="H154" s="185" t="e">
        <f t="shared" si="46"/>
        <v>#VALUE!</v>
      </c>
      <c r="I154" s="184" t="e">
        <f t="shared" si="47"/>
        <v>#VALUE!</v>
      </c>
      <c r="J154" s="184">
        <f t="shared" si="48"/>
        <v>0</v>
      </c>
      <c r="K154" s="184">
        <f t="shared" si="49"/>
        <v>0</v>
      </c>
      <c r="L154" s="296" t="e">
        <f t="shared" si="50"/>
        <v>#VALUE!</v>
      </c>
      <c r="M154" s="294" t="e">
        <f>IF(L154="Column","",IF(OR(C154&lt;MAX(ColSpa1,Geometry!$J$107),C154&gt;MAX(MAX(Geometry!$I$107:$I$116),MAX(Geometry!$J$107:$J$116))),"OH - 6''",""))</f>
        <v>#VALUE!</v>
      </c>
      <c r="N154" s="1053">
        <v>21.8</v>
      </c>
      <c r="O154" s="489">
        <f t="shared" si="51"/>
        <v>0</v>
      </c>
      <c r="P154" s="489">
        <f t="shared" si="52"/>
        <v>0</v>
      </c>
      <c r="Q154" s="400" t="e">
        <f>'CAP18 Out(1)'!I112</f>
        <v>#VALUE!</v>
      </c>
      <c r="R154" s="400" t="e">
        <f>'CAP18 Out(1)'!J112</f>
        <v>#VALUE!</v>
      </c>
      <c r="S154" s="400" t="e">
        <f>IF(E154=ABS(Q154),VLOOKUP('Bars B'!$F$10,BarTable,4,FALSE)/12,1.3*VLOOKUP('Bars A'!$F$10,BarTable,4,FALSE)/12)</f>
        <v>#VALUE!</v>
      </c>
      <c r="T154" s="626" t="e">
        <f t="shared" si="53"/>
        <v>#VALUE!</v>
      </c>
      <c r="U154" s="489" t="e">
        <f>IF(T154&gt;S154,IF(E154=ABS(R154),'Bars A'!$I$13,'Bars B'!$I$13),0.0000000001)</f>
        <v>#VALUE!</v>
      </c>
      <c r="V154" s="483" t="e">
        <f t="shared" si="54"/>
        <v>#VALUE!</v>
      </c>
      <c r="W154" s="627" t="e">
        <f t="shared" si="55"/>
        <v>#VALUE!</v>
      </c>
      <c r="X154" s="628" t="e">
        <f t="shared" si="56"/>
        <v>#VALUE!</v>
      </c>
      <c r="Y154" s="489" t="e">
        <f t="shared" si="57"/>
        <v>#VALUE!</v>
      </c>
      <c r="Z154" s="629" t="e">
        <f t="shared" si="58"/>
        <v>#VALUE!</v>
      </c>
      <c r="AA154" s="626" t="e">
        <f t="shared" si="59"/>
        <v>#VALUE!</v>
      </c>
      <c r="AB154" s="481" t="e">
        <f>MATCH(V154,Reference!$S$7:$S$17,1)</f>
        <v>#VALUE!</v>
      </c>
      <c r="AC154" s="1388" t="e">
        <f>12-MATCH(V154,Reference!$AD$6:$AD$16,-1)</f>
        <v>#VALUE!</v>
      </c>
      <c r="AD154" s="482" t="e">
        <f>MATCH(X154,Reference!$T$6:$AB$6,1)</f>
        <v>#VALUE!</v>
      </c>
      <c r="AE154" s="482" t="e">
        <f>10-MATCH(X154,Reference!$AD$18:$AL$18,-1)</f>
        <v>#VALUE!</v>
      </c>
      <c r="AF154" s="482" t="e">
        <f>INDEX(Reference!$T$7:$AB$17,AB154,AD154)</f>
        <v>#VALUE!</v>
      </c>
      <c r="AG154" s="482" t="e">
        <f>INDEX(Reference!$T$7:$AB$17,AB154,AE154)</f>
        <v>#VALUE!</v>
      </c>
      <c r="AH154" s="482" t="e">
        <f>INDEX(Reference!$T$7:$AB$17,AC154,AD154)</f>
        <v>#VALUE!</v>
      </c>
      <c r="AI154" s="482" t="e">
        <f>INDEX(Reference!$T$7:$AB$17,AC154,AE154)</f>
        <v>#VALUE!</v>
      </c>
      <c r="AJ154" s="482" t="e">
        <f>INDEX(Reference!$T$23:$AB$33,AB154,AD154)</f>
        <v>#VALUE!</v>
      </c>
      <c r="AK154" s="482" t="e">
        <f>INDEX(Reference!$T$23:$AB$33,AB154,AE154)</f>
        <v>#VALUE!</v>
      </c>
      <c r="AL154" s="482" t="e">
        <f>INDEX(Reference!$T$23:$AB$33,AC154,AD154)</f>
        <v>#VALUE!</v>
      </c>
      <c r="AM154" s="482" t="e">
        <f>INDEX(Reference!$T$23:$AB$33,AC154,AE154)</f>
        <v>#VALUE!</v>
      </c>
      <c r="AN154" s="483" t="e">
        <f>INDEX(Reference!$S$7:$S$17,AB154,1)</f>
        <v>#VALUE!</v>
      </c>
      <c r="AO154" s="483" t="e">
        <f>INDEX(Reference!$S$7:$S$17,AC154,1)</f>
        <v>#VALUE!</v>
      </c>
      <c r="AP154" s="484" t="e">
        <f>INDEX(Reference!$T$6:$AB$6,1,AD154)</f>
        <v>#VALUE!</v>
      </c>
      <c r="AQ154" s="484" t="e">
        <f>INDEX(Reference!$T$6:$AB$6,1,AE154)</f>
        <v>#VALUE!</v>
      </c>
      <c r="AR154" s="629" t="e">
        <f t="shared" si="60"/>
        <v>#VALUE!</v>
      </c>
      <c r="AS154" s="629" t="e">
        <f t="shared" si="61"/>
        <v>#VALUE!</v>
      </c>
      <c r="AT154" s="629" t="e">
        <f t="shared" si="62"/>
        <v>#VALUE!</v>
      </c>
      <c r="AU154" s="629" t="e">
        <f t="shared" si="63"/>
        <v>#VALUE!</v>
      </c>
      <c r="AV154" s="629" t="e">
        <f t="shared" si="64"/>
        <v>#VALUE!</v>
      </c>
      <c r="AW154" s="630" t="e">
        <f t="shared" si="65"/>
        <v>#VALUE!</v>
      </c>
      <c r="AZ154" s="489" t="str">
        <f t="shared" si="66"/>
        <v/>
      </c>
      <c r="BA154" s="631" t="e">
        <f t="shared" si="71"/>
        <v>#VALUE!</v>
      </c>
      <c r="BB154" s="491" t="e">
        <f t="shared" si="71"/>
        <v>#VALUE!</v>
      </c>
      <c r="BC154" s="491" t="e">
        <f t="shared" si="71"/>
        <v>#VALUE!</v>
      </c>
      <c r="BD154" s="491" t="e">
        <f t="shared" si="71"/>
        <v>#VALUE!</v>
      </c>
      <c r="BE154" s="491" t="e">
        <f t="shared" si="71"/>
        <v>#VALUE!</v>
      </c>
      <c r="BF154" s="491" t="e">
        <f t="shared" si="71"/>
        <v>#VALUE!</v>
      </c>
      <c r="BG154" s="491" t="e">
        <f t="shared" si="71"/>
        <v>#VALUE!</v>
      </c>
      <c r="BH154" s="491" t="e">
        <f t="shared" si="71"/>
        <v>#VALUE!</v>
      </c>
      <c r="BI154" s="491" t="e">
        <f t="shared" si="71"/>
        <v>#VALUE!</v>
      </c>
      <c r="BJ154" s="491" t="e">
        <f t="shared" si="71"/>
        <v>#VALUE!</v>
      </c>
      <c r="BK154" s="400">
        <f t="shared" si="67"/>
        <v>104</v>
      </c>
      <c r="BL154" s="491" t="e">
        <f t="shared" si="68"/>
        <v>#VALUE!</v>
      </c>
      <c r="BM154" s="491" t="e">
        <f t="shared" si="68"/>
        <v>#VALUE!</v>
      </c>
      <c r="BN154" s="491" t="e">
        <f t="shared" si="68"/>
        <v>#VALUE!</v>
      </c>
      <c r="BO154" s="491" t="e">
        <f t="shared" si="68"/>
        <v>#VALUE!</v>
      </c>
      <c r="BP154" s="622" t="e">
        <f t="shared" si="69"/>
        <v>#VALUE!</v>
      </c>
      <c r="BQ154" s="274" t="e">
        <f>IF(L154="","Column",IF(OR(C154&lt;MAX(ColSpa1,Geometry!$J$107),C154&gt;MAX(MAX(Geometry!$I$107:$I$116),MAX(Geometry!$J$107:$J$116))),MIN(6,INDEX($O$45:$O$48,MATCH(L154,$O$45:$O$48,1),1)),INDEX($O$45:$O$48,MATCH(L154,$O$45:$O$48,1),1)))</f>
        <v>#VALUE!</v>
      </c>
    </row>
    <row r="155" spans="1:69">
      <c r="A155" s="339"/>
      <c r="B155" s="96" t="e">
        <f>IF(MIN(ABS(C155-INDEX(Geometry!$Q$104:$Q$113,IF(ISERROR(MATCH(C155,Geometry!$Q$104:$Q$113,1)),1,MATCH(C155,Geometry!$Q$104:$Q$113,1)),1)),ABS(C155-INDEX(Geometry!$Q$104:$Q$113,IF(ISERROR(MAX(11-MATCH(C155,Geometry!$R$104:$R$113,-1),1)),1,MAX(11-MATCH(C155,Geometry!$R$104:$R$113,-1),1)),1)))&lt;(halfeffectiveface/12),"#","")</f>
        <v>#VALUE!</v>
      </c>
      <c r="C155" s="96" t="str">
        <f>'CAP18 Out(1)'!D113</f>
        <v/>
      </c>
      <c r="D155" s="184" t="str">
        <f>'CAP18 Out(1)'!M113</f>
        <v/>
      </c>
      <c r="E155" s="179" t="e">
        <f t="shared" si="43"/>
        <v>#VALUE!</v>
      </c>
      <c r="F155" s="87" t="e">
        <f t="shared" si="44"/>
        <v>#VALUE!</v>
      </c>
      <c r="G155" s="87" t="e">
        <f t="shared" si="45"/>
        <v>#VALUE!</v>
      </c>
      <c r="H155" s="185" t="e">
        <f t="shared" si="46"/>
        <v>#VALUE!</v>
      </c>
      <c r="I155" s="184" t="e">
        <f t="shared" si="47"/>
        <v>#VALUE!</v>
      </c>
      <c r="J155" s="184">
        <f t="shared" si="48"/>
        <v>0</v>
      </c>
      <c r="K155" s="184">
        <f t="shared" si="49"/>
        <v>0</v>
      </c>
      <c r="L155" s="296" t="e">
        <f t="shared" si="50"/>
        <v>#VALUE!</v>
      </c>
      <c r="M155" s="294" t="e">
        <f>IF(L155="Column","",IF(OR(C155&lt;MAX(ColSpa1,Geometry!$J$107),C155&gt;MAX(MAX(Geometry!$I$107:$I$116),MAX(Geometry!$J$107:$J$116))),"OH - 6''",""))</f>
        <v>#VALUE!</v>
      </c>
      <c r="N155" s="1053">
        <v>21.8</v>
      </c>
      <c r="O155" s="489">
        <f t="shared" si="51"/>
        <v>0</v>
      </c>
      <c r="P155" s="489">
        <f t="shared" si="52"/>
        <v>0</v>
      </c>
      <c r="Q155" s="400" t="e">
        <f>'CAP18 Out(1)'!I113</f>
        <v>#VALUE!</v>
      </c>
      <c r="R155" s="400" t="e">
        <f>'CAP18 Out(1)'!J113</f>
        <v>#VALUE!</v>
      </c>
      <c r="S155" s="400" t="e">
        <f>IF(E155=ABS(Q155),VLOOKUP('Bars B'!$F$10,BarTable,4,FALSE)/12,1.3*VLOOKUP('Bars A'!$F$10,BarTable,4,FALSE)/12)</f>
        <v>#VALUE!</v>
      </c>
      <c r="T155" s="626" t="e">
        <f t="shared" si="53"/>
        <v>#VALUE!</v>
      </c>
      <c r="U155" s="489" t="e">
        <f>IF(T155&gt;S155,IF(E155=ABS(R155),'Bars A'!$I$13,'Bars B'!$I$13),0.0000000001)</f>
        <v>#VALUE!</v>
      </c>
      <c r="V155" s="483" t="e">
        <f t="shared" si="54"/>
        <v>#VALUE!</v>
      </c>
      <c r="W155" s="627" t="e">
        <f t="shared" si="55"/>
        <v>#VALUE!</v>
      </c>
      <c r="X155" s="628" t="e">
        <f t="shared" si="56"/>
        <v>#VALUE!</v>
      </c>
      <c r="Y155" s="489" t="e">
        <f t="shared" si="57"/>
        <v>#VALUE!</v>
      </c>
      <c r="Z155" s="629" t="e">
        <f t="shared" si="58"/>
        <v>#VALUE!</v>
      </c>
      <c r="AA155" s="626" t="e">
        <f t="shared" si="59"/>
        <v>#VALUE!</v>
      </c>
      <c r="AB155" s="481" t="e">
        <f>MATCH(V155,Reference!$S$7:$S$17,1)</f>
        <v>#VALUE!</v>
      </c>
      <c r="AC155" s="1388" t="e">
        <f>12-MATCH(V155,Reference!$AD$6:$AD$16,-1)</f>
        <v>#VALUE!</v>
      </c>
      <c r="AD155" s="482" t="e">
        <f>MATCH(X155,Reference!$T$6:$AB$6,1)</f>
        <v>#VALUE!</v>
      </c>
      <c r="AE155" s="482" t="e">
        <f>10-MATCH(X155,Reference!$AD$18:$AL$18,-1)</f>
        <v>#VALUE!</v>
      </c>
      <c r="AF155" s="482" t="e">
        <f>INDEX(Reference!$T$7:$AB$17,AB155,AD155)</f>
        <v>#VALUE!</v>
      </c>
      <c r="AG155" s="482" t="e">
        <f>INDEX(Reference!$T$7:$AB$17,AB155,AE155)</f>
        <v>#VALUE!</v>
      </c>
      <c r="AH155" s="482" t="e">
        <f>INDEX(Reference!$T$7:$AB$17,AC155,AD155)</f>
        <v>#VALUE!</v>
      </c>
      <c r="AI155" s="482" t="e">
        <f>INDEX(Reference!$T$7:$AB$17,AC155,AE155)</f>
        <v>#VALUE!</v>
      </c>
      <c r="AJ155" s="482" t="e">
        <f>INDEX(Reference!$T$23:$AB$33,AB155,AD155)</f>
        <v>#VALUE!</v>
      </c>
      <c r="AK155" s="482" t="e">
        <f>INDEX(Reference!$T$23:$AB$33,AB155,AE155)</f>
        <v>#VALUE!</v>
      </c>
      <c r="AL155" s="482" t="e">
        <f>INDEX(Reference!$T$23:$AB$33,AC155,AD155)</f>
        <v>#VALUE!</v>
      </c>
      <c r="AM155" s="482" t="e">
        <f>INDEX(Reference!$T$23:$AB$33,AC155,AE155)</f>
        <v>#VALUE!</v>
      </c>
      <c r="AN155" s="483" t="e">
        <f>INDEX(Reference!$S$7:$S$17,AB155,1)</f>
        <v>#VALUE!</v>
      </c>
      <c r="AO155" s="483" t="e">
        <f>INDEX(Reference!$S$7:$S$17,AC155,1)</f>
        <v>#VALUE!</v>
      </c>
      <c r="AP155" s="484" t="e">
        <f>INDEX(Reference!$T$6:$AB$6,1,AD155)</f>
        <v>#VALUE!</v>
      </c>
      <c r="AQ155" s="484" t="e">
        <f>INDEX(Reference!$T$6:$AB$6,1,AE155)</f>
        <v>#VALUE!</v>
      </c>
      <c r="AR155" s="629" t="e">
        <f t="shared" si="60"/>
        <v>#VALUE!</v>
      </c>
      <c r="AS155" s="629" t="e">
        <f t="shared" si="61"/>
        <v>#VALUE!</v>
      </c>
      <c r="AT155" s="629" t="e">
        <f t="shared" si="62"/>
        <v>#VALUE!</v>
      </c>
      <c r="AU155" s="629" t="e">
        <f t="shared" si="63"/>
        <v>#VALUE!</v>
      </c>
      <c r="AV155" s="629" t="e">
        <f t="shared" si="64"/>
        <v>#VALUE!</v>
      </c>
      <c r="AW155" s="630" t="e">
        <f t="shared" si="65"/>
        <v>#VALUE!</v>
      </c>
      <c r="AZ155" s="489" t="str">
        <f t="shared" si="66"/>
        <v/>
      </c>
      <c r="BA155" s="631" t="e">
        <f t="shared" si="71"/>
        <v>#VALUE!</v>
      </c>
      <c r="BB155" s="491" t="e">
        <f t="shared" si="71"/>
        <v>#VALUE!</v>
      </c>
      <c r="BC155" s="491" t="e">
        <f t="shared" si="71"/>
        <v>#VALUE!</v>
      </c>
      <c r="BD155" s="491" t="e">
        <f t="shared" si="71"/>
        <v>#VALUE!</v>
      </c>
      <c r="BE155" s="491" t="e">
        <f t="shared" si="71"/>
        <v>#VALUE!</v>
      </c>
      <c r="BF155" s="491" t="e">
        <f t="shared" si="71"/>
        <v>#VALUE!</v>
      </c>
      <c r="BG155" s="491" t="e">
        <f t="shared" si="71"/>
        <v>#VALUE!</v>
      </c>
      <c r="BH155" s="491" t="e">
        <f t="shared" si="71"/>
        <v>#VALUE!</v>
      </c>
      <c r="BI155" s="491" t="e">
        <f t="shared" si="71"/>
        <v>#VALUE!</v>
      </c>
      <c r="BJ155" s="491" t="e">
        <f t="shared" si="71"/>
        <v>#VALUE!</v>
      </c>
      <c r="BK155" s="400">
        <f t="shared" si="67"/>
        <v>105</v>
      </c>
      <c r="BL155" s="491" t="e">
        <f t="shared" si="68"/>
        <v>#VALUE!</v>
      </c>
      <c r="BM155" s="491" t="e">
        <f t="shared" si="68"/>
        <v>#VALUE!</v>
      </c>
      <c r="BN155" s="491" t="e">
        <f t="shared" si="68"/>
        <v>#VALUE!</v>
      </c>
      <c r="BO155" s="491" t="e">
        <f t="shared" si="68"/>
        <v>#VALUE!</v>
      </c>
      <c r="BP155" s="622" t="e">
        <f t="shared" si="69"/>
        <v>#VALUE!</v>
      </c>
      <c r="BQ155" s="274" t="e">
        <f>IF(L155="","Column",IF(OR(C155&lt;MAX(ColSpa1,Geometry!$J$107),C155&gt;MAX(MAX(Geometry!$I$107:$I$116),MAX(Geometry!$J$107:$J$116))),MIN(6,INDEX($O$45:$O$48,MATCH(L155,$O$45:$O$48,1),1)),INDEX($O$45:$O$48,MATCH(L155,$O$45:$O$48,1),1)))</f>
        <v>#VALUE!</v>
      </c>
    </row>
    <row r="156" spans="1:69">
      <c r="B156" s="96"/>
      <c r="C156" s="96"/>
      <c r="D156" s="184"/>
      <c r="E156" s="179"/>
      <c r="F156" s="87"/>
      <c r="G156" s="87"/>
      <c r="H156" s="185"/>
      <c r="I156" s="184"/>
      <c r="J156" s="184"/>
      <c r="K156" s="184"/>
      <c r="L156" s="296"/>
      <c r="N156" s="1053"/>
      <c r="O156" s="489"/>
      <c r="P156" s="489"/>
      <c r="T156" s="626"/>
      <c r="U156" s="489"/>
      <c r="V156" s="483"/>
      <c r="W156" s="627"/>
      <c r="X156" s="628"/>
      <c r="Y156" s="489"/>
      <c r="Z156" s="629"/>
      <c r="AA156" s="626"/>
      <c r="AB156" s="481"/>
      <c r="AC156" s="1388"/>
      <c r="AD156" s="482"/>
      <c r="AE156" s="482"/>
      <c r="AF156" s="482"/>
      <c r="AG156" s="482"/>
      <c r="AH156" s="482"/>
      <c r="AI156" s="482"/>
      <c r="AJ156" s="482"/>
      <c r="AK156" s="482"/>
      <c r="AL156" s="482"/>
      <c r="AM156" s="482"/>
      <c r="AN156" s="483"/>
      <c r="AO156" s="483"/>
      <c r="AP156" s="484"/>
      <c r="AQ156" s="484"/>
      <c r="AR156" s="629"/>
      <c r="AS156" s="629"/>
      <c r="AT156" s="629"/>
      <c r="AU156" s="629"/>
      <c r="AV156" s="629"/>
      <c r="AW156" s="630"/>
      <c r="AZ156" s="489"/>
      <c r="BA156" s="631"/>
      <c r="BB156" s="491"/>
      <c r="BC156" s="491"/>
      <c r="BD156" s="491"/>
      <c r="BE156" s="491"/>
      <c r="BF156" s="491"/>
      <c r="BG156" s="491"/>
      <c r="BH156" s="491"/>
      <c r="BI156" s="491"/>
      <c r="BJ156" s="491"/>
      <c r="BL156" s="491"/>
      <c r="BM156" s="491"/>
      <c r="BN156" s="491"/>
      <c r="BO156" s="491"/>
      <c r="BP156" s="622"/>
      <c r="BQ156" s="274"/>
    </row>
    <row r="157" spans="1:69">
      <c r="B157" s="96"/>
      <c r="C157" s="96"/>
      <c r="D157" s="184"/>
      <c r="E157" s="179"/>
      <c r="F157" s="87"/>
      <c r="G157" s="87"/>
      <c r="H157" s="185"/>
      <c r="I157" s="184"/>
      <c r="J157" s="184"/>
      <c r="K157" s="184"/>
      <c r="L157" s="296"/>
      <c r="N157" s="1053"/>
      <c r="O157" s="489"/>
      <c r="P157" s="489"/>
      <c r="T157" s="626"/>
      <c r="U157" s="489"/>
      <c r="V157" s="483"/>
      <c r="W157" s="627"/>
      <c r="X157" s="628"/>
      <c r="Y157" s="489"/>
      <c r="Z157" s="629"/>
      <c r="AA157" s="626"/>
      <c r="AB157" s="481"/>
      <c r="AC157" s="1388"/>
      <c r="AD157" s="482"/>
      <c r="AE157" s="482"/>
      <c r="AF157" s="482"/>
      <c r="AG157" s="482"/>
      <c r="AH157" s="482"/>
      <c r="AI157" s="482"/>
      <c r="AJ157" s="482"/>
      <c r="AK157" s="482"/>
      <c r="AL157" s="482"/>
      <c r="AM157" s="482"/>
      <c r="AN157" s="483"/>
      <c r="AO157" s="483"/>
      <c r="AP157" s="484"/>
      <c r="AQ157" s="484"/>
      <c r="AR157" s="629"/>
      <c r="AS157" s="629"/>
      <c r="AT157" s="629"/>
      <c r="AU157" s="629"/>
      <c r="AV157" s="629"/>
      <c r="AW157" s="630"/>
      <c r="AZ157" s="489"/>
      <c r="BA157" s="631"/>
      <c r="BB157" s="491"/>
      <c r="BC157" s="491"/>
      <c r="BD157" s="491"/>
      <c r="BE157" s="491"/>
      <c r="BF157" s="491"/>
      <c r="BG157" s="491"/>
      <c r="BH157" s="491"/>
      <c r="BI157" s="491"/>
      <c r="BJ157" s="491"/>
      <c r="BL157" s="491"/>
      <c r="BM157" s="491"/>
      <c r="BN157" s="491"/>
      <c r="BO157" s="491"/>
      <c r="BP157" s="622"/>
      <c r="BQ157" s="274"/>
    </row>
    <row r="158" spans="1:69">
      <c r="B158" s="96"/>
      <c r="C158" s="96"/>
      <c r="D158" s="184"/>
      <c r="E158" s="179"/>
      <c r="F158" s="87"/>
      <c r="G158" s="87"/>
      <c r="H158" s="185"/>
      <c r="I158" s="184"/>
      <c r="J158" s="184"/>
      <c r="K158" s="184"/>
      <c r="L158" s="296"/>
      <c r="N158" s="1053"/>
      <c r="O158" s="489"/>
      <c r="P158" s="489"/>
      <c r="T158" s="626"/>
      <c r="U158" s="489"/>
      <c r="V158" s="483"/>
      <c r="W158" s="627"/>
      <c r="X158" s="628"/>
      <c r="Y158" s="489"/>
      <c r="Z158" s="629"/>
      <c r="AA158" s="626"/>
      <c r="AB158" s="481"/>
      <c r="AC158" s="1388"/>
      <c r="AD158" s="482"/>
      <c r="AE158" s="482"/>
      <c r="AF158" s="482"/>
      <c r="AG158" s="482"/>
      <c r="AH158" s="482"/>
      <c r="AI158" s="482"/>
      <c r="AJ158" s="482"/>
      <c r="AK158" s="482"/>
      <c r="AL158" s="482"/>
      <c r="AM158" s="482"/>
      <c r="AN158" s="483"/>
      <c r="AO158" s="483"/>
      <c r="AP158" s="484"/>
      <c r="AQ158" s="484"/>
      <c r="AR158" s="629"/>
      <c r="AS158" s="629"/>
      <c r="AT158" s="629"/>
      <c r="AU158" s="629"/>
      <c r="AV158" s="629"/>
      <c r="AW158" s="630"/>
      <c r="AZ158" s="489"/>
      <c r="BA158" s="631"/>
      <c r="BB158" s="491"/>
      <c r="BC158" s="491"/>
      <c r="BD158" s="491"/>
      <c r="BE158" s="491"/>
      <c r="BF158" s="491"/>
      <c r="BG158" s="491"/>
      <c r="BH158" s="491"/>
      <c r="BI158" s="491"/>
      <c r="BJ158" s="491"/>
      <c r="BL158" s="491"/>
      <c r="BM158" s="491"/>
      <c r="BN158" s="491"/>
      <c r="BO158" s="491"/>
      <c r="BP158" s="622"/>
      <c r="BQ158" s="274"/>
    </row>
    <row r="159" spans="1:69">
      <c r="B159" s="96"/>
      <c r="C159" s="96"/>
      <c r="D159" s="184"/>
      <c r="E159" s="179"/>
      <c r="F159" s="87"/>
      <c r="G159" s="87"/>
      <c r="H159" s="185"/>
      <c r="I159" s="184"/>
      <c r="J159" s="184"/>
      <c r="K159" s="184"/>
      <c r="L159" s="296"/>
      <c r="N159" s="1053"/>
      <c r="O159" s="489"/>
      <c r="P159" s="489"/>
      <c r="T159" s="626"/>
      <c r="U159" s="489"/>
      <c r="V159" s="483"/>
      <c r="W159" s="627"/>
      <c r="X159" s="628"/>
      <c r="Y159" s="489"/>
      <c r="Z159" s="629"/>
      <c r="AA159" s="626"/>
      <c r="AB159" s="481"/>
      <c r="AC159" s="1388"/>
      <c r="AD159" s="482"/>
      <c r="AE159" s="482"/>
      <c r="AF159" s="482"/>
      <c r="AG159" s="482"/>
      <c r="AH159" s="482"/>
      <c r="AI159" s="482"/>
      <c r="AJ159" s="482"/>
      <c r="AK159" s="482"/>
      <c r="AL159" s="482"/>
      <c r="AM159" s="482"/>
      <c r="AN159" s="483"/>
      <c r="AO159" s="483"/>
      <c r="AP159" s="484"/>
      <c r="AQ159" s="484"/>
      <c r="AR159" s="629"/>
      <c r="AS159" s="629"/>
      <c r="AT159" s="629"/>
      <c r="AU159" s="629"/>
      <c r="AV159" s="629"/>
      <c r="AW159" s="630"/>
      <c r="AZ159" s="489"/>
      <c r="BA159" s="631"/>
      <c r="BB159" s="491"/>
      <c r="BC159" s="491"/>
      <c r="BD159" s="491"/>
      <c r="BE159" s="491"/>
      <c r="BF159" s="491"/>
      <c r="BG159" s="491"/>
      <c r="BH159" s="491"/>
      <c r="BI159" s="491"/>
      <c r="BJ159" s="491"/>
      <c r="BL159" s="491"/>
      <c r="BM159" s="491"/>
      <c r="BN159" s="491"/>
      <c r="BO159" s="491"/>
      <c r="BP159" s="622"/>
      <c r="BQ159" s="274"/>
    </row>
    <row r="160" spans="1:69">
      <c r="B160" s="96"/>
      <c r="C160" s="96"/>
      <c r="D160" s="184"/>
      <c r="E160" s="179"/>
      <c r="F160" s="87"/>
      <c r="G160" s="87"/>
      <c r="H160" s="185"/>
      <c r="I160" s="184"/>
      <c r="J160" s="184"/>
      <c r="K160" s="184"/>
      <c r="L160" s="296"/>
      <c r="N160" s="1053"/>
      <c r="O160" s="489"/>
      <c r="P160" s="489"/>
      <c r="T160" s="626"/>
      <c r="U160" s="489"/>
      <c r="V160" s="483"/>
      <c r="W160" s="627"/>
      <c r="X160" s="628"/>
      <c r="Y160" s="489"/>
      <c r="Z160" s="629"/>
      <c r="AA160" s="626"/>
      <c r="AB160" s="481"/>
      <c r="AC160" s="1388"/>
      <c r="AD160" s="482"/>
      <c r="AE160" s="482"/>
      <c r="AF160" s="482"/>
      <c r="AG160" s="482"/>
      <c r="AH160" s="482"/>
      <c r="AI160" s="482"/>
      <c r="AJ160" s="482"/>
      <c r="AK160" s="482"/>
      <c r="AL160" s="482"/>
      <c r="AM160" s="482"/>
      <c r="AN160" s="483"/>
      <c r="AO160" s="483"/>
      <c r="AP160" s="484"/>
      <c r="AQ160" s="484"/>
      <c r="AR160" s="629"/>
      <c r="AS160" s="629"/>
      <c r="AT160" s="629"/>
      <c r="AU160" s="629"/>
      <c r="AV160" s="629"/>
      <c r="AW160" s="630"/>
      <c r="AZ160" s="489"/>
      <c r="BA160" s="631"/>
      <c r="BB160" s="491"/>
      <c r="BC160" s="491"/>
      <c r="BD160" s="491"/>
      <c r="BE160" s="491"/>
      <c r="BF160" s="491"/>
      <c r="BG160" s="491"/>
      <c r="BH160" s="491"/>
      <c r="BI160" s="491"/>
      <c r="BJ160" s="491"/>
      <c r="BL160" s="491"/>
      <c r="BM160" s="491"/>
      <c r="BN160" s="491"/>
      <c r="BO160" s="491"/>
      <c r="BP160" s="622"/>
      <c r="BQ160" s="274"/>
    </row>
    <row r="161" spans="2:69">
      <c r="B161" s="96"/>
      <c r="C161" s="96"/>
      <c r="D161" s="184"/>
      <c r="E161" s="179"/>
      <c r="F161" s="87"/>
      <c r="G161" s="87"/>
      <c r="H161" s="185"/>
      <c r="I161" s="184"/>
      <c r="J161" s="184"/>
      <c r="K161" s="184"/>
      <c r="L161" s="296"/>
      <c r="N161" s="1053"/>
      <c r="O161" s="489"/>
      <c r="P161" s="489"/>
      <c r="T161" s="626"/>
      <c r="U161" s="489"/>
      <c r="V161" s="483"/>
      <c r="W161" s="627"/>
      <c r="X161" s="628"/>
      <c r="Y161" s="489"/>
      <c r="Z161" s="629"/>
      <c r="AA161" s="626"/>
      <c r="AB161" s="481"/>
      <c r="AC161" s="1388"/>
      <c r="AD161" s="482"/>
      <c r="AE161" s="482"/>
      <c r="AF161" s="482"/>
      <c r="AG161" s="482"/>
      <c r="AH161" s="482"/>
      <c r="AI161" s="482"/>
      <c r="AJ161" s="482"/>
      <c r="AK161" s="482"/>
      <c r="AL161" s="482"/>
      <c r="AM161" s="482"/>
      <c r="AN161" s="483"/>
      <c r="AO161" s="483"/>
      <c r="AP161" s="484"/>
      <c r="AQ161" s="484"/>
      <c r="AR161" s="629"/>
      <c r="AS161" s="629"/>
      <c r="AT161" s="629"/>
      <c r="AU161" s="629"/>
      <c r="AV161" s="629"/>
      <c r="AW161" s="630"/>
      <c r="AZ161" s="489"/>
      <c r="BA161" s="631"/>
      <c r="BB161" s="491"/>
      <c r="BC161" s="491"/>
      <c r="BD161" s="491"/>
      <c r="BE161" s="491"/>
      <c r="BF161" s="491"/>
      <c r="BG161" s="491"/>
      <c r="BH161" s="491"/>
      <c r="BI161" s="491"/>
      <c r="BJ161" s="491"/>
      <c r="BL161" s="491"/>
      <c r="BM161" s="491"/>
      <c r="BN161" s="491"/>
      <c r="BO161" s="491"/>
      <c r="BP161" s="622"/>
      <c r="BQ161" s="274"/>
    </row>
    <row r="162" spans="2:69">
      <c r="B162" s="96"/>
      <c r="C162" s="96"/>
      <c r="D162" s="184"/>
      <c r="E162" s="179"/>
      <c r="F162" s="87"/>
      <c r="G162" s="87"/>
      <c r="H162" s="185"/>
      <c r="I162" s="184"/>
      <c r="J162" s="184"/>
      <c r="K162" s="184"/>
      <c r="L162" s="296"/>
      <c r="N162" s="1053"/>
      <c r="O162" s="489"/>
      <c r="P162" s="489"/>
      <c r="T162" s="626"/>
      <c r="U162" s="489"/>
      <c r="V162" s="483"/>
      <c r="W162" s="627"/>
      <c r="X162" s="628"/>
      <c r="Y162" s="489"/>
      <c r="Z162" s="629"/>
      <c r="AA162" s="626"/>
      <c r="AB162" s="481"/>
      <c r="AC162" s="1388"/>
      <c r="AD162" s="482"/>
      <c r="AE162" s="482"/>
      <c r="AF162" s="482"/>
      <c r="AG162" s="482"/>
      <c r="AH162" s="482"/>
      <c r="AI162" s="482"/>
      <c r="AJ162" s="482"/>
      <c r="AK162" s="482"/>
      <c r="AL162" s="482"/>
      <c r="AM162" s="482"/>
      <c r="AN162" s="483"/>
      <c r="AO162" s="483"/>
      <c r="AP162" s="484"/>
      <c r="AQ162" s="484"/>
      <c r="AR162" s="629"/>
      <c r="AS162" s="629"/>
      <c r="AT162" s="629"/>
      <c r="AU162" s="629"/>
      <c r="AV162" s="629"/>
      <c r="AW162" s="630"/>
      <c r="AZ162" s="489"/>
      <c r="BA162" s="631"/>
      <c r="BB162" s="491"/>
      <c r="BC162" s="491"/>
      <c r="BD162" s="491"/>
      <c r="BE162" s="491"/>
      <c r="BF162" s="491"/>
      <c r="BG162" s="491"/>
      <c r="BH162" s="491"/>
      <c r="BI162" s="491"/>
      <c r="BJ162" s="491"/>
      <c r="BL162" s="491"/>
      <c r="BM162" s="491"/>
      <c r="BN162" s="491"/>
      <c r="BO162" s="491"/>
      <c r="BP162" s="622"/>
      <c r="BQ162" s="274"/>
    </row>
    <row r="163" spans="2:69">
      <c r="B163" s="96"/>
      <c r="C163" s="96"/>
      <c r="D163" s="184"/>
      <c r="E163" s="179"/>
      <c r="F163" s="87"/>
      <c r="G163" s="87"/>
      <c r="H163" s="185"/>
      <c r="I163" s="184"/>
      <c r="J163" s="184"/>
      <c r="K163" s="184"/>
      <c r="L163" s="296"/>
      <c r="N163" s="1053"/>
      <c r="O163" s="489"/>
      <c r="P163" s="489"/>
      <c r="T163" s="626"/>
      <c r="U163" s="489"/>
      <c r="V163" s="483"/>
      <c r="W163" s="627"/>
      <c r="X163" s="628"/>
      <c r="Y163" s="489"/>
      <c r="Z163" s="629"/>
      <c r="AA163" s="626"/>
      <c r="AB163" s="481"/>
      <c r="AC163" s="1388"/>
      <c r="AD163" s="482"/>
      <c r="AE163" s="482"/>
      <c r="AF163" s="482"/>
      <c r="AG163" s="482"/>
      <c r="AH163" s="482"/>
      <c r="AI163" s="482"/>
      <c r="AJ163" s="482"/>
      <c r="AK163" s="482"/>
      <c r="AL163" s="482"/>
      <c r="AM163" s="482"/>
      <c r="AN163" s="483"/>
      <c r="AO163" s="483"/>
      <c r="AP163" s="484"/>
      <c r="AQ163" s="484"/>
      <c r="AR163" s="629"/>
      <c r="AS163" s="629"/>
      <c r="AT163" s="629"/>
      <c r="AU163" s="629"/>
      <c r="AV163" s="629"/>
      <c r="AW163" s="630"/>
      <c r="AZ163" s="489"/>
      <c r="BA163" s="631"/>
      <c r="BB163" s="491"/>
      <c r="BC163" s="491"/>
      <c r="BD163" s="491"/>
      <c r="BE163" s="491"/>
      <c r="BF163" s="491"/>
      <c r="BG163" s="491"/>
      <c r="BH163" s="491"/>
      <c r="BI163" s="491"/>
      <c r="BJ163" s="491"/>
      <c r="BL163" s="491"/>
      <c r="BM163" s="491"/>
      <c r="BN163" s="491"/>
      <c r="BO163" s="491"/>
      <c r="BP163" s="622"/>
      <c r="BQ163" s="274"/>
    </row>
    <row r="164" spans="2:69">
      <c r="B164" s="96"/>
      <c r="C164" s="96"/>
      <c r="D164" s="184"/>
      <c r="E164" s="179"/>
      <c r="F164" s="87"/>
      <c r="G164" s="87"/>
      <c r="H164" s="185"/>
      <c r="I164" s="184"/>
      <c r="J164" s="184"/>
      <c r="K164" s="184"/>
      <c r="L164" s="296"/>
      <c r="N164" s="1053"/>
      <c r="O164" s="489"/>
      <c r="P164" s="489"/>
      <c r="T164" s="626"/>
      <c r="U164" s="489"/>
      <c r="V164" s="483"/>
      <c r="W164" s="627"/>
      <c r="X164" s="628"/>
      <c r="Y164" s="489"/>
      <c r="Z164" s="629"/>
      <c r="AA164" s="626"/>
      <c r="AB164" s="481"/>
      <c r="AC164" s="1388"/>
      <c r="AD164" s="482"/>
      <c r="AE164" s="482"/>
      <c r="AF164" s="482"/>
      <c r="AG164" s="482"/>
      <c r="AH164" s="482"/>
      <c r="AI164" s="482"/>
      <c r="AJ164" s="482"/>
      <c r="AK164" s="482"/>
      <c r="AL164" s="482"/>
      <c r="AM164" s="482"/>
      <c r="AN164" s="483"/>
      <c r="AO164" s="483"/>
      <c r="AP164" s="484"/>
      <c r="AQ164" s="484"/>
      <c r="AR164" s="629"/>
      <c r="AS164" s="629"/>
      <c r="AT164" s="629"/>
      <c r="AU164" s="629"/>
      <c r="AV164" s="629"/>
      <c r="AW164" s="630"/>
      <c r="AZ164" s="489"/>
      <c r="BA164" s="631"/>
      <c r="BB164" s="491"/>
      <c r="BC164" s="491"/>
      <c r="BD164" s="491"/>
      <c r="BE164" s="491"/>
      <c r="BF164" s="491"/>
      <c r="BG164" s="491"/>
      <c r="BH164" s="491"/>
      <c r="BI164" s="491"/>
      <c r="BJ164" s="491"/>
      <c r="BL164" s="491"/>
      <c r="BM164" s="491"/>
      <c r="BN164" s="491"/>
      <c r="BO164" s="491"/>
      <c r="BP164" s="622"/>
      <c r="BQ164" s="274"/>
    </row>
    <row r="165" spans="2:69">
      <c r="B165" s="96"/>
      <c r="C165" s="96"/>
      <c r="D165" s="184"/>
      <c r="E165" s="179"/>
      <c r="F165" s="87"/>
      <c r="G165" s="87"/>
      <c r="H165" s="185"/>
      <c r="I165" s="184"/>
      <c r="J165" s="184"/>
      <c r="K165" s="184"/>
      <c r="L165" s="296"/>
      <c r="N165" s="1053"/>
      <c r="O165" s="489"/>
      <c r="P165" s="489"/>
      <c r="T165" s="626"/>
      <c r="U165" s="489"/>
      <c r="V165" s="483"/>
      <c r="W165" s="627"/>
      <c r="X165" s="628"/>
      <c r="Y165" s="489"/>
      <c r="Z165" s="629"/>
      <c r="AA165" s="626"/>
      <c r="AB165" s="481"/>
      <c r="AC165" s="1388"/>
      <c r="AD165" s="482"/>
      <c r="AE165" s="482"/>
      <c r="AF165" s="482"/>
      <c r="AG165" s="482"/>
      <c r="AH165" s="482"/>
      <c r="AI165" s="482"/>
      <c r="AJ165" s="482"/>
      <c r="AK165" s="482"/>
      <c r="AL165" s="482"/>
      <c r="AM165" s="482"/>
      <c r="AN165" s="483"/>
      <c r="AO165" s="483"/>
      <c r="AP165" s="484"/>
      <c r="AQ165" s="484"/>
      <c r="AR165" s="629"/>
      <c r="AS165" s="629"/>
      <c r="AT165" s="629"/>
      <c r="AU165" s="629"/>
      <c r="AV165" s="629"/>
      <c r="AW165" s="630"/>
      <c r="AZ165" s="489"/>
      <c r="BA165" s="631"/>
      <c r="BB165" s="491"/>
      <c r="BC165" s="491"/>
      <c r="BD165" s="491"/>
      <c r="BE165" s="491"/>
      <c r="BF165" s="491"/>
      <c r="BG165" s="491"/>
      <c r="BH165" s="491"/>
      <c r="BI165" s="491"/>
      <c r="BJ165" s="491"/>
      <c r="BL165" s="491"/>
      <c r="BM165" s="491"/>
      <c r="BN165" s="491"/>
      <c r="BO165" s="491"/>
      <c r="BP165" s="622"/>
      <c r="BQ165" s="274"/>
    </row>
    <row r="166" spans="2:69">
      <c r="B166" s="96"/>
      <c r="C166" s="96"/>
      <c r="D166" s="184"/>
      <c r="E166" s="179"/>
      <c r="F166" s="87"/>
      <c r="G166" s="87"/>
      <c r="H166" s="185"/>
      <c r="I166" s="184"/>
      <c r="J166" s="184"/>
      <c r="K166" s="184"/>
      <c r="L166" s="296"/>
      <c r="N166" s="1053"/>
      <c r="O166" s="489"/>
      <c r="P166" s="489"/>
      <c r="T166" s="626"/>
      <c r="U166" s="489"/>
      <c r="V166" s="483"/>
      <c r="W166" s="627"/>
      <c r="X166" s="628"/>
      <c r="Y166" s="489"/>
      <c r="Z166" s="629"/>
      <c r="AA166" s="626"/>
      <c r="AB166" s="481"/>
      <c r="AC166" s="1388"/>
      <c r="AD166" s="482"/>
      <c r="AE166" s="482"/>
      <c r="AF166" s="482"/>
      <c r="AG166" s="482"/>
      <c r="AH166" s="482"/>
      <c r="AI166" s="482"/>
      <c r="AJ166" s="482"/>
      <c r="AK166" s="482"/>
      <c r="AL166" s="482"/>
      <c r="AM166" s="482"/>
      <c r="AN166" s="483"/>
      <c r="AO166" s="483"/>
      <c r="AP166" s="484"/>
      <c r="AQ166" s="484"/>
      <c r="AR166" s="629"/>
      <c r="AS166" s="629"/>
      <c r="AT166" s="629"/>
      <c r="AU166" s="629"/>
      <c r="AV166" s="629"/>
      <c r="AW166" s="630"/>
      <c r="AZ166" s="489"/>
      <c r="BA166" s="631"/>
      <c r="BB166" s="491"/>
      <c r="BC166" s="491"/>
      <c r="BD166" s="491"/>
      <c r="BE166" s="491"/>
      <c r="BF166" s="491"/>
      <c r="BG166" s="491"/>
      <c r="BH166" s="491"/>
      <c r="BI166" s="491"/>
      <c r="BJ166" s="491"/>
      <c r="BL166" s="491"/>
      <c r="BM166" s="491"/>
      <c r="BN166" s="491"/>
      <c r="BO166" s="491"/>
      <c r="BP166" s="622"/>
      <c r="BQ166" s="274"/>
    </row>
    <row r="167" spans="2:69">
      <c r="B167" s="96"/>
      <c r="C167" s="96"/>
      <c r="D167" s="184"/>
      <c r="E167" s="179"/>
      <c r="F167" s="87"/>
      <c r="G167" s="87"/>
      <c r="H167" s="185"/>
      <c r="I167" s="184"/>
      <c r="J167" s="184"/>
      <c r="K167" s="184"/>
      <c r="L167" s="296"/>
      <c r="N167" s="1053"/>
      <c r="O167" s="489"/>
      <c r="P167" s="489"/>
      <c r="T167" s="626"/>
      <c r="U167" s="489"/>
      <c r="V167" s="483"/>
      <c r="W167" s="627"/>
      <c r="X167" s="628"/>
      <c r="Y167" s="489"/>
      <c r="Z167" s="629"/>
      <c r="AA167" s="626"/>
      <c r="AB167" s="481"/>
      <c r="AC167" s="1388"/>
      <c r="AD167" s="482"/>
      <c r="AE167" s="482"/>
      <c r="AF167" s="482"/>
      <c r="AG167" s="482"/>
      <c r="AH167" s="482"/>
      <c r="AI167" s="482"/>
      <c r="AJ167" s="482"/>
      <c r="AK167" s="482"/>
      <c r="AL167" s="482"/>
      <c r="AM167" s="482"/>
      <c r="AN167" s="483"/>
      <c r="AO167" s="483"/>
      <c r="AP167" s="484"/>
      <c r="AQ167" s="484"/>
      <c r="AR167" s="629"/>
      <c r="AS167" s="629"/>
      <c r="AT167" s="629"/>
      <c r="AU167" s="629"/>
      <c r="AV167" s="629"/>
      <c r="AW167" s="630"/>
      <c r="AZ167" s="489"/>
      <c r="BA167" s="631"/>
      <c r="BB167" s="491"/>
      <c r="BC167" s="491"/>
      <c r="BD167" s="491"/>
      <c r="BE167" s="491"/>
      <c r="BF167" s="491"/>
      <c r="BG167" s="491"/>
      <c r="BH167" s="491"/>
      <c r="BI167" s="491"/>
      <c r="BJ167" s="491"/>
      <c r="BL167" s="491"/>
      <c r="BM167" s="491"/>
      <c r="BN167" s="491"/>
      <c r="BO167" s="491"/>
      <c r="BP167" s="622"/>
      <c r="BQ167" s="274"/>
    </row>
    <row r="168" spans="2:69">
      <c r="B168" s="96"/>
      <c r="C168" s="96"/>
      <c r="D168" s="184"/>
      <c r="E168" s="179"/>
      <c r="F168" s="87"/>
      <c r="G168" s="87"/>
      <c r="H168" s="185"/>
      <c r="I168" s="184"/>
      <c r="J168" s="184"/>
      <c r="K168" s="184"/>
      <c r="L168" s="296"/>
      <c r="N168" s="1053"/>
      <c r="O168" s="489"/>
      <c r="P168" s="489"/>
      <c r="T168" s="626"/>
      <c r="U168" s="489"/>
      <c r="V168" s="483"/>
      <c r="W168" s="627"/>
      <c r="X168" s="628"/>
      <c r="Y168" s="489"/>
      <c r="Z168" s="629"/>
      <c r="AA168" s="626"/>
      <c r="AB168" s="481"/>
      <c r="AC168" s="1388"/>
      <c r="AD168" s="482"/>
      <c r="AE168" s="482"/>
      <c r="AF168" s="482"/>
      <c r="AG168" s="482"/>
      <c r="AH168" s="482"/>
      <c r="AI168" s="482"/>
      <c r="AJ168" s="482"/>
      <c r="AK168" s="482"/>
      <c r="AL168" s="482"/>
      <c r="AM168" s="482"/>
      <c r="AN168" s="483"/>
      <c r="AO168" s="483"/>
      <c r="AP168" s="484"/>
      <c r="AQ168" s="484"/>
      <c r="AR168" s="629"/>
      <c r="AS168" s="629"/>
      <c r="AT168" s="629"/>
      <c r="AU168" s="629"/>
      <c r="AV168" s="629"/>
      <c r="AW168" s="630"/>
      <c r="AZ168" s="489"/>
      <c r="BA168" s="631"/>
      <c r="BB168" s="491"/>
      <c r="BC168" s="491"/>
      <c r="BD168" s="491"/>
      <c r="BE168" s="491"/>
      <c r="BF168" s="491"/>
      <c r="BG168" s="491"/>
      <c r="BH168" s="491"/>
      <c r="BI168" s="491"/>
      <c r="BJ168" s="491"/>
      <c r="BL168" s="491"/>
      <c r="BM168" s="491"/>
      <c r="BN168" s="491"/>
      <c r="BO168" s="491"/>
      <c r="BP168" s="622"/>
      <c r="BQ168" s="274"/>
    </row>
    <row r="169" spans="2:69">
      <c r="B169" s="96"/>
      <c r="C169" s="96"/>
      <c r="D169" s="184"/>
      <c r="E169" s="179"/>
      <c r="F169" s="87"/>
      <c r="G169" s="87"/>
      <c r="H169" s="185"/>
      <c r="I169" s="184"/>
      <c r="J169" s="184"/>
      <c r="K169" s="184"/>
      <c r="L169" s="296"/>
      <c r="N169" s="1053"/>
      <c r="O169" s="489"/>
      <c r="P169" s="489"/>
      <c r="T169" s="626"/>
      <c r="U169" s="489"/>
      <c r="V169" s="483"/>
      <c r="W169" s="627"/>
      <c r="X169" s="628"/>
      <c r="Y169" s="489"/>
      <c r="Z169" s="629"/>
      <c r="AA169" s="626"/>
      <c r="AB169" s="481"/>
      <c r="AC169" s="1388"/>
      <c r="AD169" s="482"/>
      <c r="AE169" s="482"/>
      <c r="AF169" s="482"/>
      <c r="AG169" s="482"/>
      <c r="AH169" s="482"/>
      <c r="AI169" s="482"/>
      <c r="AJ169" s="482"/>
      <c r="AK169" s="482"/>
      <c r="AL169" s="482"/>
      <c r="AM169" s="482"/>
      <c r="AN169" s="483"/>
      <c r="AO169" s="483"/>
      <c r="AP169" s="484"/>
      <c r="AQ169" s="484"/>
      <c r="AR169" s="629"/>
      <c r="AS169" s="629"/>
      <c r="AT169" s="629"/>
      <c r="AU169" s="629"/>
      <c r="AV169" s="629"/>
      <c r="AW169" s="630"/>
      <c r="AZ169" s="489"/>
      <c r="BA169" s="631"/>
      <c r="BB169" s="491"/>
      <c r="BC169" s="491"/>
      <c r="BD169" s="491"/>
      <c r="BE169" s="491"/>
      <c r="BF169" s="491"/>
      <c r="BG169" s="491"/>
      <c r="BH169" s="491"/>
      <c r="BI169" s="491"/>
      <c r="BJ169" s="491"/>
      <c r="BL169" s="491"/>
      <c r="BM169" s="491"/>
      <c r="BN169" s="491"/>
      <c r="BO169" s="491"/>
      <c r="BP169" s="622"/>
      <c r="BQ169" s="274"/>
    </row>
    <row r="170" spans="2:69">
      <c r="B170" s="96"/>
      <c r="C170" s="96"/>
      <c r="D170" s="184"/>
      <c r="E170" s="179"/>
      <c r="F170" s="87"/>
      <c r="G170" s="87"/>
      <c r="H170" s="185"/>
      <c r="I170" s="184"/>
      <c r="J170" s="184"/>
      <c r="K170" s="184"/>
      <c r="L170" s="296"/>
      <c r="N170" s="1053"/>
      <c r="O170" s="489"/>
      <c r="P170" s="489"/>
      <c r="T170" s="626"/>
      <c r="U170" s="489"/>
      <c r="V170" s="483"/>
      <c r="W170" s="627"/>
      <c r="X170" s="628"/>
      <c r="Y170" s="489"/>
      <c r="Z170" s="629"/>
      <c r="AA170" s="626"/>
      <c r="AB170" s="481"/>
      <c r="AC170" s="1388"/>
      <c r="AD170" s="482"/>
      <c r="AE170" s="482"/>
      <c r="AF170" s="482"/>
      <c r="AG170" s="482"/>
      <c r="AH170" s="482"/>
      <c r="AI170" s="482"/>
      <c r="AJ170" s="482"/>
      <c r="AK170" s="482"/>
      <c r="AL170" s="482"/>
      <c r="AM170" s="482"/>
      <c r="AN170" s="483"/>
      <c r="AO170" s="483"/>
      <c r="AP170" s="484"/>
      <c r="AQ170" s="484"/>
      <c r="AR170" s="629"/>
      <c r="AS170" s="629"/>
      <c r="AT170" s="629"/>
      <c r="AU170" s="629"/>
      <c r="AV170" s="629"/>
      <c r="AW170" s="630"/>
      <c r="AZ170" s="489"/>
      <c r="BA170" s="631"/>
      <c r="BB170" s="491"/>
      <c r="BC170" s="491"/>
      <c r="BD170" s="491"/>
      <c r="BE170" s="491"/>
      <c r="BF170" s="491"/>
      <c r="BG170" s="491"/>
      <c r="BH170" s="491"/>
      <c r="BI170" s="491"/>
      <c r="BJ170" s="491"/>
      <c r="BL170" s="491"/>
      <c r="BM170" s="491"/>
      <c r="BN170" s="491"/>
      <c r="BO170" s="491"/>
      <c r="BP170" s="622"/>
      <c r="BQ170" s="274"/>
    </row>
    <row r="171" spans="2:69">
      <c r="B171" s="96"/>
      <c r="C171" s="96"/>
      <c r="D171" s="184"/>
      <c r="E171" s="179"/>
      <c r="F171" s="87"/>
      <c r="G171" s="87"/>
      <c r="H171" s="185"/>
      <c r="I171" s="184"/>
      <c r="J171" s="184"/>
      <c r="K171" s="184"/>
      <c r="L171" s="296"/>
      <c r="N171" s="1053"/>
      <c r="O171" s="489"/>
      <c r="P171" s="489"/>
      <c r="T171" s="626"/>
      <c r="U171" s="489"/>
      <c r="V171" s="483"/>
      <c r="W171" s="627"/>
      <c r="X171" s="628"/>
      <c r="Y171" s="489"/>
      <c r="Z171" s="629"/>
      <c r="AA171" s="626"/>
      <c r="AB171" s="481"/>
      <c r="AC171" s="1388"/>
      <c r="AD171" s="482"/>
      <c r="AE171" s="482"/>
      <c r="AF171" s="482"/>
      <c r="AG171" s="482"/>
      <c r="AH171" s="482"/>
      <c r="AI171" s="482"/>
      <c r="AJ171" s="482"/>
      <c r="AK171" s="482"/>
      <c r="AL171" s="482"/>
      <c r="AM171" s="482"/>
      <c r="AN171" s="483"/>
      <c r="AO171" s="483"/>
      <c r="AP171" s="484"/>
      <c r="AQ171" s="484"/>
      <c r="AR171" s="629"/>
      <c r="AS171" s="629"/>
      <c r="AT171" s="629"/>
      <c r="AU171" s="629"/>
      <c r="AV171" s="629"/>
      <c r="AW171" s="630"/>
      <c r="AZ171" s="489"/>
      <c r="BA171" s="631"/>
      <c r="BB171" s="491"/>
      <c r="BC171" s="491"/>
      <c r="BD171" s="491"/>
      <c r="BE171" s="491"/>
      <c r="BF171" s="491"/>
      <c r="BG171" s="491"/>
      <c r="BH171" s="491"/>
      <c r="BI171" s="491"/>
      <c r="BJ171" s="491"/>
      <c r="BL171" s="491"/>
      <c r="BM171" s="491"/>
      <c r="BN171" s="491"/>
      <c r="BO171" s="491"/>
      <c r="BP171" s="622"/>
      <c r="BQ171" s="274"/>
    </row>
    <row r="172" spans="2:69">
      <c r="B172" s="96"/>
      <c r="C172" s="96"/>
      <c r="D172" s="184"/>
      <c r="E172" s="179"/>
      <c r="F172" s="87"/>
      <c r="G172" s="87"/>
      <c r="H172" s="185"/>
      <c r="I172" s="184"/>
      <c r="J172" s="184"/>
      <c r="K172" s="184"/>
      <c r="L172" s="296"/>
      <c r="N172" s="1053"/>
      <c r="O172" s="489"/>
      <c r="P172" s="489"/>
      <c r="T172" s="626"/>
      <c r="U172" s="489"/>
      <c r="V172" s="483"/>
      <c r="W172" s="627"/>
      <c r="X172" s="628"/>
      <c r="Y172" s="489"/>
      <c r="Z172" s="629"/>
      <c r="AA172" s="626"/>
      <c r="AB172" s="481"/>
      <c r="AC172" s="1388"/>
      <c r="AD172" s="482"/>
      <c r="AE172" s="482"/>
      <c r="AF172" s="482"/>
      <c r="AG172" s="482"/>
      <c r="AH172" s="482"/>
      <c r="AI172" s="482"/>
      <c r="AJ172" s="482"/>
      <c r="AK172" s="482"/>
      <c r="AL172" s="482"/>
      <c r="AM172" s="482"/>
      <c r="AN172" s="483"/>
      <c r="AO172" s="483"/>
      <c r="AP172" s="484"/>
      <c r="AQ172" s="484"/>
      <c r="AR172" s="629"/>
      <c r="AS172" s="629"/>
      <c r="AT172" s="629"/>
      <c r="AU172" s="629"/>
      <c r="AV172" s="629"/>
      <c r="AW172" s="630"/>
      <c r="AZ172" s="489"/>
      <c r="BA172" s="631"/>
      <c r="BB172" s="491"/>
      <c r="BC172" s="491"/>
      <c r="BD172" s="491"/>
      <c r="BE172" s="491"/>
      <c r="BF172" s="491"/>
      <c r="BG172" s="491"/>
      <c r="BH172" s="491"/>
      <c r="BI172" s="491"/>
      <c r="BJ172" s="491"/>
      <c r="BL172" s="491"/>
      <c r="BM172" s="491"/>
      <c r="BN172" s="491"/>
      <c r="BO172" s="491"/>
      <c r="BP172" s="622"/>
      <c r="BQ172" s="274"/>
    </row>
    <row r="173" spans="2:69">
      <c r="B173" s="96"/>
      <c r="C173" s="96"/>
      <c r="D173" s="184"/>
      <c r="E173" s="179"/>
      <c r="F173" s="87"/>
      <c r="G173" s="87"/>
      <c r="H173" s="185"/>
      <c r="I173" s="184"/>
      <c r="J173" s="184"/>
      <c r="K173" s="184"/>
      <c r="L173" s="296"/>
      <c r="N173" s="1053"/>
      <c r="O173" s="489"/>
      <c r="P173" s="489"/>
      <c r="T173" s="626"/>
      <c r="U173" s="489"/>
      <c r="V173" s="483"/>
      <c r="W173" s="627"/>
      <c r="X173" s="628"/>
      <c r="Y173" s="489"/>
      <c r="Z173" s="629"/>
      <c r="AA173" s="626"/>
      <c r="AB173" s="481"/>
      <c r="AC173" s="1388"/>
      <c r="AD173" s="482"/>
      <c r="AE173" s="482"/>
      <c r="AF173" s="482"/>
      <c r="AG173" s="482"/>
      <c r="AH173" s="482"/>
      <c r="AI173" s="482"/>
      <c r="AJ173" s="482"/>
      <c r="AK173" s="482"/>
      <c r="AL173" s="482"/>
      <c r="AM173" s="482"/>
      <c r="AN173" s="483"/>
      <c r="AO173" s="483"/>
      <c r="AP173" s="484"/>
      <c r="AQ173" s="484"/>
      <c r="AR173" s="629"/>
      <c r="AS173" s="629"/>
      <c r="AT173" s="629"/>
      <c r="AU173" s="629"/>
      <c r="AV173" s="629"/>
      <c r="AW173" s="630"/>
      <c r="AZ173" s="489"/>
      <c r="BA173" s="631"/>
      <c r="BB173" s="491"/>
      <c r="BC173" s="491"/>
      <c r="BD173" s="491"/>
      <c r="BE173" s="491"/>
      <c r="BF173" s="491"/>
      <c r="BG173" s="491"/>
      <c r="BH173" s="491"/>
      <c r="BI173" s="491"/>
      <c r="BJ173" s="491"/>
      <c r="BL173" s="491"/>
      <c r="BM173" s="491"/>
      <c r="BN173" s="491"/>
      <c r="BO173" s="491"/>
      <c r="BP173" s="622"/>
      <c r="BQ173" s="274"/>
    </row>
    <row r="174" spans="2:69">
      <c r="B174" s="96"/>
      <c r="C174" s="96"/>
      <c r="D174" s="184"/>
      <c r="E174" s="179"/>
      <c r="F174" s="87"/>
      <c r="G174" s="87"/>
      <c r="H174" s="185"/>
      <c r="I174" s="184"/>
      <c r="J174" s="184"/>
      <c r="K174" s="184"/>
      <c r="L174" s="296"/>
      <c r="N174" s="1053"/>
      <c r="O174" s="489"/>
      <c r="P174" s="489"/>
      <c r="T174" s="626"/>
      <c r="U174" s="489"/>
      <c r="V174" s="483"/>
      <c r="W174" s="627"/>
      <c r="X174" s="628"/>
      <c r="Y174" s="489"/>
      <c r="Z174" s="629"/>
      <c r="AA174" s="626"/>
      <c r="AB174" s="481"/>
      <c r="AC174" s="1388"/>
      <c r="AD174" s="482"/>
      <c r="AE174" s="482"/>
      <c r="AF174" s="482"/>
      <c r="AG174" s="482"/>
      <c r="AH174" s="482"/>
      <c r="AI174" s="482"/>
      <c r="AJ174" s="482"/>
      <c r="AK174" s="482"/>
      <c r="AL174" s="482"/>
      <c r="AM174" s="482"/>
      <c r="AN174" s="483"/>
      <c r="AO174" s="483"/>
      <c r="AP174" s="484"/>
      <c r="AQ174" s="484"/>
      <c r="AR174" s="629"/>
      <c r="AS174" s="629"/>
      <c r="AT174" s="629"/>
      <c r="AU174" s="629"/>
      <c r="AV174" s="629"/>
      <c r="AW174" s="630"/>
      <c r="AZ174" s="489"/>
      <c r="BA174" s="631"/>
      <c r="BB174" s="491"/>
      <c r="BC174" s="491"/>
      <c r="BD174" s="491"/>
      <c r="BE174" s="491"/>
      <c r="BF174" s="491"/>
      <c r="BG174" s="491"/>
      <c r="BH174" s="491"/>
      <c r="BI174" s="491"/>
      <c r="BJ174" s="491"/>
      <c r="BL174" s="491"/>
      <c r="BM174" s="491"/>
      <c r="BN174" s="491"/>
      <c r="BO174" s="491"/>
      <c r="BP174" s="622"/>
      <c r="BQ174" s="274"/>
    </row>
    <row r="175" spans="2:69">
      <c r="B175" s="96"/>
      <c r="C175" s="96"/>
      <c r="D175" s="184"/>
      <c r="E175" s="179"/>
      <c r="F175" s="87"/>
      <c r="G175" s="87"/>
      <c r="H175" s="185"/>
      <c r="I175" s="184"/>
      <c r="J175" s="184"/>
      <c r="K175" s="184"/>
      <c r="L175" s="296"/>
      <c r="N175" s="1053"/>
      <c r="O175" s="489"/>
      <c r="P175" s="489"/>
      <c r="T175" s="626"/>
      <c r="U175" s="489"/>
      <c r="V175" s="483"/>
      <c r="W175" s="627"/>
      <c r="X175" s="628"/>
      <c r="Y175" s="489"/>
      <c r="Z175" s="629"/>
      <c r="AA175" s="626"/>
      <c r="AB175" s="481"/>
      <c r="AC175" s="1388"/>
      <c r="AD175" s="482"/>
      <c r="AE175" s="482"/>
      <c r="AF175" s="482"/>
      <c r="AG175" s="482"/>
      <c r="AH175" s="482"/>
      <c r="AI175" s="482"/>
      <c r="AJ175" s="482"/>
      <c r="AK175" s="482"/>
      <c r="AL175" s="482"/>
      <c r="AM175" s="482"/>
      <c r="AN175" s="483"/>
      <c r="AO175" s="483"/>
      <c r="AP175" s="484"/>
      <c r="AQ175" s="484"/>
      <c r="AR175" s="629"/>
      <c r="AS175" s="629"/>
      <c r="AT175" s="629"/>
      <c r="AU175" s="629"/>
      <c r="AV175" s="629"/>
      <c r="AW175" s="630"/>
      <c r="AZ175" s="489"/>
      <c r="BA175" s="631"/>
      <c r="BB175" s="491"/>
      <c r="BC175" s="491"/>
      <c r="BD175" s="491"/>
      <c r="BE175" s="491"/>
      <c r="BF175" s="491"/>
      <c r="BG175" s="491"/>
      <c r="BH175" s="491"/>
      <c r="BI175" s="491"/>
      <c r="BJ175" s="491"/>
      <c r="BL175" s="491"/>
      <c r="BM175" s="491"/>
      <c r="BN175" s="491"/>
      <c r="BO175" s="491"/>
      <c r="BP175" s="622"/>
      <c r="BQ175" s="274"/>
    </row>
    <row r="176" spans="2:69">
      <c r="B176" s="96"/>
      <c r="C176" s="96"/>
      <c r="D176" s="184"/>
      <c r="E176" s="179"/>
      <c r="F176" s="87"/>
      <c r="G176" s="87"/>
      <c r="H176" s="185"/>
      <c r="I176" s="184"/>
      <c r="J176" s="184"/>
      <c r="K176" s="184"/>
      <c r="L176" s="296"/>
      <c r="N176" s="1053"/>
      <c r="O176" s="489"/>
      <c r="P176" s="489"/>
      <c r="T176" s="626"/>
      <c r="U176" s="489"/>
      <c r="V176" s="483"/>
      <c r="W176" s="627"/>
      <c r="X176" s="628"/>
      <c r="Y176" s="489"/>
      <c r="Z176" s="629"/>
      <c r="AA176" s="626"/>
      <c r="AB176" s="481"/>
      <c r="AC176" s="1388"/>
      <c r="AD176" s="482"/>
      <c r="AE176" s="482"/>
      <c r="AF176" s="482"/>
      <c r="AG176" s="482"/>
      <c r="AH176" s="482"/>
      <c r="AI176" s="482"/>
      <c r="AJ176" s="482"/>
      <c r="AK176" s="482"/>
      <c r="AL176" s="482"/>
      <c r="AM176" s="482"/>
      <c r="AN176" s="483"/>
      <c r="AO176" s="483"/>
      <c r="AP176" s="484"/>
      <c r="AQ176" s="484"/>
      <c r="AR176" s="629"/>
      <c r="AS176" s="629"/>
      <c r="AT176" s="629"/>
      <c r="AU176" s="629"/>
      <c r="AV176" s="629"/>
      <c r="AW176" s="630"/>
      <c r="AZ176" s="489"/>
      <c r="BA176" s="631"/>
      <c r="BB176" s="491"/>
      <c r="BC176" s="491"/>
      <c r="BD176" s="491"/>
      <c r="BE176" s="491"/>
      <c r="BF176" s="491"/>
      <c r="BG176" s="491"/>
      <c r="BH176" s="491"/>
      <c r="BI176" s="491"/>
      <c r="BJ176" s="491"/>
      <c r="BL176" s="491"/>
      <c r="BM176" s="491"/>
      <c r="BN176" s="491"/>
      <c r="BO176" s="491"/>
      <c r="BP176" s="622"/>
      <c r="BQ176" s="274"/>
    </row>
    <row r="177" spans="2:69">
      <c r="B177" s="96"/>
      <c r="C177" s="96"/>
      <c r="D177" s="184"/>
      <c r="E177" s="179"/>
      <c r="F177" s="87"/>
      <c r="G177" s="87"/>
      <c r="H177" s="185"/>
      <c r="I177" s="184"/>
      <c r="J177" s="184"/>
      <c r="K177" s="184"/>
      <c r="L177" s="296"/>
      <c r="N177" s="1053"/>
      <c r="O177" s="489"/>
      <c r="P177" s="489"/>
      <c r="T177" s="626"/>
      <c r="U177" s="489"/>
      <c r="V177" s="483"/>
      <c r="W177" s="627"/>
      <c r="X177" s="628"/>
      <c r="Y177" s="489"/>
      <c r="Z177" s="629"/>
      <c r="AA177" s="626"/>
      <c r="AB177" s="481"/>
      <c r="AC177" s="1388"/>
      <c r="AD177" s="482"/>
      <c r="AE177" s="482"/>
      <c r="AF177" s="482"/>
      <c r="AG177" s="482"/>
      <c r="AH177" s="482"/>
      <c r="AI177" s="482"/>
      <c r="AJ177" s="482"/>
      <c r="AK177" s="482"/>
      <c r="AL177" s="482"/>
      <c r="AM177" s="482"/>
      <c r="AN177" s="483"/>
      <c r="AO177" s="483"/>
      <c r="AP177" s="484"/>
      <c r="AQ177" s="484"/>
      <c r="AR177" s="629"/>
      <c r="AS177" s="629"/>
      <c r="AT177" s="629"/>
      <c r="AU177" s="629"/>
      <c r="AV177" s="629"/>
      <c r="AW177" s="630"/>
      <c r="AZ177" s="489"/>
      <c r="BA177" s="631"/>
      <c r="BB177" s="491"/>
      <c r="BC177" s="491"/>
      <c r="BD177" s="491"/>
      <c r="BE177" s="491"/>
      <c r="BF177" s="491"/>
      <c r="BG177" s="491"/>
      <c r="BH177" s="491"/>
      <c r="BI177" s="491"/>
      <c r="BJ177" s="491"/>
      <c r="BL177" s="491"/>
      <c r="BM177" s="491"/>
      <c r="BN177" s="491"/>
      <c r="BO177" s="491"/>
      <c r="BP177" s="622"/>
      <c r="BQ177" s="274"/>
    </row>
    <row r="178" spans="2:69">
      <c r="B178" s="96"/>
      <c r="C178" s="96"/>
      <c r="D178" s="184"/>
      <c r="E178" s="179"/>
      <c r="F178" s="87"/>
      <c r="G178" s="87"/>
      <c r="H178" s="185"/>
      <c r="I178" s="184"/>
      <c r="J178" s="184"/>
      <c r="K178" s="184"/>
      <c r="L178" s="296"/>
      <c r="N178" s="1053"/>
      <c r="O178" s="489"/>
      <c r="P178" s="489"/>
      <c r="T178" s="626"/>
      <c r="U178" s="489"/>
      <c r="V178" s="483"/>
      <c r="W178" s="627"/>
      <c r="X178" s="628"/>
      <c r="Y178" s="489"/>
      <c r="Z178" s="629"/>
      <c r="AA178" s="626"/>
      <c r="AB178" s="481"/>
      <c r="AC178" s="1388"/>
      <c r="AD178" s="482"/>
      <c r="AE178" s="482"/>
      <c r="AF178" s="482"/>
      <c r="AG178" s="482"/>
      <c r="AH178" s="482"/>
      <c r="AI178" s="482"/>
      <c r="AJ178" s="482"/>
      <c r="AK178" s="482"/>
      <c r="AL178" s="482"/>
      <c r="AM178" s="482"/>
      <c r="AN178" s="483"/>
      <c r="AO178" s="483"/>
      <c r="AP178" s="484"/>
      <c r="AQ178" s="484"/>
      <c r="AR178" s="629"/>
      <c r="AS178" s="629"/>
      <c r="AT178" s="629"/>
      <c r="AU178" s="629"/>
      <c r="AV178" s="629"/>
      <c r="AW178" s="630"/>
      <c r="AZ178" s="489"/>
      <c r="BA178" s="631"/>
      <c r="BB178" s="491"/>
      <c r="BC178" s="491"/>
      <c r="BD178" s="491"/>
      <c r="BE178" s="491"/>
      <c r="BF178" s="491"/>
      <c r="BG178" s="491"/>
      <c r="BH178" s="491"/>
      <c r="BI178" s="491"/>
      <c r="BJ178" s="491"/>
      <c r="BL178" s="491"/>
      <c r="BM178" s="491"/>
      <c r="BN178" s="491"/>
      <c r="BO178" s="491"/>
      <c r="BP178" s="622"/>
      <c r="BQ178" s="274"/>
    </row>
    <row r="179" spans="2:69">
      <c r="B179" s="96"/>
      <c r="C179" s="96"/>
      <c r="D179" s="184"/>
      <c r="E179" s="179"/>
      <c r="F179" s="87"/>
      <c r="G179" s="87"/>
      <c r="H179" s="185"/>
      <c r="I179" s="184"/>
      <c r="J179" s="184"/>
      <c r="K179" s="184"/>
      <c r="L179" s="296"/>
      <c r="N179" s="1053"/>
      <c r="O179" s="489"/>
      <c r="P179" s="489"/>
      <c r="T179" s="626"/>
      <c r="U179" s="489"/>
      <c r="V179" s="483"/>
      <c r="W179" s="627"/>
      <c r="X179" s="628"/>
      <c r="Y179" s="489"/>
      <c r="Z179" s="629"/>
      <c r="AA179" s="626"/>
      <c r="AB179" s="481"/>
      <c r="AC179" s="1388"/>
      <c r="AD179" s="482"/>
      <c r="AE179" s="482"/>
      <c r="AF179" s="482"/>
      <c r="AG179" s="482"/>
      <c r="AH179" s="482"/>
      <c r="AI179" s="482"/>
      <c r="AJ179" s="482"/>
      <c r="AK179" s="482"/>
      <c r="AL179" s="482"/>
      <c r="AM179" s="482"/>
      <c r="AN179" s="483"/>
      <c r="AO179" s="483"/>
      <c r="AP179" s="484"/>
      <c r="AQ179" s="484"/>
      <c r="AR179" s="629"/>
      <c r="AS179" s="629"/>
      <c r="AT179" s="629"/>
      <c r="AU179" s="629"/>
      <c r="AV179" s="629"/>
      <c r="AW179" s="630"/>
      <c r="AZ179" s="489"/>
      <c r="BA179" s="631"/>
      <c r="BB179" s="491"/>
      <c r="BC179" s="491"/>
      <c r="BD179" s="491"/>
      <c r="BE179" s="491"/>
      <c r="BF179" s="491"/>
      <c r="BG179" s="491"/>
      <c r="BH179" s="491"/>
      <c r="BI179" s="491"/>
      <c r="BJ179" s="491"/>
      <c r="BL179" s="491"/>
      <c r="BM179" s="491"/>
      <c r="BN179" s="491"/>
      <c r="BO179" s="491"/>
      <c r="BP179" s="622"/>
      <c r="BQ179" s="274"/>
    </row>
    <row r="180" spans="2:69">
      <c r="B180" s="96"/>
      <c r="C180" s="96"/>
      <c r="D180" s="184"/>
      <c r="E180" s="179"/>
      <c r="F180" s="87"/>
      <c r="G180" s="87"/>
      <c r="H180" s="185"/>
      <c r="I180" s="184"/>
      <c r="J180" s="184"/>
      <c r="K180" s="184"/>
      <c r="L180" s="296"/>
      <c r="N180" s="1053"/>
      <c r="O180" s="489"/>
      <c r="P180" s="489"/>
      <c r="T180" s="626"/>
      <c r="U180" s="489"/>
      <c r="V180" s="483"/>
      <c r="W180" s="627"/>
      <c r="X180" s="628"/>
      <c r="Y180" s="489"/>
      <c r="Z180" s="629"/>
      <c r="AA180" s="626"/>
      <c r="AB180" s="481"/>
      <c r="AC180" s="1388"/>
      <c r="AD180" s="482"/>
      <c r="AE180" s="482"/>
      <c r="AF180" s="482"/>
      <c r="AG180" s="482"/>
      <c r="AH180" s="482"/>
      <c r="AI180" s="482"/>
      <c r="AJ180" s="482"/>
      <c r="AK180" s="482"/>
      <c r="AL180" s="482"/>
      <c r="AM180" s="482"/>
      <c r="AN180" s="483"/>
      <c r="AO180" s="483"/>
      <c r="AP180" s="484"/>
      <c r="AQ180" s="484"/>
      <c r="AR180" s="629"/>
      <c r="AS180" s="629"/>
      <c r="AT180" s="629"/>
      <c r="AU180" s="629"/>
      <c r="AV180" s="629"/>
      <c r="AW180" s="630"/>
      <c r="AZ180" s="489"/>
      <c r="BA180" s="631"/>
      <c r="BB180" s="491"/>
      <c r="BC180" s="491"/>
      <c r="BD180" s="491"/>
      <c r="BE180" s="491"/>
      <c r="BF180" s="491"/>
      <c r="BG180" s="491"/>
      <c r="BH180" s="491"/>
      <c r="BI180" s="491"/>
      <c r="BJ180" s="491"/>
      <c r="BL180" s="491"/>
      <c r="BM180" s="491"/>
      <c r="BN180" s="491"/>
      <c r="BO180" s="491"/>
      <c r="BP180" s="622"/>
      <c r="BQ180" s="274"/>
    </row>
    <row r="181" spans="2:69">
      <c r="B181" s="96"/>
      <c r="C181" s="96"/>
      <c r="D181" s="184"/>
      <c r="E181" s="179"/>
      <c r="F181" s="87"/>
      <c r="G181" s="87"/>
      <c r="H181" s="185"/>
      <c r="I181" s="184"/>
      <c r="J181" s="184"/>
      <c r="K181" s="184"/>
      <c r="L181" s="296"/>
      <c r="N181" s="1053"/>
      <c r="O181" s="489"/>
      <c r="P181" s="489"/>
      <c r="T181" s="626"/>
      <c r="U181" s="489"/>
      <c r="V181" s="483"/>
      <c r="W181" s="627"/>
      <c r="X181" s="628"/>
      <c r="Y181" s="489"/>
      <c r="Z181" s="629"/>
      <c r="AA181" s="626"/>
      <c r="AB181" s="481"/>
      <c r="AC181" s="1388"/>
      <c r="AD181" s="482"/>
      <c r="AE181" s="482"/>
      <c r="AF181" s="482"/>
      <c r="AG181" s="482"/>
      <c r="AH181" s="482"/>
      <c r="AI181" s="482"/>
      <c r="AJ181" s="482"/>
      <c r="AK181" s="482"/>
      <c r="AL181" s="482"/>
      <c r="AM181" s="482"/>
      <c r="AN181" s="483"/>
      <c r="AO181" s="483"/>
      <c r="AP181" s="484"/>
      <c r="AQ181" s="484"/>
      <c r="AR181" s="629"/>
      <c r="AS181" s="629"/>
      <c r="AT181" s="629"/>
      <c r="AU181" s="629"/>
      <c r="AV181" s="629"/>
      <c r="AW181" s="630"/>
      <c r="AZ181" s="489"/>
      <c r="BA181" s="631"/>
      <c r="BB181" s="491"/>
      <c r="BC181" s="491"/>
      <c r="BD181" s="491"/>
      <c r="BE181" s="491"/>
      <c r="BF181" s="491"/>
      <c r="BG181" s="491"/>
      <c r="BH181" s="491"/>
      <c r="BI181" s="491"/>
      <c r="BJ181" s="491"/>
      <c r="BL181" s="491"/>
      <c r="BM181" s="491"/>
      <c r="BN181" s="491"/>
      <c r="BO181" s="491"/>
      <c r="BP181" s="622"/>
      <c r="BQ181" s="274"/>
    </row>
    <row r="182" spans="2:69">
      <c r="B182" s="96"/>
      <c r="C182" s="96"/>
      <c r="D182" s="184"/>
      <c r="E182" s="179"/>
      <c r="F182" s="87"/>
      <c r="G182" s="87"/>
      <c r="H182" s="185"/>
      <c r="I182" s="184"/>
      <c r="J182" s="184"/>
      <c r="K182" s="184"/>
      <c r="L182" s="296"/>
      <c r="N182" s="1053"/>
      <c r="O182" s="489"/>
      <c r="P182" s="489"/>
      <c r="T182" s="626"/>
      <c r="U182" s="489"/>
      <c r="V182" s="483"/>
      <c r="W182" s="627"/>
      <c r="X182" s="628"/>
      <c r="Y182" s="489"/>
      <c r="Z182" s="629"/>
      <c r="AA182" s="626"/>
      <c r="AB182" s="481"/>
      <c r="AC182" s="1388"/>
      <c r="AD182" s="482"/>
      <c r="AE182" s="482"/>
      <c r="AF182" s="482"/>
      <c r="AG182" s="482"/>
      <c r="AH182" s="482"/>
      <c r="AI182" s="482"/>
      <c r="AJ182" s="482"/>
      <c r="AK182" s="482"/>
      <c r="AL182" s="482"/>
      <c r="AM182" s="482"/>
      <c r="AN182" s="483"/>
      <c r="AO182" s="483"/>
      <c r="AP182" s="484"/>
      <c r="AQ182" s="484"/>
      <c r="AR182" s="629"/>
      <c r="AS182" s="629"/>
      <c r="AT182" s="629"/>
      <c r="AU182" s="629"/>
      <c r="AV182" s="629"/>
      <c r="AW182" s="630"/>
      <c r="AZ182" s="489"/>
      <c r="BA182" s="631"/>
      <c r="BB182" s="491"/>
      <c r="BC182" s="491"/>
      <c r="BD182" s="491"/>
      <c r="BE182" s="491"/>
      <c r="BF182" s="491"/>
      <c r="BG182" s="491"/>
      <c r="BH182" s="491"/>
      <c r="BI182" s="491"/>
      <c r="BJ182" s="491"/>
      <c r="BL182" s="491"/>
      <c r="BM182" s="491"/>
      <c r="BN182" s="491"/>
      <c r="BO182" s="491"/>
      <c r="BP182" s="622"/>
      <c r="BQ182" s="274"/>
    </row>
    <row r="183" spans="2:69">
      <c r="B183" s="96"/>
      <c r="C183" s="96"/>
      <c r="D183" s="184"/>
      <c r="E183" s="179"/>
      <c r="F183" s="87"/>
      <c r="G183" s="87"/>
      <c r="H183" s="185"/>
      <c r="I183" s="184"/>
      <c r="J183" s="184"/>
      <c r="K183" s="184"/>
      <c r="L183" s="296"/>
      <c r="N183" s="1053"/>
      <c r="O183" s="489"/>
      <c r="P183" s="489"/>
      <c r="T183" s="626"/>
      <c r="U183" s="489"/>
      <c r="V183" s="483"/>
      <c r="W183" s="627"/>
      <c r="X183" s="628"/>
      <c r="Y183" s="489"/>
      <c r="Z183" s="629"/>
      <c r="AA183" s="626"/>
      <c r="AB183" s="481"/>
      <c r="AC183" s="1388"/>
      <c r="AD183" s="482"/>
      <c r="AE183" s="482"/>
      <c r="AF183" s="482"/>
      <c r="AG183" s="482"/>
      <c r="AH183" s="482"/>
      <c r="AI183" s="482"/>
      <c r="AJ183" s="482"/>
      <c r="AK183" s="482"/>
      <c r="AL183" s="482"/>
      <c r="AM183" s="482"/>
      <c r="AN183" s="483"/>
      <c r="AO183" s="483"/>
      <c r="AP183" s="484"/>
      <c r="AQ183" s="484"/>
      <c r="AR183" s="629"/>
      <c r="AS183" s="629"/>
      <c r="AT183" s="629"/>
      <c r="AU183" s="629"/>
      <c r="AV183" s="629"/>
      <c r="AW183" s="630"/>
      <c r="AZ183" s="489"/>
      <c r="BA183" s="631"/>
      <c r="BB183" s="491"/>
      <c r="BC183" s="491"/>
      <c r="BD183" s="491"/>
      <c r="BE183" s="491"/>
      <c r="BF183" s="491"/>
      <c r="BG183" s="491"/>
      <c r="BH183" s="491"/>
      <c r="BI183" s="491"/>
      <c r="BJ183" s="491"/>
      <c r="BL183" s="491"/>
      <c r="BM183" s="491"/>
      <c r="BN183" s="491"/>
      <c r="BO183" s="491"/>
      <c r="BP183" s="622"/>
      <c r="BQ183" s="274"/>
    </row>
    <row r="184" spans="2:69">
      <c r="B184" s="96"/>
      <c r="C184" s="96"/>
      <c r="D184" s="184"/>
      <c r="E184" s="179"/>
      <c r="F184" s="87"/>
      <c r="G184" s="87"/>
      <c r="H184" s="185"/>
      <c r="I184" s="184"/>
      <c r="J184" s="184"/>
      <c r="K184" s="184"/>
      <c r="L184" s="296"/>
      <c r="N184" s="1053"/>
      <c r="O184" s="489"/>
      <c r="P184" s="489"/>
      <c r="T184" s="626"/>
      <c r="U184" s="489"/>
      <c r="V184" s="483"/>
      <c r="W184" s="627"/>
      <c r="X184" s="628"/>
      <c r="Y184" s="489"/>
      <c r="Z184" s="629"/>
      <c r="AA184" s="626"/>
      <c r="AB184" s="481"/>
      <c r="AC184" s="1388"/>
      <c r="AD184" s="482"/>
      <c r="AE184" s="482"/>
      <c r="AF184" s="482"/>
      <c r="AG184" s="482"/>
      <c r="AH184" s="482"/>
      <c r="AI184" s="482"/>
      <c r="AJ184" s="482"/>
      <c r="AK184" s="482"/>
      <c r="AL184" s="482"/>
      <c r="AM184" s="482"/>
      <c r="AN184" s="483"/>
      <c r="AO184" s="483"/>
      <c r="AP184" s="484"/>
      <c r="AQ184" s="484"/>
      <c r="AR184" s="629"/>
      <c r="AS184" s="629"/>
      <c r="AT184" s="629"/>
      <c r="AU184" s="629"/>
      <c r="AV184" s="629"/>
      <c r="AW184" s="630"/>
      <c r="AZ184" s="489"/>
      <c r="BA184" s="631"/>
      <c r="BB184" s="491"/>
      <c r="BC184" s="491"/>
      <c r="BD184" s="491"/>
      <c r="BE184" s="491"/>
      <c r="BF184" s="491"/>
      <c r="BG184" s="491"/>
      <c r="BH184" s="491"/>
      <c r="BI184" s="491"/>
      <c r="BJ184" s="491"/>
      <c r="BL184" s="491"/>
      <c r="BM184" s="491"/>
      <c r="BN184" s="491"/>
      <c r="BO184" s="491"/>
      <c r="BP184" s="622"/>
      <c r="BQ184" s="274"/>
    </row>
    <row r="185" spans="2:69">
      <c r="B185" s="96"/>
      <c r="C185" s="96"/>
      <c r="D185" s="184"/>
      <c r="E185" s="179"/>
      <c r="F185" s="87"/>
      <c r="G185" s="87"/>
      <c r="H185" s="185"/>
      <c r="I185" s="184"/>
      <c r="J185" s="184"/>
      <c r="K185" s="184"/>
      <c r="L185" s="296"/>
      <c r="N185" s="1053"/>
      <c r="O185" s="489"/>
      <c r="P185" s="489"/>
      <c r="T185" s="626"/>
      <c r="U185" s="489"/>
      <c r="V185" s="483"/>
      <c r="W185" s="627"/>
      <c r="X185" s="628"/>
      <c r="Y185" s="489"/>
      <c r="Z185" s="629"/>
      <c r="AA185" s="626"/>
      <c r="AB185" s="481"/>
      <c r="AC185" s="1388"/>
      <c r="AD185" s="482"/>
      <c r="AE185" s="482"/>
      <c r="AF185" s="482"/>
      <c r="AG185" s="482"/>
      <c r="AH185" s="482"/>
      <c r="AI185" s="482"/>
      <c r="AJ185" s="482"/>
      <c r="AK185" s="482"/>
      <c r="AL185" s="482"/>
      <c r="AM185" s="482"/>
      <c r="AN185" s="483"/>
      <c r="AO185" s="483"/>
      <c r="AP185" s="484"/>
      <c r="AQ185" s="484"/>
      <c r="AR185" s="629"/>
      <c r="AS185" s="629"/>
      <c r="AT185" s="629"/>
      <c r="AU185" s="629"/>
      <c r="AV185" s="629"/>
      <c r="AW185" s="630"/>
      <c r="AZ185" s="489"/>
      <c r="BA185" s="631"/>
      <c r="BB185" s="491"/>
      <c r="BC185" s="491"/>
      <c r="BD185" s="491"/>
      <c r="BE185" s="491"/>
      <c r="BF185" s="491"/>
      <c r="BG185" s="491"/>
      <c r="BH185" s="491"/>
      <c r="BI185" s="491"/>
      <c r="BJ185" s="491"/>
      <c r="BL185" s="491"/>
      <c r="BM185" s="491"/>
      <c r="BN185" s="491"/>
      <c r="BO185" s="491"/>
      <c r="BP185" s="622"/>
      <c r="BQ185" s="274"/>
    </row>
    <row r="186" spans="2:69">
      <c r="B186" s="96"/>
      <c r="C186" s="96"/>
      <c r="D186" s="184"/>
      <c r="E186" s="179"/>
      <c r="F186" s="87"/>
      <c r="G186" s="87"/>
      <c r="H186" s="185"/>
      <c r="I186" s="184"/>
      <c r="J186" s="184"/>
      <c r="K186" s="184"/>
      <c r="L186" s="296"/>
      <c r="N186" s="1053"/>
      <c r="O186" s="489"/>
      <c r="P186" s="489"/>
      <c r="T186" s="626"/>
      <c r="U186" s="489"/>
      <c r="V186" s="483"/>
      <c r="W186" s="627"/>
      <c r="X186" s="628"/>
      <c r="Y186" s="489"/>
      <c r="Z186" s="629"/>
      <c r="AA186" s="626"/>
      <c r="AB186" s="481"/>
      <c r="AC186" s="1388"/>
      <c r="AD186" s="482"/>
      <c r="AE186" s="482"/>
      <c r="AF186" s="482"/>
      <c r="AG186" s="482"/>
      <c r="AH186" s="482"/>
      <c r="AI186" s="482"/>
      <c r="AJ186" s="482"/>
      <c r="AK186" s="482"/>
      <c r="AL186" s="482"/>
      <c r="AM186" s="482"/>
      <c r="AN186" s="483"/>
      <c r="AO186" s="483"/>
      <c r="AP186" s="484"/>
      <c r="AQ186" s="484"/>
      <c r="AR186" s="629"/>
      <c r="AS186" s="629"/>
      <c r="AT186" s="629"/>
      <c r="AU186" s="629"/>
      <c r="AV186" s="629"/>
      <c r="AW186" s="630"/>
      <c r="AZ186" s="489"/>
      <c r="BA186" s="631"/>
      <c r="BB186" s="491"/>
      <c r="BC186" s="491"/>
      <c r="BD186" s="491"/>
      <c r="BE186" s="491"/>
      <c r="BF186" s="491"/>
      <c r="BG186" s="491"/>
      <c r="BH186" s="491"/>
      <c r="BI186" s="491"/>
      <c r="BJ186" s="491"/>
      <c r="BL186" s="491"/>
      <c r="BM186" s="491"/>
      <c r="BN186" s="491"/>
      <c r="BO186" s="491"/>
      <c r="BP186" s="622"/>
      <c r="BQ186" s="274"/>
    </row>
    <row r="187" spans="2:69">
      <c r="B187" s="96"/>
      <c r="C187" s="96"/>
      <c r="D187" s="184"/>
      <c r="E187" s="179"/>
      <c r="F187" s="87"/>
      <c r="G187" s="87"/>
      <c r="H187" s="185"/>
      <c r="I187" s="184"/>
      <c r="J187" s="184"/>
      <c r="K187" s="184"/>
      <c r="L187" s="296"/>
      <c r="N187" s="1053"/>
      <c r="O187" s="489"/>
      <c r="P187" s="489"/>
      <c r="T187" s="626"/>
      <c r="U187" s="489"/>
      <c r="V187" s="483"/>
      <c r="W187" s="627"/>
      <c r="X187" s="628"/>
      <c r="Y187" s="489"/>
      <c r="Z187" s="629"/>
      <c r="AA187" s="626"/>
      <c r="AB187" s="481"/>
      <c r="AC187" s="1388"/>
      <c r="AD187" s="482"/>
      <c r="AE187" s="482"/>
      <c r="AF187" s="482"/>
      <c r="AG187" s="482"/>
      <c r="AH187" s="482"/>
      <c r="AI187" s="482"/>
      <c r="AJ187" s="482"/>
      <c r="AK187" s="482"/>
      <c r="AL187" s="482"/>
      <c r="AM187" s="482"/>
      <c r="AN187" s="483"/>
      <c r="AO187" s="483"/>
      <c r="AP187" s="484"/>
      <c r="AQ187" s="484"/>
      <c r="AR187" s="629"/>
      <c r="AS187" s="629"/>
      <c r="AT187" s="629"/>
      <c r="AU187" s="629"/>
      <c r="AV187" s="629"/>
      <c r="AW187" s="630"/>
      <c r="AZ187" s="489"/>
      <c r="BA187" s="631"/>
      <c r="BB187" s="491"/>
      <c r="BC187" s="491"/>
      <c r="BD187" s="491"/>
      <c r="BE187" s="491"/>
      <c r="BF187" s="491"/>
      <c r="BG187" s="491"/>
      <c r="BH187" s="491"/>
      <c r="BI187" s="491"/>
      <c r="BJ187" s="491"/>
      <c r="BL187" s="491"/>
      <c r="BM187" s="491"/>
      <c r="BN187" s="491"/>
      <c r="BO187" s="491"/>
      <c r="BP187" s="622"/>
      <c r="BQ187" s="274"/>
    </row>
    <row r="188" spans="2:69">
      <c r="B188" s="96"/>
      <c r="C188" s="96"/>
      <c r="D188" s="184"/>
      <c r="E188" s="179"/>
      <c r="F188" s="87"/>
      <c r="G188" s="87"/>
      <c r="H188" s="185"/>
      <c r="I188" s="184"/>
      <c r="J188" s="184"/>
      <c r="K188" s="184"/>
      <c r="L188" s="296"/>
      <c r="N188" s="1053"/>
      <c r="O188" s="489"/>
      <c r="P188" s="489"/>
      <c r="T188" s="626"/>
      <c r="U188" s="489"/>
      <c r="V188" s="483"/>
      <c r="W188" s="627"/>
      <c r="X188" s="628"/>
      <c r="Y188" s="489"/>
      <c r="Z188" s="629"/>
      <c r="AA188" s="626"/>
      <c r="AB188" s="481"/>
      <c r="AC188" s="1388"/>
      <c r="AD188" s="482"/>
      <c r="AE188" s="482"/>
      <c r="AF188" s="482"/>
      <c r="AG188" s="482"/>
      <c r="AH188" s="482"/>
      <c r="AI188" s="482"/>
      <c r="AJ188" s="482"/>
      <c r="AK188" s="482"/>
      <c r="AL188" s="482"/>
      <c r="AM188" s="482"/>
      <c r="AN188" s="483"/>
      <c r="AO188" s="483"/>
      <c r="AP188" s="484"/>
      <c r="AQ188" s="484"/>
      <c r="AR188" s="629"/>
      <c r="AS188" s="629"/>
      <c r="AT188" s="629"/>
      <c r="AU188" s="629"/>
      <c r="AV188" s="629"/>
      <c r="AW188" s="630"/>
      <c r="AZ188" s="489"/>
      <c r="BA188" s="631"/>
      <c r="BB188" s="491"/>
      <c r="BC188" s="491"/>
      <c r="BD188" s="491"/>
      <c r="BE188" s="491"/>
      <c r="BF188" s="491"/>
      <c r="BG188" s="491"/>
      <c r="BH188" s="491"/>
      <c r="BI188" s="491"/>
      <c r="BJ188" s="491"/>
      <c r="BL188" s="491"/>
      <c r="BM188" s="491"/>
      <c r="BN188" s="491"/>
      <c r="BO188" s="491"/>
      <c r="BP188" s="622"/>
      <c r="BQ188" s="274"/>
    </row>
    <row r="189" spans="2:69">
      <c r="B189" s="96"/>
      <c r="C189" s="96"/>
      <c r="D189" s="184"/>
      <c r="E189" s="179"/>
      <c r="F189" s="87"/>
      <c r="G189" s="87"/>
      <c r="H189" s="185"/>
      <c r="I189" s="184"/>
      <c r="J189" s="184"/>
      <c r="K189" s="184"/>
      <c r="L189" s="296"/>
      <c r="N189" s="1053"/>
      <c r="O189" s="489"/>
      <c r="P189" s="489"/>
      <c r="T189" s="626"/>
      <c r="U189" s="489"/>
      <c r="V189" s="483"/>
      <c r="W189" s="627"/>
      <c r="X189" s="628"/>
      <c r="Y189" s="489"/>
      <c r="Z189" s="629"/>
      <c r="AA189" s="626"/>
      <c r="AB189" s="481"/>
      <c r="AC189" s="1388"/>
      <c r="AD189" s="482"/>
      <c r="AE189" s="482"/>
      <c r="AF189" s="482"/>
      <c r="AG189" s="482"/>
      <c r="AH189" s="482"/>
      <c r="AI189" s="482"/>
      <c r="AJ189" s="482"/>
      <c r="AK189" s="482"/>
      <c r="AL189" s="482"/>
      <c r="AM189" s="482"/>
      <c r="AN189" s="483"/>
      <c r="AO189" s="483"/>
      <c r="AP189" s="484"/>
      <c r="AQ189" s="484"/>
      <c r="AR189" s="629"/>
      <c r="AS189" s="629"/>
      <c r="AT189" s="629"/>
      <c r="AU189" s="629"/>
      <c r="AV189" s="629"/>
      <c r="AW189" s="630"/>
      <c r="AZ189" s="489"/>
      <c r="BA189" s="631"/>
      <c r="BB189" s="491"/>
      <c r="BC189" s="491"/>
      <c r="BD189" s="491"/>
      <c r="BE189" s="491"/>
      <c r="BF189" s="491"/>
      <c r="BG189" s="491"/>
      <c r="BH189" s="491"/>
      <c r="BI189" s="491"/>
      <c r="BJ189" s="491"/>
      <c r="BL189" s="491"/>
      <c r="BM189" s="491"/>
      <c r="BN189" s="491"/>
      <c r="BO189" s="491"/>
      <c r="BP189" s="622"/>
      <c r="BQ189" s="274"/>
    </row>
    <row r="190" spans="2:69">
      <c r="B190" s="96"/>
      <c r="C190" s="96"/>
      <c r="D190" s="184"/>
      <c r="E190" s="179"/>
      <c r="F190" s="87"/>
      <c r="G190" s="87"/>
      <c r="H190" s="185"/>
      <c r="I190" s="184"/>
      <c r="J190" s="184"/>
      <c r="K190" s="184"/>
      <c r="L190" s="296"/>
      <c r="N190" s="1053"/>
      <c r="O190" s="489"/>
      <c r="P190" s="489"/>
      <c r="T190" s="626"/>
      <c r="U190" s="489"/>
      <c r="V190" s="483"/>
      <c r="W190" s="627"/>
      <c r="X190" s="628"/>
      <c r="Y190" s="489"/>
      <c r="Z190" s="629"/>
      <c r="AA190" s="626"/>
      <c r="AB190" s="481"/>
      <c r="AC190" s="1388"/>
      <c r="AD190" s="482"/>
      <c r="AE190" s="482"/>
      <c r="AF190" s="482"/>
      <c r="AG190" s="482"/>
      <c r="AH190" s="482"/>
      <c r="AI190" s="482"/>
      <c r="AJ190" s="482"/>
      <c r="AK190" s="482"/>
      <c r="AL190" s="482"/>
      <c r="AM190" s="482"/>
      <c r="AN190" s="483"/>
      <c r="AO190" s="483"/>
      <c r="AP190" s="484"/>
      <c r="AQ190" s="484"/>
      <c r="AR190" s="629"/>
      <c r="AS190" s="629"/>
      <c r="AT190" s="629"/>
      <c r="AU190" s="629"/>
      <c r="AV190" s="629"/>
      <c r="AW190" s="630"/>
      <c r="AZ190" s="489"/>
      <c r="BA190" s="631"/>
      <c r="BB190" s="491"/>
      <c r="BC190" s="491"/>
      <c r="BD190" s="491"/>
      <c r="BE190" s="491"/>
      <c r="BF190" s="491"/>
      <c r="BG190" s="491"/>
      <c r="BH190" s="491"/>
      <c r="BI190" s="491"/>
      <c r="BJ190" s="491"/>
      <c r="BL190" s="491"/>
      <c r="BM190" s="491"/>
      <c r="BN190" s="491"/>
      <c r="BO190" s="491"/>
      <c r="BP190" s="622"/>
      <c r="BQ190" s="274"/>
    </row>
    <row r="191" spans="2:69">
      <c r="B191" s="96"/>
      <c r="C191" s="96"/>
      <c r="D191" s="184"/>
      <c r="E191" s="179"/>
      <c r="F191" s="87"/>
      <c r="G191" s="87"/>
      <c r="H191" s="185"/>
      <c r="I191" s="184"/>
      <c r="J191" s="184"/>
      <c r="K191" s="184"/>
      <c r="L191" s="296"/>
      <c r="N191" s="1053"/>
      <c r="O191" s="489"/>
      <c r="P191" s="489"/>
      <c r="T191" s="626"/>
      <c r="U191" s="489"/>
      <c r="V191" s="483"/>
      <c r="W191" s="627"/>
      <c r="X191" s="628"/>
      <c r="Y191" s="489"/>
      <c r="Z191" s="629"/>
      <c r="AA191" s="626"/>
      <c r="AB191" s="481"/>
      <c r="AC191" s="1388"/>
      <c r="AD191" s="482"/>
      <c r="AE191" s="482"/>
      <c r="AF191" s="482"/>
      <c r="AG191" s="482"/>
      <c r="AH191" s="482"/>
      <c r="AI191" s="482"/>
      <c r="AJ191" s="482"/>
      <c r="AK191" s="482"/>
      <c r="AL191" s="482"/>
      <c r="AM191" s="482"/>
      <c r="AN191" s="483"/>
      <c r="AO191" s="483"/>
      <c r="AP191" s="484"/>
      <c r="AQ191" s="484"/>
      <c r="AR191" s="629"/>
      <c r="AS191" s="629"/>
      <c r="AT191" s="629"/>
      <c r="AU191" s="629"/>
      <c r="AV191" s="629"/>
      <c r="AW191" s="630"/>
      <c r="AZ191" s="489"/>
      <c r="BA191" s="631"/>
      <c r="BB191" s="491"/>
      <c r="BC191" s="491"/>
      <c r="BD191" s="491"/>
      <c r="BE191" s="491"/>
      <c r="BF191" s="491"/>
      <c r="BG191" s="491"/>
      <c r="BH191" s="491"/>
      <c r="BI191" s="491"/>
      <c r="BJ191" s="491"/>
      <c r="BL191" s="491"/>
      <c r="BM191" s="491"/>
      <c r="BN191" s="491"/>
      <c r="BO191" s="491"/>
      <c r="BP191" s="622"/>
      <c r="BQ191" s="274"/>
    </row>
    <row r="192" spans="2:69">
      <c r="B192" s="96"/>
      <c r="C192" s="96"/>
      <c r="D192" s="184"/>
      <c r="E192" s="179"/>
      <c r="F192" s="87"/>
      <c r="G192" s="87"/>
      <c r="H192" s="185"/>
      <c r="I192" s="184"/>
      <c r="J192" s="184"/>
      <c r="K192" s="184"/>
      <c r="L192" s="296"/>
      <c r="N192" s="1053"/>
      <c r="O192" s="489"/>
      <c r="P192" s="489"/>
      <c r="T192" s="626"/>
      <c r="U192" s="489"/>
      <c r="V192" s="483"/>
      <c r="W192" s="627"/>
      <c r="X192" s="628"/>
      <c r="Y192" s="489"/>
      <c r="Z192" s="629"/>
      <c r="AA192" s="626"/>
      <c r="AB192" s="481"/>
      <c r="AC192" s="1388"/>
      <c r="AD192" s="482"/>
      <c r="AE192" s="482"/>
      <c r="AF192" s="482"/>
      <c r="AG192" s="482"/>
      <c r="AH192" s="482"/>
      <c r="AI192" s="482"/>
      <c r="AJ192" s="482"/>
      <c r="AK192" s="482"/>
      <c r="AL192" s="482"/>
      <c r="AM192" s="482"/>
      <c r="AN192" s="483"/>
      <c r="AO192" s="483"/>
      <c r="AP192" s="484"/>
      <c r="AQ192" s="484"/>
      <c r="AR192" s="629"/>
      <c r="AS192" s="629"/>
      <c r="AT192" s="629"/>
      <c r="AU192" s="629"/>
      <c r="AV192" s="629"/>
      <c r="AW192" s="630"/>
      <c r="AZ192" s="489"/>
      <c r="BA192" s="631"/>
      <c r="BB192" s="491"/>
      <c r="BC192" s="491"/>
      <c r="BD192" s="491"/>
      <c r="BE192" s="491"/>
      <c r="BF192" s="491"/>
      <c r="BG192" s="491"/>
      <c r="BH192" s="491"/>
      <c r="BI192" s="491"/>
      <c r="BJ192" s="491"/>
      <c r="BL192" s="491"/>
      <c r="BM192" s="491"/>
      <c r="BN192" s="491"/>
      <c r="BO192" s="491"/>
      <c r="BP192" s="622"/>
      <c r="BQ192" s="274"/>
    </row>
    <row r="193" spans="2:69">
      <c r="B193" s="96"/>
      <c r="C193" s="96"/>
      <c r="D193" s="184"/>
      <c r="E193" s="179"/>
      <c r="F193" s="87"/>
      <c r="G193" s="87"/>
      <c r="H193" s="185"/>
      <c r="I193" s="184"/>
      <c r="J193" s="184"/>
      <c r="K193" s="184"/>
      <c r="L193" s="296"/>
      <c r="N193" s="1053"/>
      <c r="O193" s="489"/>
      <c r="P193" s="489"/>
      <c r="T193" s="626"/>
      <c r="U193" s="489"/>
      <c r="V193" s="483"/>
      <c r="W193" s="627"/>
      <c r="X193" s="628"/>
      <c r="Y193" s="489"/>
      <c r="Z193" s="629"/>
      <c r="AA193" s="626"/>
      <c r="AB193" s="481"/>
      <c r="AC193" s="1388"/>
      <c r="AD193" s="482"/>
      <c r="AE193" s="482"/>
      <c r="AF193" s="482"/>
      <c r="AG193" s="482"/>
      <c r="AH193" s="482"/>
      <c r="AI193" s="482"/>
      <c r="AJ193" s="482"/>
      <c r="AK193" s="482"/>
      <c r="AL193" s="482"/>
      <c r="AM193" s="482"/>
      <c r="AN193" s="483"/>
      <c r="AO193" s="483"/>
      <c r="AP193" s="484"/>
      <c r="AQ193" s="484"/>
      <c r="AR193" s="629"/>
      <c r="AS193" s="629"/>
      <c r="AT193" s="629"/>
      <c r="AU193" s="629"/>
      <c r="AV193" s="629"/>
      <c r="AW193" s="630"/>
      <c r="AZ193" s="489"/>
      <c r="BA193" s="631"/>
      <c r="BB193" s="491"/>
      <c r="BC193" s="491"/>
      <c r="BD193" s="491"/>
      <c r="BE193" s="491"/>
      <c r="BF193" s="491"/>
      <c r="BG193" s="491"/>
      <c r="BH193" s="491"/>
      <c r="BI193" s="491"/>
      <c r="BJ193" s="491"/>
      <c r="BL193" s="491"/>
      <c r="BM193" s="491"/>
      <c r="BN193" s="491"/>
      <c r="BO193" s="491"/>
      <c r="BP193" s="622"/>
      <c r="BQ193" s="274"/>
    </row>
    <row r="194" spans="2:69">
      <c r="B194" s="96"/>
      <c r="C194" s="96"/>
      <c r="D194" s="184"/>
      <c r="E194" s="179"/>
      <c r="F194" s="87"/>
      <c r="G194" s="87"/>
      <c r="H194" s="185"/>
      <c r="I194" s="184"/>
      <c r="J194" s="184"/>
      <c r="K194" s="184"/>
      <c r="L194" s="296"/>
      <c r="N194" s="1053"/>
      <c r="O194" s="489"/>
      <c r="P194" s="489"/>
      <c r="T194" s="626"/>
      <c r="U194" s="489"/>
      <c r="V194" s="483"/>
      <c r="W194" s="627"/>
      <c r="X194" s="628"/>
      <c r="Y194" s="489"/>
      <c r="Z194" s="629"/>
      <c r="AA194" s="626"/>
      <c r="AB194" s="481"/>
      <c r="AC194" s="1388"/>
      <c r="AD194" s="482"/>
      <c r="AE194" s="482"/>
      <c r="AF194" s="482"/>
      <c r="AG194" s="482"/>
      <c r="AH194" s="482"/>
      <c r="AI194" s="482"/>
      <c r="AJ194" s="482"/>
      <c r="AK194" s="482"/>
      <c r="AL194" s="482"/>
      <c r="AM194" s="482"/>
      <c r="AN194" s="483"/>
      <c r="AO194" s="483"/>
      <c r="AP194" s="484"/>
      <c r="AQ194" s="484"/>
      <c r="AR194" s="629"/>
      <c r="AS194" s="629"/>
      <c r="AT194" s="629"/>
      <c r="AU194" s="629"/>
      <c r="AV194" s="629"/>
      <c r="AW194" s="630"/>
      <c r="AZ194" s="489"/>
      <c r="BA194" s="631"/>
      <c r="BB194" s="491"/>
      <c r="BC194" s="491"/>
      <c r="BD194" s="491"/>
      <c r="BE194" s="491"/>
      <c r="BF194" s="491"/>
      <c r="BG194" s="491"/>
      <c r="BH194" s="491"/>
      <c r="BI194" s="491"/>
      <c r="BJ194" s="491"/>
      <c r="BL194" s="491"/>
      <c r="BM194" s="491"/>
      <c r="BN194" s="491"/>
      <c r="BO194" s="491"/>
      <c r="BP194" s="622"/>
      <c r="BQ194" s="274"/>
    </row>
    <row r="195" spans="2:69">
      <c r="B195" s="96"/>
      <c r="C195" s="96"/>
      <c r="D195" s="184"/>
      <c r="E195" s="179"/>
      <c r="F195" s="87"/>
      <c r="G195" s="87"/>
      <c r="H195" s="185"/>
      <c r="I195" s="184"/>
      <c r="J195" s="184"/>
      <c r="K195" s="184"/>
      <c r="L195" s="296"/>
      <c r="N195" s="1053"/>
      <c r="O195" s="489"/>
      <c r="P195" s="489"/>
      <c r="T195" s="626"/>
      <c r="U195" s="489"/>
      <c r="V195" s="483"/>
      <c r="W195" s="627"/>
      <c r="X195" s="628"/>
      <c r="Y195" s="489"/>
      <c r="Z195" s="629"/>
      <c r="AA195" s="626"/>
      <c r="AB195" s="481"/>
      <c r="AC195" s="1388"/>
      <c r="AD195" s="482"/>
      <c r="AE195" s="482"/>
      <c r="AF195" s="482"/>
      <c r="AG195" s="482"/>
      <c r="AH195" s="482"/>
      <c r="AI195" s="482"/>
      <c r="AJ195" s="482"/>
      <c r="AK195" s="482"/>
      <c r="AL195" s="482"/>
      <c r="AM195" s="482"/>
      <c r="AN195" s="483"/>
      <c r="AO195" s="483"/>
      <c r="AP195" s="484"/>
      <c r="AQ195" s="484"/>
      <c r="AR195" s="629"/>
      <c r="AS195" s="629"/>
      <c r="AT195" s="629"/>
      <c r="AU195" s="629"/>
      <c r="AV195" s="629"/>
      <c r="AW195" s="630"/>
      <c r="AZ195" s="489"/>
      <c r="BA195" s="631"/>
      <c r="BB195" s="491"/>
      <c r="BC195" s="491"/>
      <c r="BD195" s="491"/>
      <c r="BE195" s="491"/>
      <c r="BF195" s="491"/>
      <c r="BG195" s="491"/>
      <c r="BH195" s="491"/>
      <c r="BI195" s="491"/>
      <c r="BJ195" s="491"/>
      <c r="BL195" s="491"/>
      <c r="BM195" s="491"/>
      <c r="BN195" s="491"/>
      <c r="BO195" s="491"/>
      <c r="BP195" s="622"/>
      <c r="BQ195" s="274"/>
    </row>
    <row r="196" spans="2:69">
      <c r="B196" s="96"/>
      <c r="C196" s="96"/>
      <c r="D196" s="184"/>
      <c r="E196" s="179"/>
      <c r="F196" s="87"/>
      <c r="G196" s="87"/>
      <c r="H196" s="185"/>
      <c r="I196" s="184"/>
      <c r="J196" s="184"/>
      <c r="K196" s="184"/>
      <c r="L196" s="296"/>
      <c r="N196" s="1053"/>
      <c r="O196" s="489"/>
      <c r="P196" s="489"/>
      <c r="T196" s="626"/>
      <c r="U196" s="489"/>
      <c r="V196" s="483"/>
      <c r="W196" s="627"/>
      <c r="X196" s="628"/>
      <c r="Y196" s="489"/>
      <c r="Z196" s="629"/>
      <c r="AA196" s="626"/>
      <c r="AB196" s="481"/>
      <c r="AC196" s="1388"/>
      <c r="AD196" s="482"/>
      <c r="AE196" s="482"/>
      <c r="AF196" s="482"/>
      <c r="AG196" s="482"/>
      <c r="AH196" s="482"/>
      <c r="AI196" s="482"/>
      <c r="AJ196" s="482"/>
      <c r="AK196" s="482"/>
      <c r="AL196" s="482"/>
      <c r="AM196" s="482"/>
      <c r="AN196" s="483"/>
      <c r="AO196" s="483"/>
      <c r="AP196" s="484"/>
      <c r="AQ196" s="484"/>
      <c r="AR196" s="629"/>
      <c r="AS196" s="629"/>
      <c r="AT196" s="629"/>
      <c r="AU196" s="629"/>
      <c r="AV196" s="629"/>
      <c r="AW196" s="630"/>
      <c r="AZ196" s="489"/>
      <c r="BA196" s="631"/>
      <c r="BB196" s="491"/>
      <c r="BC196" s="491"/>
      <c r="BD196" s="491"/>
      <c r="BE196" s="491"/>
      <c r="BF196" s="491"/>
      <c r="BG196" s="491"/>
      <c r="BH196" s="491"/>
      <c r="BI196" s="491"/>
      <c r="BJ196" s="491"/>
      <c r="BL196" s="491"/>
      <c r="BM196" s="491"/>
      <c r="BN196" s="491"/>
      <c r="BO196" s="491"/>
      <c r="BP196" s="622"/>
      <c r="BQ196" s="274"/>
    </row>
    <row r="197" spans="2:69">
      <c r="B197" s="96"/>
      <c r="C197" s="96"/>
      <c r="D197" s="184"/>
      <c r="E197" s="179"/>
      <c r="F197" s="87"/>
      <c r="G197" s="87"/>
      <c r="H197" s="185"/>
      <c r="I197" s="184"/>
      <c r="J197" s="184"/>
      <c r="K197" s="184"/>
      <c r="L197" s="296"/>
      <c r="N197" s="1053"/>
      <c r="O197" s="489"/>
      <c r="P197" s="489"/>
      <c r="T197" s="626"/>
      <c r="U197" s="489"/>
      <c r="V197" s="483"/>
      <c r="W197" s="627"/>
      <c r="X197" s="628"/>
      <c r="Y197" s="489"/>
      <c r="Z197" s="629"/>
      <c r="AA197" s="626"/>
      <c r="AB197" s="481"/>
      <c r="AC197" s="1388"/>
      <c r="AD197" s="482"/>
      <c r="AE197" s="482"/>
      <c r="AF197" s="482"/>
      <c r="AG197" s="482"/>
      <c r="AH197" s="482"/>
      <c r="AI197" s="482"/>
      <c r="AJ197" s="482"/>
      <c r="AK197" s="482"/>
      <c r="AL197" s="482"/>
      <c r="AM197" s="482"/>
      <c r="AN197" s="483"/>
      <c r="AO197" s="483"/>
      <c r="AP197" s="484"/>
      <c r="AQ197" s="484"/>
      <c r="AR197" s="629"/>
      <c r="AS197" s="629"/>
      <c r="AT197" s="629"/>
      <c r="AU197" s="629"/>
      <c r="AV197" s="629"/>
      <c r="AW197" s="630"/>
      <c r="AZ197" s="489"/>
      <c r="BA197" s="631"/>
      <c r="BB197" s="491"/>
      <c r="BC197" s="491"/>
      <c r="BD197" s="491"/>
      <c r="BE197" s="491"/>
      <c r="BF197" s="491"/>
      <c r="BG197" s="491"/>
      <c r="BH197" s="491"/>
      <c r="BI197" s="491"/>
      <c r="BJ197" s="491"/>
      <c r="BL197" s="491"/>
      <c r="BM197" s="491"/>
      <c r="BN197" s="491"/>
      <c r="BO197" s="491"/>
      <c r="BP197" s="622"/>
      <c r="BQ197" s="274"/>
    </row>
    <row r="198" spans="2:69">
      <c r="B198" s="96"/>
      <c r="C198" s="96"/>
      <c r="D198" s="184"/>
      <c r="E198" s="179"/>
      <c r="F198" s="87"/>
      <c r="G198" s="87"/>
      <c r="H198" s="185"/>
      <c r="I198" s="184"/>
      <c r="J198" s="184"/>
      <c r="K198" s="184"/>
      <c r="L198" s="296"/>
      <c r="N198" s="1053"/>
      <c r="O198" s="489"/>
      <c r="P198" s="489"/>
      <c r="T198" s="626"/>
      <c r="U198" s="489"/>
      <c r="V198" s="483"/>
      <c r="W198" s="627"/>
      <c r="X198" s="628"/>
      <c r="Y198" s="489"/>
      <c r="Z198" s="629"/>
      <c r="AA198" s="626"/>
      <c r="AB198" s="481"/>
      <c r="AC198" s="1388"/>
      <c r="AD198" s="482"/>
      <c r="AE198" s="482"/>
      <c r="AF198" s="482"/>
      <c r="AG198" s="482"/>
      <c r="AH198" s="482"/>
      <c r="AI198" s="482"/>
      <c r="AJ198" s="482"/>
      <c r="AK198" s="482"/>
      <c r="AL198" s="482"/>
      <c r="AM198" s="482"/>
      <c r="AN198" s="483"/>
      <c r="AO198" s="483"/>
      <c r="AP198" s="484"/>
      <c r="AQ198" s="484"/>
      <c r="AR198" s="629"/>
      <c r="AS198" s="629"/>
      <c r="AT198" s="629"/>
      <c r="AU198" s="629"/>
      <c r="AV198" s="629"/>
      <c r="AW198" s="630"/>
      <c r="AZ198" s="489"/>
      <c r="BA198" s="631"/>
      <c r="BB198" s="491"/>
      <c r="BC198" s="491"/>
      <c r="BD198" s="491"/>
      <c r="BE198" s="491"/>
      <c r="BF198" s="491"/>
      <c r="BG198" s="491"/>
      <c r="BH198" s="491"/>
      <c r="BI198" s="491"/>
      <c r="BJ198" s="491"/>
      <c r="BL198" s="491"/>
      <c r="BM198" s="491"/>
      <c r="BN198" s="491"/>
      <c r="BO198" s="491"/>
      <c r="BP198" s="622"/>
      <c r="BQ198" s="274"/>
    </row>
    <row r="199" spans="2:69">
      <c r="B199" s="96"/>
      <c r="C199" s="96"/>
      <c r="D199" s="184"/>
      <c r="E199" s="179"/>
      <c r="F199" s="87"/>
      <c r="G199" s="87"/>
      <c r="H199" s="185"/>
      <c r="I199" s="184"/>
      <c r="J199" s="184"/>
      <c r="K199" s="184"/>
      <c r="L199" s="296"/>
      <c r="N199" s="1053"/>
      <c r="O199" s="489"/>
      <c r="P199" s="489"/>
      <c r="T199" s="626"/>
      <c r="U199" s="489"/>
      <c r="V199" s="483"/>
      <c r="W199" s="627"/>
      <c r="X199" s="628"/>
      <c r="Y199" s="489"/>
      <c r="Z199" s="629"/>
      <c r="AA199" s="626"/>
      <c r="AB199" s="481"/>
      <c r="AC199" s="1388"/>
      <c r="AD199" s="482"/>
      <c r="AE199" s="482"/>
      <c r="AF199" s="482"/>
      <c r="AG199" s="482"/>
      <c r="AH199" s="482"/>
      <c r="AI199" s="482"/>
      <c r="AJ199" s="482"/>
      <c r="AK199" s="482"/>
      <c r="AL199" s="482"/>
      <c r="AM199" s="482"/>
      <c r="AN199" s="483"/>
      <c r="AO199" s="483"/>
      <c r="AP199" s="484"/>
      <c r="AQ199" s="484"/>
      <c r="AR199" s="629"/>
      <c r="AS199" s="629"/>
      <c r="AT199" s="629"/>
      <c r="AU199" s="629"/>
      <c r="AV199" s="629"/>
      <c r="AW199" s="630"/>
      <c r="AZ199" s="489"/>
      <c r="BA199" s="631"/>
      <c r="BB199" s="491"/>
      <c r="BC199" s="491"/>
      <c r="BD199" s="491"/>
      <c r="BE199" s="491"/>
      <c r="BF199" s="491"/>
      <c r="BG199" s="491"/>
      <c r="BH199" s="491"/>
      <c r="BI199" s="491"/>
      <c r="BJ199" s="491"/>
      <c r="BL199" s="491"/>
      <c r="BM199" s="491"/>
      <c r="BN199" s="491"/>
      <c r="BO199" s="491"/>
      <c r="BP199" s="622"/>
      <c r="BQ199" s="274"/>
    </row>
    <row r="200" spans="2:69">
      <c r="B200" s="96"/>
      <c r="C200" s="96"/>
      <c r="D200" s="184"/>
      <c r="E200" s="179"/>
      <c r="F200" s="87"/>
      <c r="G200" s="87"/>
      <c r="H200" s="185"/>
      <c r="I200" s="184"/>
      <c r="J200" s="184"/>
      <c r="K200" s="184"/>
      <c r="L200" s="296"/>
      <c r="N200" s="1053"/>
      <c r="O200" s="489"/>
      <c r="P200" s="489"/>
      <c r="T200" s="626"/>
      <c r="U200" s="489"/>
      <c r="V200" s="483"/>
      <c r="W200" s="627"/>
      <c r="X200" s="628"/>
      <c r="Y200" s="489"/>
      <c r="Z200" s="629"/>
      <c r="AA200" s="626"/>
      <c r="AB200" s="481"/>
      <c r="AC200" s="1388"/>
      <c r="AD200" s="482"/>
      <c r="AE200" s="482"/>
      <c r="AF200" s="482"/>
      <c r="AG200" s="482"/>
      <c r="AH200" s="482"/>
      <c r="AI200" s="482"/>
      <c r="AJ200" s="482"/>
      <c r="AK200" s="482"/>
      <c r="AL200" s="482"/>
      <c r="AM200" s="482"/>
      <c r="AN200" s="483"/>
      <c r="AO200" s="483"/>
      <c r="AP200" s="484"/>
      <c r="AQ200" s="484"/>
      <c r="AR200" s="629"/>
      <c r="AS200" s="629"/>
      <c r="AT200" s="629"/>
      <c r="AU200" s="629"/>
      <c r="AV200" s="629"/>
      <c r="AW200" s="630"/>
      <c r="AZ200" s="489"/>
      <c r="BA200" s="631"/>
      <c r="BB200" s="491"/>
      <c r="BC200" s="491"/>
      <c r="BD200" s="491"/>
      <c r="BE200" s="491"/>
      <c r="BF200" s="491"/>
      <c r="BG200" s="491"/>
      <c r="BH200" s="491"/>
      <c r="BI200" s="491"/>
      <c r="BJ200" s="491"/>
      <c r="BL200" s="491"/>
      <c r="BM200" s="491"/>
      <c r="BN200" s="491"/>
      <c r="BO200" s="491"/>
      <c r="BP200" s="622"/>
      <c r="BQ200" s="274"/>
    </row>
    <row r="201" spans="2:69">
      <c r="B201" s="96"/>
      <c r="C201" s="96"/>
      <c r="D201" s="184"/>
      <c r="E201" s="179"/>
      <c r="F201" s="87"/>
      <c r="G201" s="87"/>
      <c r="H201" s="185"/>
      <c r="I201" s="184"/>
      <c r="J201" s="184"/>
      <c r="K201" s="184"/>
      <c r="L201" s="296"/>
      <c r="N201" s="1053"/>
      <c r="O201" s="489"/>
      <c r="P201" s="489"/>
      <c r="T201" s="626"/>
      <c r="U201" s="489"/>
      <c r="V201" s="483"/>
      <c r="W201" s="627"/>
      <c r="X201" s="628"/>
      <c r="Y201" s="489"/>
      <c r="Z201" s="629"/>
      <c r="AA201" s="626"/>
      <c r="AB201" s="481"/>
      <c r="AC201" s="1388"/>
      <c r="AD201" s="482"/>
      <c r="AE201" s="482"/>
      <c r="AF201" s="482"/>
      <c r="AG201" s="482"/>
      <c r="AH201" s="482"/>
      <c r="AI201" s="482"/>
      <c r="AJ201" s="482"/>
      <c r="AK201" s="482"/>
      <c r="AL201" s="482"/>
      <c r="AM201" s="482"/>
      <c r="AN201" s="483"/>
      <c r="AO201" s="483"/>
      <c r="AP201" s="484"/>
      <c r="AQ201" s="484"/>
      <c r="AR201" s="629"/>
      <c r="AS201" s="629"/>
      <c r="AT201" s="629"/>
      <c r="AU201" s="629"/>
      <c r="AV201" s="629"/>
      <c r="AW201" s="630"/>
      <c r="AZ201" s="489"/>
      <c r="BA201" s="631"/>
      <c r="BB201" s="491"/>
      <c r="BC201" s="491"/>
      <c r="BD201" s="491"/>
      <c r="BE201" s="491"/>
      <c r="BF201" s="491"/>
      <c r="BG201" s="491"/>
      <c r="BH201" s="491"/>
      <c r="BI201" s="491"/>
      <c r="BJ201" s="491"/>
      <c r="BL201" s="491"/>
      <c r="BM201" s="491"/>
      <c r="BN201" s="491"/>
      <c r="BO201" s="491"/>
      <c r="BP201" s="622"/>
      <c r="BQ201" s="274"/>
    </row>
    <row r="202" spans="2:69">
      <c r="B202" s="96"/>
      <c r="C202" s="96"/>
      <c r="D202" s="184"/>
      <c r="E202" s="179"/>
      <c r="F202" s="87"/>
      <c r="G202" s="87"/>
      <c r="H202" s="185"/>
      <c r="I202" s="184"/>
      <c r="J202" s="184"/>
      <c r="K202" s="184"/>
      <c r="L202" s="296"/>
      <c r="N202" s="1053"/>
      <c r="O202" s="489"/>
      <c r="P202" s="489"/>
      <c r="T202" s="626"/>
      <c r="U202" s="489"/>
      <c r="V202" s="483"/>
      <c r="W202" s="627"/>
      <c r="X202" s="628"/>
      <c r="Y202" s="489"/>
      <c r="Z202" s="629"/>
      <c r="AA202" s="626"/>
      <c r="AB202" s="481"/>
      <c r="AC202" s="1388"/>
      <c r="AD202" s="482"/>
      <c r="AE202" s="482"/>
      <c r="AF202" s="482"/>
      <c r="AG202" s="482"/>
      <c r="AH202" s="482"/>
      <c r="AI202" s="482"/>
      <c r="AJ202" s="482"/>
      <c r="AK202" s="482"/>
      <c r="AL202" s="482"/>
      <c r="AM202" s="482"/>
      <c r="AN202" s="483"/>
      <c r="AO202" s="483"/>
      <c r="AP202" s="484"/>
      <c r="AQ202" s="484"/>
      <c r="AR202" s="629"/>
      <c r="AS202" s="629"/>
      <c r="AT202" s="629"/>
      <c r="AU202" s="629"/>
      <c r="AV202" s="629"/>
      <c r="AW202" s="630"/>
      <c r="AZ202" s="489"/>
      <c r="BA202" s="631"/>
      <c r="BB202" s="491"/>
      <c r="BC202" s="491"/>
      <c r="BD202" s="491"/>
      <c r="BE202" s="491"/>
      <c r="BF202" s="491"/>
      <c r="BG202" s="491"/>
      <c r="BH202" s="491"/>
      <c r="BI202" s="491"/>
      <c r="BJ202" s="491"/>
      <c r="BL202" s="491"/>
      <c r="BM202" s="491"/>
      <c r="BN202" s="491"/>
      <c r="BO202" s="491"/>
      <c r="BP202" s="622"/>
      <c r="BQ202" s="274"/>
    </row>
    <row r="203" spans="2:69">
      <c r="B203" s="96"/>
      <c r="C203" s="96"/>
      <c r="D203" s="184"/>
      <c r="E203" s="179"/>
      <c r="F203" s="87"/>
      <c r="G203" s="87"/>
      <c r="H203" s="185"/>
      <c r="I203" s="184"/>
      <c r="J203" s="184"/>
      <c r="K203" s="184"/>
      <c r="L203" s="296"/>
      <c r="N203" s="1053"/>
      <c r="O203" s="489"/>
      <c r="P203" s="489"/>
      <c r="T203" s="626"/>
      <c r="U203" s="489"/>
      <c r="V203" s="483"/>
      <c r="W203" s="627"/>
      <c r="X203" s="628"/>
      <c r="Y203" s="489"/>
      <c r="Z203" s="629"/>
      <c r="AA203" s="626"/>
      <c r="AB203" s="481"/>
      <c r="AC203" s="1388"/>
      <c r="AD203" s="482"/>
      <c r="AE203" s="482"/>
      <c r="AF203" s="482"/>
      <c r="AG203" s="482"/>
      <c r="AH203" s="482"/>
      <c r="AI203" s="482"/>
      <c r="AJ203" s="482"/>
      <c r="AK203" s="482"/>
      <c r="AL203" s="482"/>
      <c r="AM203" s="482"/>
      <c r="AN203" s="483"/>
      <c r="AO203" s="483"/>
      <c r="AP203" s="484"/>
      <c r="AQ203" s="484"/>
      <c r="AR203" s="629"/>
      <c r="AS203" s="629"/>
      <c r="AT203" s="629"/>
      <c r="AU203" s="629"/>
      <c r="AV203" s="629"/>
      <c r="AW203" s="630"/>
      <c r="AZ203" s="489"/>
      <c r="BA203" s="631"/>
      <c r="BB203" s="491"/>
      <c r="BC203" s="491"/>
      <c r="BD203" s="491"/>
      <c r="BE203" s="491"/>
      <c r="BF203" s="491"/>
      <c r="BG203" s="491"/>
      <c r="BH203" s="491"/>
      <c r="BI203" s="491"/>
      <c r="BJ203" s="491"/>
      <c r="BL203" s="491"/>
      <c r="BM203" s="491"/>
      <c r="BN203" s="491"/>
      <c r="BO203" s="491"/>
      <c r="BP203" s="622"/>
      <c r="BQ203" s="274"/>
    </row>
    <row r="204" spans="2:69">
      <c r="B204" s="96"/>
      <c r="C204" s="96"/>
      <c r="D204" s="184"/>
      <c r="E204" s="179"/>
      <c r="F204" s="87"/>
      <c r="G204" s="87"/>
      <c r="H204" s="185"/>
      <c r="I204" s="184"/>
      <c r="J204" s="184"/>
      <c r="K204" s="184"/>
      <c r="L204" s="296"/>
      <c r="N204" s="1053"/>
      <c r="O204" s="489"/>
      <c r="P204" s="489"/>
      <c r="T204" s="626"/>
      <c r="U204" s="489"/>
      <c r="V204" s="483"/>
      <c r="W204" s="627"/>
      <c r="X204" s="628"/>
      <c r="Y204" s="489"/>
      <c r="Z204" s="629"/>
      <c r="AA204" s="626"/>
      <c r="AB204" s="481"/>
      <c r="AC204" s="1388"/>
      <c r="AD204" s="482"/>
      <c r="AE204" s="482"/>
      <c r="AF204" s="482"/>
      <c r="AG204" s="482"/>
      <c r="AH204" s="482"/>
      <c r="AI204" s="482"/>
      <c r="AJ204" s="482"/>
      <c r="AK204" s="482"/>
      <c r="AL204" s="482"/>
      <c r="AM204" s="482"/>
      <c r="AN204" s="483"/>
      <c r="AO204" s="483"/>
      <c r="AP204" s="484"/>
      <c r="AQ204" s="484"/>
      <c r="AR204" s="629"/>
      <c r="AS204" s="629"/>
      <c r="AT204" s="629"/>
      <c r="AU204" s="629"/>
      <c r="AV204" s="629"/>
      <c r="AW204" s="630"/>
      <c r="AZ204" s="489"/>
      <c r="BA204" s="631"/>
      <c r="BB204" s="491"/>
      <c r="BC204" s="491"/>
      <c r="BD204" s="491"/>
      <c r="BE204" s="491"/>
      <c r="BF204" s="491"/>
      <c r="BG204" s="491"/>
      <c r="BH204" s="491"/>
      <c r="BI204" s="491"/>
      <c r="BJ204" s="491"/>
      <c r="BL204" s="491"/>
      <c r="BM204" s="491"/>
      <c r="BN204" s="491"/>
      <c r="BO204" s="491"/>
      <c r="BP204" s="622"/>
      <c r="BQ204" s="274"/>
    </row>
    <row r="205" spans="2:69">
      <c r="B205" s="96"/>
      <c r="C205" s="96"/>
      <c r="D205" s="184"/>
      <c r="E205" s="179"/>
      <c r="F205" s="87"/>
      <c r="G205" s="87"/>
      <c r="H205" s="185"/>
      <c r="I205" s="184"/>
      <c r="J205" s="184"/>
      <c r="K205" s="184"/>
      <c r="L205" s="296"/>
      <c r="N205" s="1053"/>
      <c r="O205" s="489"/>
      <c r="P205" s="489"/>
      <c r="T205" s="626"/>
      <c r="U205" s="489"/>
      <c r="V205" s="483"/>
      <c r="W205" s="627"/>
      <c r="X205" s="628"/>
      <c r="Y205" s="489"/>
      <c r="Z205" s="629"/>
      <c r="AA205" s="626"/>
      <c r="AB205" s="481"/>
      <c r="AC205" s="1388"/>
      <c r="AD205" s="482"/>
      <c r="AE205" s="482"/>
      <c r="AF205" s="482"/>
      <c r="AG205" s="482"/>
      <c r="AH205" s="482"/>
      <c r="AI205" s="482"/>
      <c r="AJ205" s="482"/>
      <c r="AK205" s="482"/>
      <c r="AL205" s="482"/>
      <c r="AM205" s="482"/>
      <c r="AN205" s="483"/>
      <c r="AO205" s="483"/>
      <c r="AP205" s="484"/>
      <c r="AQ205" s="484"/>
      <c r="AR205" s="629"/>
      <c r="AS205" s="629"/>
      <c r="AT205" s="629"/>
      <c r="AU205" s="629"/>
      <c r="AV205" s="629"/>
      <c r="AW205" s="630"/>
      <c r="AZ205" s="489"/>
      <c r="BA205" s="631"/>
      <c r="BB205" s="491"/>
      <c r="BC205" s="491"/>
      <c r="BD205" s="491"/>
      <c r="BE205" s="491"/>
      <c r="BF205" s="491"/>
      <c r="BG205" s="491"/>
      <c r="BH205" s="491"/>
      <c r="BI205" s="491"/>
      <c r="BJ205" s="491"/>
      <c r="BL205" s="491"/>
      <c r="BM205" s="491"/>
      <c r="BN205" s="491"/>
      <c r="BO205" s="491"/>
      <c r="BP205" s="622"/>
      <c r="BQ205" s="274"/>
    </row>
    <row r="206" spans="2:69">
      <c r="B206" s="96"/>
      <c r="C206" s="96"/>
      <c r="D206" s="184"/>
      <c r="E206" s="179"/>
      <c r="F206" s="87"/>
      <c r="G206" s="87"/>
      <c r="H206" s="185"/>
      <c r="I206" s="184"/>
      <c r="J206" s="184"/>
      <c r="K206" s="184"/>
      <c r="L206" s="296"/>
      <c r="N206" s="1053"/>
      <c r="O206" s="489"/>
      <c r="P206" s="489"/>
      <c r="T206" s="626"/>
      <c r="U206" s="489"/>
      <c r="V206" s="483"/>
      <c r="W206" s="627"/>
      <c r="X206" s="628"/>
      <c r="Y206" s="489"/>
      <c r="Z206" s="629"/>
      <c r="AA206" s="626"/>
      <c r="AB206" s="481"/>
      <c r="AC206" s="1388"/>
      <c r="AD206" s="482"/>
      <c r="AE206" s="482"/>
      <c r="AF206" s="482"/>
      <c r="AG206" s="482"/>
      <c r="AH206" s="482"/>
      <c r="AI206" s="482"/>
      <c r="AJ206" s="482"/>
      <c r="AK206" s="482"/>
      <c r="AL206" s="482"/>
      <c r="AM206" s="482"/>
      <c r="AN206" s="483"/>
      <c r="AO206" s="483"/>
      <c r="AP206" s="484"/>
      <c r="AQ206" s="484"/>
      <c r="AR206" s="629"/>
      <c r="AS206" s="629"/>
      <c r="AT206" s="629"/>
      <c r="AU206" s="629"/>
      <c r="AV206" s="629"/>
      <c r="AW206" s="630"/>
      <c r="AZ206" s="489"/>
      <c r="BA206" s="631"/>
      <c r="BB206" s="491"/>
      <c r="BC206" s="491"/>
      <c r="BD206" s="491"/>
      <c r="BE206" s="491"/>
      <c r="BF206" s="491"/>
      <c r="BG206" s="491"/>
      <c r="BH206" s="491"/>
      <c r="BI206" s="491"/>
      <c r="BJ206" s="491"/>
      <c r="BL206" s="491"/>
      <c r="BM206" s="491"/>
      <c r="BN206" s="491"/>
      <c r="BO206" s="491"/>
      <c r="BP206" s="622"/>
      <c r="BQ206" s="274"/>
    </row>
    <row r="207" spans="2:69">
      <c r="B207" s="96"/>
      <c r="C207" s="96"/>
      <c r="D207" s="184"/>
      <c r="E207" s="179"/>
      <c r="F207" s="87"/>
      <c r="G207" s="87"/>
      <c r="H207" s="185"/>
      <c r="I207" s="184"/>
      <c r="J207" s="184"/>
      <c r="K207" s="184"/>
      <c r="L207" s="296"/>
      <c r="N207" s="1053"/>
      <c r="O207" s="489"/>
      <c r="P207" s="489"/>
      <c r="T207" s="626"/>
      <c r="U207" s="489"/>
      <c r="V207" s="483"/>
      <c r="W207" s="627"/>
      <c r="X207" s="628"/>
      <c r="Y207" s="489"/>
      <c r="Z207" s="629"/>
      <c r="AA207" s="626"/>
      <c r="AB207" s="481"/>
      <c r="AC207" s="1388"/>
      <c r="AD207" s="482"/>
      <c r="AE207" s="482"/>
      <c r="AF207" s="482"/>
      <c r="AG207" s="482"/>
      <c r="AH207" s="482"/>
      <c r="AI207" s="482"/>
      <c r="AJ207" s="482"/>
      <c r="AK207" s="482"/>
      <c r="AL207" s="482"/>
      <c r="AM207" s="482"/>
      <c r="AN207" s="483"/>
      <c r="AO207" s="483"/>
      <c r="AP207" s="484"/>
      <c r="AQ207" s="484"/>
      <c r="AR207" s="629"/>
      <c r="AS207" s="629"/>
      <c r="AT207" s="629"/>
      <c r="AU207" s="629"/>
      <c r="AV207" s="629"/>
      <c r="AW207" s="630"/>
      <c r="AZ207" s="489"/>
      <c r="BA207" s="631"/>
      <c r="BB207" s="491"/>
      <c r="BC207" s="491"/>
      <c r="BD207" s="491"/>
      <c r="BE207" s="491"/>
      <c r="BF207" s="491"/>
      <c r="BG207" s="491"/>
      <c r="BH207" s="491"/>
      <c r="BI207" s="491"/>
      <c r="BJ207" s="491"/>
      <c r="BL207" s="491"/>
      <c r="BM207" s="491"/>
      <c r="BN207" s="491"/>
      <c r="BO207" s="491"/>
      <c r="BP207" s="622"/>
      <c r="BQ207" s="274"/>
    </row>
    <row r="208" spans="2:69">
      <c r="B208" s="96"/>
      <c r="C208" s="96"/>
      <c r="D208" s="184"/>
      <c r="E208" s="179"/>
      <c r="F208" s="87"/>
      <c r="G208" s="87"/>
      <c r="H208" s="185"/>
      <c r="I208" s="184"/>
      <c r="J208" s="184"/>
      <c r="K208" s="184"/>
      <c r="L208" s="296"/>
      <c r="N208" s="1053"/>
      <c r="O208" s="489"/>
      <c r="P208" s="489"/>
      <c r="T208" s="626"/>
      <c r="U208" s="489"/>
      <c r="V208" s="483"/>
      <c r="W208" s="627"/>
      <c r="X208" s="628"/>
      <c r="Y208" s="489"/>
      <c r="Z208" s="629"/>
      <c r="AA208" s="626"/>
      <c r="AB208" s="481"/>
      <c r="AC208" s="1388"/>
      <c r="AD208" s="482"/>
      <c r="AE208" s="482"/>
      <c r="AF208" s="482"/>
      <c r="AG208" s="482"/>
      <c r="AH208" s="482"/>
      <c r="AI208" s="482"/>
      <c r="AJ208" s="482"/>
      <c r="AK208" s="482"/>
      <c r="AL208" s="482"/>
      <c r="AM208" s="482"/>
      <c r="AN208" s="483"/>
      <c r="AO208" s="483"/>
      <c r="AP208" s="484"/>
      <c r="AQ208" s="484"/>
      <c r="AR208" s="629"/>
      <c r="AS208" s="629"/>
      <c r="AT208" s="629"/>
      <c r="AU208" s="629"/>
      <c r="AV208" s="629"/>
      <c r="AW208" s="630"/>
      <c r="AZ208" s="489"/>
      <c r="BA208" s="631"/>
      <c r="BB208" s="491"/>
      <c r="BC208" s="491"/>
      <c r="BD208" s="491"/>
      <c r="BE208" s="491"/>
      <c r="BF208" s="491"/>
      <c r="BG208" s="491"/>
      <c r="BH208" s="491"/>
      <c r="BI208" s="491"/>
      <c r="BJ208" s="491"/>
      <c r="BL208" s="491"/>
      <c r="BM208" s="491"/>
      <c r="BN208" s="491"/>
      <c r="BO208" s="491"/>
      <c r="BP208" s="622"/>
      <c r="BQ208" s="274"/>
    </row>
    <row r="209" spans="2:69">
      <c r="B209" s="96"/>
      <c r="C209" s="96"/>
      <c r="D209" s="184"/>
      <c r="E209" s="179"/>
      <c r="F209" s="87"/>
      <c r="G209" s="87"/>
      <c r="H209" s="185"/>
      <c r="I209" s="184"/>
      <c r="J209" s="184"/>
      <c r="K209" s="184"/>
      <c r="L209" s="296"/>
      <c r="N209" s="1053"/>
      <c r="O209" s="489"/>
      <c r="P209" s="489"/>
      <c r="T209" s="626"/>
      <c r="U209" s="489"/>
      <c r="V209" s="483"/>
      <c r="W209" s="627"/>
      <c r="X209" s="628"/>
      <c r="Y209" s="489"/>
      <c r="Z209" s="629"/>
      <c r="AA209" s="626"/>
      <c r="AB209" s="481"/>
      <c r="AC209" s="1388"/>
      <c r="AD209" s="482"/>
      <c r="AE209" s="482"/>
      <c r="AF209" s="482"/>
      <c r="AG209" s="482"/>
      <c r="AH209" s="482"/>
      <c r="AI209" s="482"/>
      <c r="AJ209" s="482"/>
      <c r="AK209" s="482"/>
      <c r="AL209" s="482"/>
      <c r="AM209" s="482"/>
      <c r="AN209" s="483"/>
      <c r="AO209" s="483"/>
      <c r="AP209" s="484"/>
      <c r="AQ209" s="484"/>
      <c r="AR209" s="629"/>
      <c r="AS209" s="629"/>
      <c r="AT209" s="629"/>
      <c r="AU209" s="629"/>
      <c r="AV209" s="629"/>
      <c r="AW209" s="630"/>
      <c r="AZ209" s="489"/>
      <c r="BA209" s="631"/>
      <c r="BB209" s="491"/>
      <c r="BC209" s="491"/>
      <c r="BD209" s="491"/>
      <c r="BE209" s="491"/>
      <c r="BF209" s="491"/>
      <c r="BG209" s="491"/>
      <c r="BH209" s="491"/>
      <c r="BI209" s="491"/>
      <c r="BJ209" s="491"/>
      <c r="BL209" s="491"/>
      <c r="BM209" s="491"/>
      <c r="BN209" s="491"/>
      <c r="BO209" s="491"/>
      <c r="BP209" s="622"/>
      <c r="BQ209" s="274"/>
    </row>
    <row r="210" spans="2:69">
      <c r="B210" s="96"/>
      <c r="C210" s="96"/>
      <c r="D210" s="184"/>
      <c r="E210" s="179"/>
      <c r="F210" s="87"/>
      <c r="G210" s="87"/>
      <c r="H210" s="185"/>
      <c r="I210" s="184"/>
      <c r="J210" s="184"/>
      <c r="K210" s="184"/>
      <c r="L210" s="296"/>
      <c r="N210" s="1053"/>
      <c r="O210" s="489"/>
      <c r="P210" s="489"/>
      <c r="T210" s="626"/>
      <c r="U210" s="489"/>
      <c r="V210" s="483"/>
      <c r="W210" s="627"/>
      <c r="X210" s="628"/>
      <c r="Y210" s="489"/>
      <c r="Z210" s="629"/>
      <c r="AA210" s="626"/>
      <c r="AB210" s="481"/>
      <c r="AC210" s="1388"/>
      <c r="AD210" s="482"/>
      <c r="AE210" s="482"/>
      <c r="AF210" s="482"/>
      <c r="AG210" s="482"/>
      <c r="AH210" s="482"/>
      <c r="AI210" s="482"/>
      <c r="AJ210" s="482"/>
      <c r="AK210" s="482"/>
      <c r="AL210" s="482"/>
      <c r="AM210" s="482"/>
      <c r="AN210" s="483"/>
      <c r="AO210" s="483"/>
      <c r="AP210" s="484"/>
      <c r="AQ210" s="484"/>
      <c r="AR210" s="629"/>
      <c r="AS210" s="629"/>
      <c r="AT210" s="629"/>
      <c r="AU210" s="629"/>
      <c r="AV210" s="629"/>
      <c r="AW210" s="630"/>
      <c r="AZ210" s="489"/>
      <c r="BA210" s="631"/>
      <c r="BB210" s="491"/>
      <c r="BC210" s="491"/>
      <c r="BD210" s="491"/>
      <c r="BE210" s="491"/>
      <c r="BF210" s="491"/>
      <c r="BG210" s="491"/>
      <c r="BH210" s="491"/>
      <c r="BI210" s="491"/>
      <c r="BJ210" s="491"/>
      <c r="BL210" s="491"/>
      <c r="BM210" s="491"/>
      <c r="BN210" s="491"/>
      <c r="BO210" s="491"/>
      <c r="BP210" s="622"/>
      <c r="BQ210" s="274"/>
    </row>
    <row r="211" spans="2:69">
      <c r="B211" s="96"/>
      <c r="C211" s="96"/>
      <c r="D211" s="184"/>
      <c r="E211" s="179"/>
      <c r="F211" s="87"/>
      <c r="G211" s="87"/>
      <c r="H211" s="185"/>
      <c r="I211" s="184"/>
      <c r="J211" s="184"/>
      <c r="K211" s="184"/>
      <c r="L211" s="296"/>
      <c r="N211" s="1053"/>
      <c r="O211" s="489"/>
      <c r="P211" s="489"/>
      <c r="T211" s="626"/>
      <c r="U211" s="489"/>
      <c r="V211" s="483"/>
      <c r="W211" s="627"/>
      <c r="X211" s="628"/>
      <c r="Y211" s="489"/>
      <c r="Z211" s="629"/>
      <c r="AA211" s="626"/>
      <c r="AB211" s="481"/>
      <c r="AC211" s="1388"/>
      <c r="AD211" s="482"/>
      <c r="AE211" s="482"/>
      <c r="AF211" s="482"/>
      <c r="AG211" s="482"/>
      <c r="AH211" s="482"/>
      <c r="AI211" s="482"/>
      <c r="AJ211" s="482"/>
      <c r="AK211" s="482"/>
      <c r="AL211" s="482"/>
      <c r="AM211" s="482"/>
      <c r="AN211" s="483"/>
      <c r="AO211" s="483"/>
      <c r="AP211" s="484"/>
      <c r="AQ211" s="484"/>
      <c r="AR211" s="629"/>
      <c r="AS211" s="629"/>
      <c r="AT211" s="629"/>
      <c r="AU211" s="629"/>
      <c r="AV211" s="629"/>
      <c r="AW211" s="630"/>
      <c r="AZ211" s="489"/>
      <c r="BA211" s="631"/>
      <c r="BB211" s="491"/>
      <c r="BC211" s="491"/>
      <c r="BD211" s="491"/>
      <c r="BE211" s="491"/>
      <c r="BF211" s="491"/>
      <c r="BG211" s="491"/>
      <c r="BH211" s="491"/>
      <c r="BI211" s="491"/>
      <c r="BJ211" s="491"/>
      <c r="BL211" s="491"/>
      <c r="BM211" s="491"/>
      <c r="BN211" s="491"/>
      <c r="BO211" s="491"/>
      <c r="BP211" s="622"/>
      <c r="BQ211" s="274"/>
    </row>
    <row r="212" spans="2:69">
      <c r="B212" s="96"/>
      <c r="C212" s="96"/>
      <c r="D212" s="184"/>
      <c r="E212" s="179"/>
      <c r="F212" s="87"/>
      <c r="G212" s="87"/>
      <c r="H212" s="185"/>
      <c r="I212" s="184"/>
      <c r="J212" s="184"/>
      <c r="K212" s="184"/>
      <c r="L212" s="296"/>
      <c r="N212" s="1053"/>
      <c r="O212" s="489"/>
      <c r="P212" s="489"/>
      <c r="T212" s="626"/>
      <c r="U212" s="489"/>
      <c r="V212" s="483"/>
      <c r="W212" s="627"/>
      <c r="X212" s="628"/>
      <c r="Y212" s="489"/>
      <c r="Z212" s="629"/>
      <c r="AA212" s="626"/>
      <c r="AB212" s="481"/>
      <c r="AC212" s="1388"/>
      <c r="AD212" s="482"/>
      <c r="AE212" s="482"/>
      <c r="AF212" s="482"/>
      <c r="AG212" s="482"/>
      <c r="AH212" s="482"/>
      <c r="AI212" s="482"/>
      <c r="AJ212" s="482"/>
      <c r="AK212" s="482"/>
      <c r="AL212" s="482"/>
      <c r="AM212" s="482"/>
      <c r="AN212" s="483"/>
      <c r="AO212" s="483"/>
      <c r="AP212" s="484"/>
      <c r="AQ212" s="484"/>
      <c r="AR212" s="629"/>
      <c r="AS212" s="629"/>
      <c r="AT212" s="629"/>
      <c r="AU212" s="629"/>
      <c r="AV212" s="629"/>
      <c r="AW212" s="630"/>
      <c r="AZ212" s="489"/>
      <c r="BA212" s="631"/>
      <c r="BB212" s="491"/>
      <c r="BC212" s="491"/>
      <c r="BD212" s="491"/>
      <c r="BE212" s="491"/>
      <c r="BF212" s="491"/>
      <c r="BG212" s="491"/>
      <c r="BH212" s="491"/>
      <c r="BI212" s="491"/>
      <c r="BJ212" s="491"/>
      <c r="BL212" s="491"/>
      <c r="BM212" s="491"/>
      <c r="BN212" s="491"/>
      <c r="BO212" s="491"/>
      <c r="BP212" s="622"/>
      <c r="BQ212" s="274"/>
    </row>
    <row r="213" spans="2:69">
      <c r="B213" s="96"/>
      <c r="C213" s="96"/>
      <c r="D213" s="184"/>
      <c r="E213" s="179"/>
      <c r="F213" s="87"/>
      <c r="G213" s="87"/>
      <c r="H213" s="185"/>
      <c r="I213" s="184"/>
      <c r="J213" s="184"/>
      <c r="K213" s="184"/>
      <c r="L213" s="296"/>
      <c r="N213" s="1053"/>
      <c r="O213" s="489"/>
      <c r="P213" s="489"/>
      <c r="T213" s="626"/>
      <c r="U213" s="489"/>
      <c r="V213" s="483"/>
      <c r="W213" s="627"/>
      <c r="X213" s="628"/>
      <c r="Y213" s="489"/>
      <c r="Z213" s="629"/>
      <c r="AA213" s="626"/>
      <c r="AB213" s="481"/>
      <c r="AC213" s="1388"/>
      <c r="AD213" s="482"/>
      <c r="AE213" s="482"/>
      <c r="AF213" s="482"/>
      <c r="AG213" s="482"/>
      <c r="AH213" s="482"/>
      <c r="AI213" s="482"/>
      <c r="AJ213" s="482"/>
      <c r="AK213" s="482"/>
      <c r="AL213" s="482"/>
      <c r="AM213" s="482"/>
      <c r="AN213" s="483"/>
      <c r="AO213" s="483"/>
      <c r="AP213" s="484"/>
      <c r="AQ213" s="484"/>
      <c r="AR213" s="629"/>
      <c r="AS213" s="629"/>
      <c r="AT213" s="629"/>
      <c r="AU213" s="629"/>
      <c r="AV213" s="629"/>
      <c r="AW213" s="630"/>
      <c r="AZ213" s="489"/>
      <c r="BA213" s="631"/>
      <c r="BB213" s="491"/>
      <c r="BC213" s="491"/>
      <c r="BD213" s="491"/>
      <c r="BE213" s="491"/>
      <c r="BF213" s="491"/>
      <c r="BG213" s="491"/>
      <c r="BH213" s="491"/>
      <c r="BI213" s="491"/>
      <c r="BJ213" s="491"/>
      <c r="BL213" s="491"/>
      <c r="BM213" s="491"/>
      <c r="BN213" s="491"/>
      <c r="BO213" s="491"/>
      <c r="BP213" s="622"/>
      <c r="BQ213" s="274"/>
    </row>
    <row r="214" spans="2:69">
      <c r="B214" s="96"/>
      <c r="C214" s="96"/>
      <c r="D214" s="184"/>
      <c r="E214" s="179"/>
      <c r="F214" s="87"/>
      <c r="G214" s="87"/>
      <c r="H214" s="185"/>
      <c r="I214" s="184"/>
      <c r="J214" s="184"/>
      <c r="K214" s="184"/>
      <c r="L214" s="296"/>
      <c r="N214" s="1053"/>
      <c r="O214" s="489"/>
      <c r="P214" s="489"/>
      <c r="T214" s="626"/>
      <c r="U214" s="489"/>
      <c r="V214" s="483"/>
      <c r="W214" s="627"/>
      <c r="X214" s="628"/>
      <c r="Y214" s="489"/>
      <c r="Z214" s="629"/>
      <c r="AA214" s="626"/>
      <c r="AB214" s="481"/>
      <c r="AC214" s="1388"/>
      <c r="AD214" s="482"/>
      <c r="AE214" s="482"/>
      <c r="AF214" s="482"/>
      <c r="AG214" s="482"/>
      <c r="AH214" s="482"/>
      <c r="AI214" s="482"/>
      <c r="AJ214" s="482"/>
      <c r="AK214" s="482"/>
      <c r="AL214" s="482"/>
      <c r="AM214" s="482"/>
      <c r="AN214" s="483"/>
      <c r="AO214" s="483"/>
      <c r="AP214" s="484"/>
      <c r="AQ214" s="484"/>
      <c r="AR214" s="629"/>
      <c r="AS214" s="629"/>
      <c r="AT214" s="629"/>
      <c r="AU214" s="629"/>
      <c r="AV214" s="629"/>
      <c r="AW214" s="630"/>
      <c r="AZ214" s="489"/>
      <c r="BA214" s="631"/>
      <c r="BB214" s="491"/>
      <c r="BC214" s="491"/>
      <c r="BD214" s="491"/>
      <c r="BE214" s="491"/>
      <c r="BF214" s="491"/>
      <c r="BG214" s="491"/>
      <c r="BH214" s="491"/>
      <c r="BI214" s="491"/>
      <c r="BJ214" s="491"/>
      <c r="BL214" s="491"/>
      <c r="BM214" s="491"/>
      <c r="BN214" s="491"/>
      <c r="BO214" s="491"/>
      <c r="BP214" s="622"/>
      <c r="BQ214" s="274"/>
    </row>
    <row r="215" spans="2:69">
      <c r="B215" s="96"/>
      <c r="C215" s="96"/>
      <c r="D215" s="184"/>
      <c r="E215" s="179"/>
      <c r="F215" s="87"/>
      <c r="G215" s="87"/>
      <c r="H215" s="185"/>
      <c r="I215" s="184"/>
      <c r="J215" s="184"/>
      <c r="K215" s="184"/>
      <c r="L215" s="296"/>
      <c r="N215" s="1053"/>
      <c r="O215" s="489"/>
      <c r="P215" s="489"/>
      <c r="T215" s="626"/>
      <c r="U215" s="489"/>
      <c r="V215" s="483"/>
      <c r="W215" s="627"/>
      <c r="X215" s="628"/>
      <c r="Y215" s="489"/>
      <c r="Z215" s="629"/>
      <c r="AA215" s="626"/>
      <c r="AB215" s="481"/>
      <c r="AC215" s="1388"/>
      <c r="AD215" s="482"/>
      <c r="AE215" s="482"/>
      <c r="AF215" s="482"/>
      <c r="AG215" s="482"/>
      <c r="AH215" s="482"/>
      <c r="AI215" s="482"/>
      <c r="AJ215" s="482"/>
      <c r="AK215" s="482"/>
      <c r="AL215" s="482"/>
      <c r="AM215" s="482"/>
      <c r="AN215" s="483"/>
      <c r="AO215" s="483"/>
      <c r="AP215" s="484"/>
      <c r="AQ215" s="484"/>
      <c r="AR215" s="629"/>
      <c r="AS215" s="629"/>
      <c r="AT215" s="629"/>
      <c r="AU215" s="629"/>
      <c r="AV215" s="629"/>
      <c r="AW215" s="630"/>
      <c r="AZ215" s="489"/>
      <c r="BA215" s="631"/>
      <c r="BB215" s="491"/>
      <c r="BC215" s="491"/>
      <c r="BD215" s="491"/>
      <c r="BE215" s="491"/>
      <c r="BF215" s="491"/>
      <c r="BG215" s="491"/>
      <c r="BH215" s="491"/>
      <c r="BI215" s="491"/>
      <c r="BJ215" s="491"/>
      <c r="BL215" s="491"/>
      <c r="BM215" s="491"/>
      <c r="BN215" s="491"/>
      <c r="BO215" s="491"/>
      <c r="BP215" s="622"/>
      <c r="BQ215" s="274"/>
    </row>
    <row r="216" spans="2:69">
      <c r="B216" s="96"/>
      <c r="C216" s="96"/>
      <c r="D216" s="184"/>
      <c r="E216" s="179"/>
      <c r="F216" s="87"/>
      <c r="G216" s="87"/>
      <c r="H216" s="185"/>
      <c r="I216" s="184"/>
      <c r="J216" s="184"/>
      <c r="K216" s="184"/>
      <c r="L216" s="296"/>
      <c r="N216" s="1053"/>
      <c r="O216" s="489"/>
      <c r="P216" s="489"/>
      <c r="T216" s="626"/>
      <c r="U216" s="489"/>
      <c r="V216" s="483"/>
      <c r="W216" s="627"/>
      <c r="X216" s="628"/>
      <c r="Y216" s="489"/>
      <c r="Z216" s="629"/>
      <c r="AA216" s="626"/>
      <c r="AB216" s="481"/>
      <c r="AC216" s="1388"/>
      <c r="AD216" s="482"/>
      <c r="AE216" s="482"/>
      <c r="AF216" s="482"/>
      <c r="AG216" s="482"/>
      <c r="AH216" s="482"/>
      <c r="AI216" s="482"/>
      <c r="AJ216" s="482"/>
      <c r="AK216" s="482"/>
      <c r="AL216" s="482"/>
      <c r="AM216" s="482"/>
      <c r="AN216" s="483"/>
      <c r="AO216" s="483"/>
      <c r="AP216" s="484"/>
      <c r="AQ216" s="484"/>
      <c r="AR216" s="629"/>
      <c r="AS216" s="629"/>
      <c r="AT216" s="629"/>
      <c r="AU216" s="629"/>
      <c r="AV216" s="629"/>
      <c r="AW216" s="630"/>
      <c r="AZ216" s="489"/>
      <c r="BA216" s="631"/>
      <c r="BB216" s="491"/>
      <c r="BC216" s="491"/>
      <c r="BD216" s="491"/>
      <c r="BE216" s="491"/>
      <c r="BF216" s="491"/>
      <c r="BG216" s="491"/>
      <c r="BH216" s="491"/>
      <c r="BI216" s="491"/>
      <c r="BJ216" s="491"/>
      <c r="BL216" s="491"/>
      <c r="BM216" s="491"/>
      <c r="BN216" s="491"/>
      <c r="BO216" s="491"/>
      <c r="BP216" s="622"/>
      <c r="BQ216" s="274"/>
    </row>
    <row r="217" spans="2:69">
      <c r="B217" s="96"/>
      <c r="C217" s="96"/>
      <c r="D217" s="184"/>
      <c r="E217" s="179"/>
      <c r="F217" s="87"/>
      <c r="G217" s="87"/>
      <c r="H217" s="185"/>
      <c r="I217" s="184"/>
      <c r="J217" s="184"/>
      <c r="K217" s="184"/>
      <c r="L217" s="296"/>
      <c r="N217" s="1053"/>
      <c r="O217" s="489"/>
      <c r="P217" s="489"/>
      <c r="T217" s="626"/>
      <c r="U217" s="489"/>
      <c r="V217" s="483"/>
      <c r="W217" s="627"/>
      <c r="X217" s="628"/>
      <c r="Y217" s="489"/>
      <c r="Z217" s="629"/>
      <c r="AA217" s="626"/>
      <c r="AB217" s="481"/>
      <c r="AC217" s="1388"/>
      <c r="AD217" s="482"/>
      <c r="AE217" s="482"/>
      <c r="AF217" s="482"/>
      <c r="AG217" s="482"/>
      <c r="AH217" s="482"/>
      <c r="AI217" s="482"/>
      <c r="AJ217" s="482"/>
      <c r="AK217" s="482"/>
      <c r="AL217" s="482"/>
      <c r="AM217" s="482"/>
      <c r="AN217" s="483"/>
      <c r="AO217" s="483"/>
      <c r="AP217" s="484"/>
      <c r="AQ217" s="484"/>
      <c r="AR217" s="629"/>
      <c r="AS217" s="629"/>
      <c r="AT217" s="629"/>
      <c r="AU217" s="629"/>
      <c r="AV217" s="629"/>
      <c r="AW217" s="630"/>
      <c r="AZ217" s="489"/>
      <c r="BA217" s="631"/>
      <c r="BB217" s="491"/>
      <c r="BC217" s="491"/>
      <c r="BD217" s="491"/>
      <c r="BE217" s="491"/>
      <c r="BF217" s="491"/>
      <c r="BG217" s="491"/>
      <c r="BH217" s="491"/>
      <c r="BI217" s="491"/>
      <c r="BJ217" s="491"/>
      <c r="BL217" s="491"/>
      <c r="BM217" s="491"/>
      <c r="BN217" s="491"/>
      <c r="BO217" s="491"/>
      <c r="BP217" s="622"/>
      <c r="BQ217" s="274"/>
    </row>
    <row r="218" spans="2:69">
      <c r="B218" s="96"/>
      <c r="C218" s="96"/>
      <c r="D218" s="184"/>
      <c r="E218" s="179"/>
      <c r="F218" s="87"/>
      <c r="G218" s="87"/>
      <c r="H218" s="185"/>
      <c r="I218" s="184"/>
      <c r="J218" s="184"/>
      <c r="K218" s="184"/>
      <c r="L218" s="296"/>
      <c r="N218" s="1053"/>
      <c r="O218" s="489"/>
      <c r="P218" s="489"/>
      <c r="T218" s="626"/>
      <c r="U218" s="489"/>
      <c r="V218" s="483"/>
      <c r="W218" s="627"/>
      <c r="X218" s="628"/>
      <c r="Y218" s="489"/>
      <c r="Z218" s="629"/>
      <c r="AA218" s="626"/>
      <c r="AB218" s="481"/>
      <c r="AC218" s="1388"/>
      <c r="AD218" s="482"/>
      <c r="AE218" s="482"/>
      <c r="AF218" s="482"/>
      <c r="AG218" s="482"/>
      <c r="AH218" s="482"/>
      <c r="AI218" s="482"/>
      <c r="AJ218" s="482"/>
      <c r="AK218" s="482"/>
      <c r="AL218" s="482"/>
      <c r="AM218" s="482"/>
      <c r="AN218" s="483"/>
      <c r="AO218" s="483"/>
      <c r="AP218" s="484"/>
      <c r="AQ218" s="484"/>
      <c r="AR218" s="629"/>
      <c r="AS218" s="629"/>
      <c r="AT218" s="629"/>
      <c r="AU218" s="629"/>
      <c r="AV218" s="629"/>
      <c r="AW218" s="630"/>
      <c r="AZ218" s="489"/>
      <c r="BA218" s="631"/>
      <c r="BB218" s="491"/>
      <c r="BC218" s="491"/>
      <c r="BD218" s="491"/>
      <c r="BE218" s="491"/>
      <c r="BF218" s="491"/>
      <c r="BG218" s="491"/>
      <c r="BH218" s="491"/>
      <c r="BI218" s="491"/>
      <c r="BJ218" s="491"/>
      <c r="BL218" s="491"/>
      <c r="BM218" s="491"/>
      <c r="BN218" s="491"/>
      <c r="BO218" s="491"/>
      <c r="BP218" s="622"/>
      <c r="BQ218" s="274"/>
    </row>
    <row r="219" spans="2:69">
      <c r="B219" s="96"/>
      <c r="C219" s="96"/>
      <c r="D219" s="184"/>
      <c r="E219" s="179"/>
      <c r="F219" s="87"/>
      <c r="G219" s="87"/>
      <c r="H219" s="185"/>
      <c r="I219" s="184"/>
      <c r="J219" s="184"/>
      <c r="K219" s="184"/>
      <c r="L219" s="296"/>
      <c r="N219" s="1053"/>
      <c r="O219" s="489"/>
      <c r="P219" s="489"/>
      <c r="T219" s="626"/>
      <c r="U219" s="489"/>
      <c r="V219" s="483"/>
      <c r="W219" s="627"/>
      <c r="X219" s="628"/>
      <c r="Y219" s="489"/>
      <c r="Z219" s="629"/>
      <c r="AA219" s="626"/>
      <c r="AB219" s="481"/>
      <c r="AC219" s="1388"/>
      <c r="AD219" s="482"/>
      <c r="AE219" s="482"/>
      <c r="AF219" s="482"/>
      <c r="AG219" s="482"/>
      <c r="AH219" s="482"/>
      <c r="AI219" s="482"/>
      <c r="AJ219" s="482"/>
      <c r="AK219" s="482"/>
      <c r="AL219" s="482"/>
      <c r="AM219" s="482"/>
      <c r="AN219" s="483"/>
      <c r="AO219" s="483"/>
      <c r="AP219" s="484"/>
      <c r="AQ219" s="484"/>
      <c r="AR219" s="629"/>
      <c r="AS219" s="629"/>
      <c r="AT219" s="629"/>
      <c r="AU219" s="629"/>
      <c r="AV219" s="629"/>
      <c r="AW219" s="630"/>
      <c r="AZ219" s="489"/>
      <c r="BA219" s="631"/>
      <c r="BB219" s="491"/>
      <c r="BC219" s="491"/>
      <c r="BD219" s="491"/>
      <c r="BE219" s="491"/>
      <c r="BF219" s="491"/>
      <c r="BG219" s="491"/>
      <c r="BH219" s="491"/>
      <c r="BI219" s="491"/>
      <c r="BJ219" s="491"/>
      <c r="BL219" s="491"/>
      <c r="BM219" s="491"/>
      <c r="BN219" s="491"/>
      <c r="BO219" s="491"/>
      <c r="BP219" s="622"/>
      <c r="BQ219" s="274"/>
    </row>
    <row r="220" spans="2:69">
      <c r="B220" s="96"/>
      <c r="C220" s="96"/>
      <c r="D220" s="184"/>
      <c r="E220" s="179"/>
      <c r="F220" s="87"/>
      <c r="G220" s="87"/>
      <c r="H220" s="185"/>
      <c r="I220" s="184"/>
      <c r="J220" s="184"/>
      <c r="K220" s="184"/>
      <c r="L220" s="296"/>
      <c r="N220" s="1053"/>
      <c r="O220" s="489"/>
      <c r="P220" s="489"/>
      <c r="T220" s="626"/>
      <c r="U220" s="489"/>
      <c r="V220" s="483"/>
      <c r="W220" s="627"/>
      <c r="X220" s="628"/>
      <c r="Y220" s="489"/>
      <c r="Z220" s="629"/>
      <c r="AA220" s="626"/>
      <c r="AB220" s="481"/>
      <c r="AC220" s="1388"/>
      <c r="AD220" s="482"/>
      <c r="AE220" s="482"/>
      <c r="AF220" s="482"/>
      <c r="AG220" s="482"/>
      <c r="AH220" s="482"/>
      <c r="AI220" s="482"/>
      <c r="AJ220" s="482"/>
      <c r="AK220" s="482"/>
      <c r="AL220" s="482"/>
      <c r="AM220" s="482"/>
      <c r="AN220" s="483"/>
      <c r="AO220" s="483"/>
      <c r="AP220" s="484"/>
      <c r="AQ220" s="484"/>
      <c r="AR220" s="629"/>
      <c r="AS220" s="629"/>
      <c r="AT220" s="629"/>
      <c r="AU220" s="629"/>
      <c r="AV220" s="629"/>
      <c r="AW220" s="630"/>
      <c r="AZ220" s="489"/>
      <c r="BA220" s="631"/>
      <c r="BB220" s="491"/>
      <c r="BC220" s="491"/>
      <c r="BD220" s="491"/>
      <c r="BE220" s="491"/>
      <c r="BF220" s="491"/>
      <c r="BG220" s="491"/>
      <c r="BH220" s="491"/>
      <c r="BI220" s="491"/>
      <c r="BJ220" s="491"/>
      <c r="BL220" s="491"/>
      <c r="BM220" s="491"/>
      <c r="BN220" s="491"/>
      <c r="BO220" s="491"/>
      <c r="BP220" s="622"/>
      <c r="BQ220" s="274"/>
    </row>
    <row r="221" spans="2:69">
      <c r="B221" s="96"/>
      <c r="C221" s="96"/>
      <c r="D221" s="184"/>
      <c r="E221" s="179"/>
      <c r="F221" s="87"/>
      <c r="G221" s="87"/>
      <c r="H221" s="185"/>
      <c r="I221" s="184"/>
      <c r="J221" s="184"/>
      <c r="K221" s="184"/>
      <c r="L221" s="296"/>
      <c r="N221" s="1053"/>
      <c r="O221" s="489"/>
      <c r="P221" s="489"/>
      <c r="T221" s="626"/>
      <c r="U221" s="489"/>
      <c r="V221" s="483"/>
      <c r="W221" s="627"/>
      <c r="X221" s="628"/>
      <c r="Y221" s="489"/>
      <c r="Z221" s="629"/>
      <c r="AA221" s="626"/>
      <c r="AB221" s="481"/>
      <c r="AC221" s="1388"/>
      <c r="AD221" s="482"/>
      <c r="AE221" s="482"/>
      <c r="AF221" s="482"/>
      <c r="AG221" s="482"/>
      <c r="AH221" s="482"/>
      <c r="AI221" s="482"/>
      <c r="AJ221" s="482"/>
      <c r="AK221" s="482"/>
      <c r="AL221" s="482"/>
      <c r="AM221" s="482"/>
      <c r="AN221" s="483"/>
      <c r="AO221" s="483"/>
      <c r="AP221" s="484"/>
      <c r="AQ221" s="484"/>
      <c r="AR221" s="629"/>
      <c r="AS221" s="629"/>
      <c r="AT221" s="629"/>
      <c r="AU221" s="629"/>
      <c r="AV221" s="629"/>
      <c r="AW221" s="630"/>
      <c r="AZ221" s="489"/>
      <c r="BA221" s="631"/>
      <c r="BB221" s="491"/>
      <c r="BC221" s="491"/>
      <c r="BD221" s="491"/>
      <c r="BE221" s="491"/>
      <c r="BF221" s="491"/>
      <c r="BG221" s="491"/>
      <c r="BH221" s="491"/>
      <c r="BI221" s="491"/>
      <c r="BJ221" s="491"/>
      <c r="BL221" s="491"/>
      <c r="BM221" s="491"/>
      <c r="BN221" s="491"/>
      <c r="BO221" s="491"/>
      <c r="BP221" s="622"/>
      <c r="BQ221" s="274"/>
    </row>
    <row r="222" spans="2:69">
      <c r="B222" s="96"/>
      <c r="C222" s="96"/>
      <c r="D222" s="184"/>
      <c r="E222" s="179"/>
      <c r="F222" s="87"/>
      <c r="G222" s="87"/>
      <c r="H222" s="185"/>
      <c r="I222" s="184"/>
      <c r="J222" s="184"/>
      <c r="K222" s="184"/>
      <c r="L222" s="296"/>
      <c r="N222" s="1053"/>
      <c r="O222" s="489"/>
      <c r="P222" s="489"/>
      <c r="T222" s="626"/>
      <c r="U222" s="489"/>
      <c r="V222" s="483"/>
      <c r="W222" s="627"/>
      <c r="X222" s="628"/>
      <c r="Y222" s="489"/>
      <c r="Z222" s="629"/>
      <c r="AA222" s="626"/>
      <c r="AB222" s="481"/>
      <c r="AC222" s="1388"/>
      <c r="AD222" s="482"/>
      <c r="AE222" s="482"/>
      <c r="AF222" s="482"/>
      <c r="AG222" s="482"/>
      <c r="AH222" s="482"/>
      <c r="AI222" s="482"/>
      <c r="AJ222" s="482"/>
      <c r="AK222" s="482"/>
      <c r="AL222" s="482"/>
      <c r="AM222" s="482"/>
      <c r="AN222" s="483"/>
      <c r="AO222" s="483"/>
      <c r="AP222" s="484"/>
      <c r="AQ222" s="484"/>
      <c r="AR222" s="629"/>
      <c r="AS222" s="629"/>
      <c r="AT222" s="629"/>
      <c r="AU222" s="629"/>
      <c r="AV222" s="629"/>
      <c r="AW222" s="630"/>
      <c r="AZ222" s="489"/>
      <c r="BA222" s="631"/>
      <c r="BB222" s="491"/>
      <c r="BC222" s="491"/>
      <c r="BD222" s="491"/>
      <c r="BE222" s="491"/>
      <c r="BF222" s="491"/>
      <c r="BG222" s="491"/>
      <c r="BH222" s="491"/>
      <c r="BI222" s="491"/>
      <c r="BJ222" s="491"/>
      <c r="BL222" s="491"/>
      <c r="BM222" s="491"/>
      <c r="BN222" s="491"/>
      <c r="BO222" s="491"/>
      <c r="BP222" s="622"/>
      <c r="BQ222" s="274"/>
    </row>
    <row r="223" spans="2:69">
      <c r="B223" s="96"/>
      <c r="C223" s="96"/>
      <c r="D223" s="184"/>
      <c r="E223" s="179"/>
      <c r="F223" s="87"/>
      <c r="G223" s="87"/>
      <c r="H223" s="185"/>
      <c r="I223" s="184"/>
      <c r="J223" s="184"/>
      <c r="K223" s="184"/>
      <c r="L223" s="296"/>
      <c r="N223" s="1053"/>
      <c r="O223" s="489"/>
      <c r="P223" s="489"/>
      <c r="T223" s="626"/>
      <c r="U223" s="489"/>
      <c r="V223" s="483"/>
      <c r="W223" s="627"/>
      <c r="X223" s="628"/>
      <c r="Y223" s="489"/>
      <c r="Z223" s="629"/>
      <c r="AA223" s="626"/>
      <c r="AB223" s="481"/>
      <c r="AC223" s="1388"/>
      <c r="AD223" s="482"/>
      <c r="AE223" s="482"/>
      <c r="AF223" s="482"/>
      <c r="AG223" s="482"/>
      <c r="AH223" s="482"/>
      <c r="AI223" s="482"/>
      <c r="AJ223" s="482"/>
      <c r="AK223" s="482"/>
      <c r="AL223" s="482"/>
      <c r="AM223" s="482"/>
      <c r="AN223" s="483"/>
      <c r="AO223" s="483"/>
      <c r="AP223" s="484"/>
      <c r="AQ223" s="484"/>
      <c r="AR223" s="629"/>
      <c r="AS223" s="629"/>
      <c r="AT223" s="629"/>
      <c r="AU223" s="629"/>
      <c r="AV223" s="629"/>
      <c r="AW223" s="630"/>
      <c r="AZ223" s="489"/>
      <c r="BA223" s="631"/>
      <c r="BB223" s="491"/>
      <c r="BC223" s="491"/>
      <c r="BD223" s="491"/>
      <c r="BE223" s="491"/>
      <c r="BF223" s="491"/>
      <c r="BG223" s="491"/>
      <c r="BH223" s="491"/>
      <c r="BI223" s="491"/>
      <c r="BJ223" s="491"/>
      <c r="BL223" s="491"/>
      <c r="BM223" s="491"/>
      <c r="BN223" s="491"/>
      <c r="BO223" s="491"/>
      <c r="BP223" s="622"/>
      <c r="BQ223" s="274"/>
    </row>
    <row r="224" spans="2:69">
      <c r="B224" s="96"/>
      <c r="C224" s="96"/>
      <c r="D224" s="184"/>
      <c r="E224" s="179"/>
      <c r="F224" s="87"/>
      <c r="G224" s="87"/>
      <c r="H224" s="185"/>
      <c r="I224" s="184"/>
      <c r="J224" s="184"/>
      <c r="K224" s="184"/>
      <c r="L224" s="296"/>
      <c r="N224" s="1053"/>
      <c r="O224" s="489"/>
      <c r="P224" s="489"/>
      <c r="T224" s="626"/>
      <c r="U224" s="489"/>
      <c r="V224" s="483"/>
      <c r="W224" s="627"/>
      <c r="X224" s="628"/>
      <c r="Y224" s="489"/>
      <c r="Z224" s="629"/>
      <c r="AA224" s="626"/>
      <c r="AB224" s="481"/>
      <c r="AC224" s="1388"/>
      <c r="AD224" s="482"/>
      <c r="AE224" s="482"/>
      <c r="AF224" s="482"/>
      <c r="AG224" s="482"/>
      <c r="AH224" s="482"/>
      <c r="AI224" s="482"/>
      <c r="AJ224" s="482"/>
      <c r="AK224" s="482"/>
      <c r="AL224" s="482"/>
      <c r="AM224" s="482"/>
      <c r="AN224" s="483"/>
      <c r="AO224" s="483"/>
      <c r="AP224" s="484"/>
      <c r="AQ224" s="484"/>
      <c r="AR224" s="629"/>
      <c r="AS224" s="629"/>
      <c r="AT224" s="629"/>
      <c r="AU224" s="629"/>
      <c r="AV224" s="629"/>
      <c r="AW224" s="630"/>
      <c r="AZ224" s="489"/>
      <c r="BA224" s="631"/>
      <c r="BB224" s="491"/>
      <c r="BC224" s="491"/>
      <c r="BD224" s="491"/>
      <c r="BE224" s="491"/>
      <c r="BF224" s="491"/>
      <c r="BG224" s="491"/>
      <c r="BH224" s="491"/>
      <c r="BI224" s="491"/>
      <c r="BJ224" s="491"/>
      <c r="BL224" s="491"/>
      <c r="BM224" s="491"/>
      <c r="BN224" s="491"/>
      <c r="BO224" s="491"/>
      <c r="BP224" s="622"/>
      <c r="BQ224" s="274"/>
    </row>
    <row r="225" spans="2:69">
      <c r="B225" s="96"/>
      <c r="C225" s="96"/>
      <c r="D225" s="184"/>
      <c r="E225" s="179"/>
      <c r="F225" s="87"/>
      <c r="G225" s="87"/>
      <c r="H225" s="185"/>
      <c r="I225" s="184"/>
      <c r="J225" s="184"/>
      <c r="K225" s="184"/>
      <c r="L225" s="296"/>
      <c r="N225" s="1053"/>
      <c r="O225" s="489"/>
      <c r="P225" s="489"/>
      <c r="T225" s="626"/>
      <c r="U225" s="489"/>
      <c r="V225" s="483"/>
      <c r="W225" s="627"/>
      <c r="X225" s="628"/>
      <c r="Y225" s="489"/>
      <c r="Z225" s="629"/>
      <c r="AA225" s="626"/>
      <c r="AB225" s="481"/>
      <c r="AC225" s="1388"/>
      <c r="AD225" s="482"/>
      <c r="AE225" s="482"/>
      <c r="AF225" s="482"/>
      <c r="AG225" s="482"/>
      <c r="AH225" s="482"/>
      <c r="AI225" s="482"/>
      <c r="AJ225" s="482"/>
      <c r="AK225" s="482"/>
      <c r="AL225" s="482"/>
      <c r="AM225" s="482"/>
      <c r="AN225" s="483"/>
      <c r="AO225" s="483"/>
      <c r="AP225" s="484"/>
      <c r="AQ225" s="484"/>
      <c r="AR225" s="629"/>
      <c r="AS225" s="629"/>
      <c r="AT225" s="629"/>
      <c r="AU225" s="629"/>
      <c r="AV225" s="629"/>
      <c r="AW225" s="630"/>
      <c r="AZ225" s="489"/>
      <c r="BA225" s="631"/>
      <c r="BB225" s="491"/>
      <c r="BC225" s="491"/>
      <c r="BD225" s="491"/>
      <c r="BE225" s="491"/>
      <c r="BF225" s="491"/>
      <c r="BG225" s="491"/>
      <c r="BH225" s="491"/>
      <c r="BI225" s="491"/>
      <c r="BJ225" s="491"/>
      <c r="BL225" s="491"/>
      <c r="BM225" s="491"/>
      <c r="BN225" s="491"/>
      <c r="BO225" s="491"/>
      <c r="BP225" s="622"/>
      <c r="BQ225" s="274"/>
    </row>
    <row r="226" spans="2:69">
      <c r="B226" s="96"/>
      <c r="C226" s="96"/>
      <c r="D226" s="184"/>
      <c r="E226" s="179"/>
      <c r="F226" s="87"/>
      <c r="G226" s="87"/>
      <c r="H226" s="185"/>
      <c r="I226" s="184"/>
      <c r="J226" s="184"/>
      <c r="K226" s="184"/>
      <c r="L226" s="296"/>
      <c r="N226" s="1053"/>
      <c r="O226" s="489"/>
      <c r="P226" s="489"/>
      <c r="T226" s="626"/>
      <c r="U226" s="489"/>
      <c r="V226" s="483"/>
      <c r="W226" s="627"/>
      <c r="X226" s="628"/>
      <c r="Y226" s="489"/>
      <c r="Z226" s="629"/>
      <c r="AA226" s="626"/>
      <c r="AB226" s="481"/>
      <c r="AC226" s="1388"/>
      <c r="AD226" s="482"/>
      <c r="AE226" s="482"/>
      <c r="AF226" s="482"/>
      <c r="AG226" s="482"/>
      <c r="AH226" s="482"/>
      <c r="AI226" s="482"/>
      <c r="AJ226" s="482"/>
      <c r="AK226" s="482"/>
      <c r="AL226" s="482"/>
      <c r="AM226" s="482"/>
      <c r="AN226" s="483"/>
      <c r="AO226" s="483"/>
      <c r="AP226" s="484"/>
      <c r="AQ226" s="484"/>
      <c r="AR226" s="629"/>
      <c r="AS226" s="629"/>
      <c r="AT226" s="629"/>
      <c r="AU226" s="629"/>
      <c r="AV226" s="629"/>
      <c r="AW226" s="630"/>
      <c r="AZ226" s="489"/>
      <c r="BA226" s="631"/>
      <c r="BB226" s="491"/>
      <c r="BC226" s="491"/>
      <c r="BD226" s="491"/>
      <c r="BE226" s="491"/>
      <c r="BF226" s="491"/>
      <c r="BG226" s="491"/>
      <c r="BH226" s="491"/>
      <c r="BI226" s="491"/>
      <c r="BJ226" s="491"/>
      <c r="BL226" s="491"/>
      <c r="BM226" s="491"/>
      <c r="BN226" s="491"/>
      <c r="BO226" s="491"/>
      <c r="BP226" s="622"/>
      <c r="BQ226" s="274"/>
    </row>
    <row r="227" spans="2:69">
      <c r="B227" s="96"/>
      <c r="C227" s="96"/>
      <c r="D227" s="184"/>
      <c r="E227" s="179"/>
      <c r="F227" s="87"/>
      <c r="G227" s="87"/>
      <c r="H227" s="185"/>
      <c r="I227" s="184"/>
      <c r="J227" s="184"/>
      <c r="K227" s="184"/>
      <c r="L227" s="296"/>
      <c r="N227" s="1053"/>
      <c r="O227" s="489"/>
      <c r="P227" s="489"/>
      <c r="T227" s="626"/>
      <c r="U227" s="489"/>
      <c r="V227" s="483"/>
      <c r="W227" s="627"/>
      <c r="X227" s="628"/>
      <c r="Y227" s="489"/>
      <c r="Z227" s="629"/>
      <c r="AA227" s="626"/>
      <c r="AB227" s="481"/>
      <c r="AC227" s="1388"/>
      <c r="AD227" s="482"/>
      <c r="AE227" s="482"/>
      <c r="AF227" s="482"/>
      <c r="AG227" s="482"/>
      <c r="AH227" s="482"/>
      <c r="AI227" s="482"/>
      <c r="AJ227" s="482"/>
      <c r="AK227" s="482"/>
      <c r="AL227" s="482"/>
      <c r="AM227" s="482"/>
      <c r="AN227" s="483"/>
      <c r="AO227" s="483"/>
      <c r="AP227" s="484"/>
      <c r="AQ227" s="484"/>
      <c r="AR227" s="629"/>
      <c r="AS227" s="629"/>
      <c r="AT227" s="629"/>
      <c r="AU227" s="629"/>
      <c r="AV227" s="629"/>
      <c r="AW227" s="630"/>
      <c r="AZ227" s="489"/>
      <c r="BA227" s="631"/>
      <c r="BB227" s="491"/>
      <c r="BC227" s="491"/>
      <c r="BD227" s="491"/>
      <c r="BE227" s="491"/>
      <c r="BF227" s="491"/>
      <c r="BG227" s="491"/>
      <c r="BH227" s="491"/>
      <c r="BI227" s="491"/>
      <c r="BJ227" s="491"/>
      <c r="BL227" s="491"/>
      <c r="BM227" s="491"/>
      <c r="BN227" s="491"/>
      <c r="BO227" s="491"/>
      <c r="BP227" s="622"/>
      <c r="BQ227" s="274"/>
    </row>
    <row r="228" spans="2:69">
      <c r="B228" s="96"/>
      <c r="C228" s="96"/>
      <c r="D228" s="184"/>
      <c r="E228" s="179"/>
      <c r="F228" s="87"/>
      <c r="G228" s="87"/>
      <c r="H228" s="185"/>
      <c r="I228" s="184"/>
      <c r="J228" s="184"/>
      <c r="K228" s="184"/>
      <c r="L228" s="296"/>
      <c r="N228" s="1053"/>
      <c r="O228" s="489"/>
      <c r="P228" s="489"/>
      <c r="T228" s="626"/>
      <c r="U228" s="489"/>
      <c r="V228" s="483"/>
      <c r="W228" s="627"/>
      <c r="X228" s="628"/>
      <c r="Y228" s="489"/>
      <c r="Z228" s="629"/>
      <c r="AA228" s="626"/>
      <c r="AB228" s="481"/>
      <c r="AC228" s="1388"/>
      <c r="AD228" s="482"/>
      <c r="AE228" s="482"/>
      <c r="AF228" s="482"/>
      <c r="AG228" s="482"/>
      <c r="AH228" s="482"/>
      <c r="AI228" s="482"/>
      <c r="AJ228" s="482"/>
      <c r="AK228" s="482"/>
      <c r="AL228" s="482"/>
      <c r="AM228" s="482"/>
      <c r="AN228" s="483"/>
      <c r="AO228" s="483"/>
      <c r="AP228" s="484"/>
      <c r="AQ228" s="484"/>
      <c r="AR228" s="629"/>
      <c r="AS228" s="629"/>
      <c r="AT228" s="629"/>
      <c r="AU228" s="629"/>
      <c r="AV228" s="629"/>
      <c r="AW228" s="630"/>
      <c r="AZ228" s="489"/>
      <c r="BA228" s="631"/>
      <c r="BB228" s="491"/>
      <c r="BC228" s="491"/>
      <c r="BD228" s="491"/>
      <c r="BE228" s="491"/>
      <c r="BF228" s="491"/>
      <c r="BG228" s="491"/>
      <c r="BH228" s="491"/>
      <c r="BI228" s="491"/>
      <c r="BJ228" s="491"/>
      <c r="BL228" s="491"/>
      <c r="BM228" s="491"/>
      <c r="BN228" s="491"/>
      <c r="BO228" s="491"/>
      <c r="BP228" s="622"/>
      <c r="BQ228" s="274"/>
    </row>
    <row r="229" spans="2:69">
      <c r="B229" s="96"/>
      <c r="C229" s="96"/>
      <c r="D229" s="184"/>
      <c r="E229" s="179"/>
      <c r="F229" s="87"/>
      <c r="G229" s="87"/>
      <c r="H229" s="185"/>
      <c r="I229" s="184"/>
      <c r="J229" s="184"/>
      <c r="K229" s="184"/>
      <c r="L229" s="296"/>
      <c r="N229" s="1053"/>
      <c r="O229" s="489"/>
      <c r="P229" s="489"/>
      <c r="T229" s="626"/>
      <c r="U229" s="489"/>
      <c r="V229" s="483"/>
      <c r="W229" s="627"/>
      <c r="X229" s="628"/>
      <c r="Y229" s="489"/>
      <c r="Z229" s="629"/>
      <c r="AA229" s="626"/>
      <c r="AB229" s="481"/>
      <c r="AC229" s="1388"/>
      <c r="AD229" s="482"/>
      <c r="AE229" s="482"/>
      <c r="AF229" s="482"/>
      <c r="AG229" s="482"/>
      <c r="AH229" s="482"/>
      <c r="AI229" s="482"/>
      <c r="AJ229" s="482"/>
      <c r="AK229" s="482"/>
      <c r="AL229" s="482"/>
      <c r="AM229" s="482"/>
      <c r="AN229" s="483"/>
      <c r="AO229" s="483"/>
      <c r="AP229" s="484"/>
      <c r="AQ229" s="484"/>
      <c r="AR229" s="629"/>
      <c r="AS229" s="629"/>
      <c r="AT229" s="629"/>
      <c r="AU229" s="629"/>
      <c r="AV229" s="629"/>
      <c r="AW229" s="630"/>
      <c r="AZ229" s="489"/>
      <c r="BA229" s="631"/>
      <c r="BB229" s="491"/>
      <c r="BC229" s="491"/>
      <c r="BD229" s="491"/>
      <c r="BE229" s="491"/>
      <c r="BF229" s="491"/>
      <c r="BG229" s="491"/>
      <c r="BH229" s="491"/>
      <c r="BI229" s="491"/>
      <c r="BJ229" s="491"/>
      <c r="BL229" s="491"/>
      <c r="BM229" s="491"/>
      <c r="BN229" s="491"/>
      <c r="BO229" s="491"/>
      <c r="BP229" s="622"/>
      <c r="BQ229" s="274"/>
    </row>
    <row r="230" spans="2:69">
      <c r="B230" s="96"/>
      <c r="C230" s="96"/>
      <c r="D230" s="184"/>
      <c r="E230" s="179"/>
      <c r="F230" s="87"/>
      <c r="G230" s="87"/>
      <c r="H230" s="185"/>
      <c r="I230" s="184"/>
      <c r="J230" s="184"/>
      <c r="K230" s="184"/>
      <c r="L230" s="296"/>
      <c r="N230" s="1053"/>
      <c r="O230" s="489"/>
      <c r="P230" s="489"/>
      <c r="T230" s="626"/>
      <c r="U230" s="489"/>
      <c r="V230" s="483"/>
      <c r="W230" s="627"/>
      <c r="X230" s="628"/>
      <c r="Y230" s="489"/>
      <c r="Z230" s="629"/>
      <c r="AA230" s="626"/>
      <c r="AB230" s="481"/>
      <c r="AC230" s="1388"/>
      <c r="AD230" s="482"/>
      <c r="AE230" s="482"/>
      <c r="AF230" s="482"/>
      <c r="AG230" s="482"/>
      <c r="AH230" s="482"/>
      <c r="AI230" s="482"/>
      <c r="AJ230" s="482"/>
      <c r="AK230" s="482"/>
      <c r="AL230" s="482"/>
      <c r="AM230" s="482"/>
      <c r="AN230" s="483"/>
      <c r="AO230" s="483"/>
      <c r="AP230" s="484"/>
      <c r="AQ230" s="484"/>
      <c r="AR230" s="629"/>
      <c r="AS230" s="629"/>
      <c r="AT230" s="629"/>
      <c r="AU230" s="629"/>
      <c r="AV230" s="629"/>
      <c r="AW230" s="630"/>
      <c r="AZ230" s="489"/>
      <c r="BA230" s="631"/>
      <c r="BB230" s="491"/>
      <c r="BC230" s="491"/>
      <c r="BD230" s="491"/>
      <c r="BE230" s="491"/>
      <c r="BF230" s="491"/>
      <c r="BG230" s="491"/>
      <c r="BH230" s="491"/>
      <c r="BI230" s="491"/>
      <c r="BJ230" s="491"/>
      <c r="BL230" s="491"/>
      <c r="BM230" s="491"/>
      <c r="BN230" s="491"/>
      <c r="BO230" s="491"/>
      <c r="BP230" s="622"/>
      <c r="BQ230" s="274"/>
    </row>
    <row r="231" spans="2:69">
      <c r="B231" s="96"/>
      <c r="C231" s="96"/>
      <c r="D231" s="184"/>
      <c r="E231" s="179"/>
      <c r="F231" s="87"/>
      <c r="G231" s="87"/>
      <c r="H231" s="185"/>
      <c r="I231" s="184"/>
      <c r="J231" s="184"/>
      <c r="K231" s="184"/>
      <c r="L231" s="296"/>
      <c r="N231" s="1053"/>
      <c r="O231" s="489"/>
      <c r="P231" s="489"/>
      <c r="T231" s="626"/>
      <c r="U231" s="489"/>
      <c r="V231" s="483"/>
      <c r="W231" s="627"/>
      <c r="X231" s="628"/>
      <c r="Y231" s="489"/>
      <c r="Z231" s="629"/>
      <c r="AA231" s="626"/>
      <c r="AB231" s="481"/>
      <c r="AC231" s="1388"/>
      <c r="AD231" s="482"/>
      <c r="AE231" s="482"/>
      <c r="AF231" s="482"/>
      <c r="AG231" s="482"/>
      <c r="AH231" s="482"/>
      <c r="AI231" s="482"/>
      <c r="AJ231" s="482"/>
      <c r="AK231" s="482"/>
      <c r="AL231" s="482"/>
      <c r="AM231" s="482"/>
      <c r="AN231" s="483"/>
      <c r="AO231" s="483"/>
      <c r="AP231" s="484"/>
      <c r="AQ231" s="484"/>
      <c r="AR231" s="629"/>
      <c r="AS231" s="629"/>
      <c r="AT231" s="629"/>
      <c r="AU231" s="629"/>
      <c r="AV231" s="629"/>
      <c r="AW231" s="630"/>
      <c r="AZ231" s="489"/>
      <c r="BA231" s="631"/>
      <c r="BB231" s="491"/>
      <c r="BC231" s="491"/>
      <c r="BD231" s="491"/>
      <c r="BE231" s="491"/>
      <c r="BF231" s="491"/>
      <c r="BG231" s="491"/>
      <c r="BH231" s="491"/>
      <c r="BI231" s="491"/>
      <c r="BJ231" s="491"/>
      <c r="BL231" s="491"/>
      <c r="BM231" s="491"/>
      <c r="BN231" s="491"/>
      <c r="BO231" s="491"/>
      <c r="BP231" s="622"/>
      <c r="BQ231" s="274"/>
    </row>
    <row r="232" spans="2:69">
      <c r="B232" s="96"/>
      <c r="C232" s="96"/>
      <c r="D232" s="184"/>
      <c r="E232" s="179"/>
      <c r="F232" s="87"/>
      <c r="G232" s="87"/>
      <c r="H232" s="185"/>
      <c r="I232" s="184"/>
      <c r="J232" s="184"/>
      <c r="K232" s="184"/>
      <c r="L232" s="296"/>
      <c r="N232" s="1053"/>
      <c r="O232" s="489"/>
      <c r="P232" s="489"/>
      <c r="T232" s="626"/>
      <c r="U232" s="489"/>
      <c r="V232" s="483"/>
      <c r="W232" s="627"/>
      <c r="X232" s="628"/>
      <c r="Y232" s="489"/>
      <c r="Z232" s="629"/>
      <c r="AA232" s="626"/>
      <c r="AB232" s="481"/>
      <c r="AC232" s="1388"/>
      <c r="AD232" s="482"/>
      <c r="AE232" s="482"/>
      <c r="AF232" s="482"/>
      <c r="AG232" s="482"/>
      <c r="AH232" s="482"/>
      <c r="AI232" s="482"/>
      <c r="AJ232" s="482"/>
      <c r="AK232" s="482"/>
      <c r="AL232" s="482"/>
      <c r="AM232" s="482"/>
      <c r="AN232" s="483"/>
      <c r="AO232" s="483"/>
      <c r="AP232" s="484"/>
      <c r="AQ232" s="484"/>
      <c r="AR232" s="629"/>
      <c r="AS232" s="629"/>
      <c r="AT232" s="629"/>
      <c r="AU232" s="629"/>
      <c r="AV232" s="629"/>
      <c r="AW232" s="630"/>
      <c r="AZ232" s="489"/>
      <c r="BA232" s="631"/>
      <c r="BB232" s="491"/>
      <c r="BC232" s="491"/>
      <c r="BD232" s="491"/>
      <c r="BE232" s="491"/>
      <c r="BF232" s="491"/>
      <c r="BG232" s="491"/>
      <c r="BH232" s="491"/>
      <c r="BI232" s="491"/>
      <c r="BJ232" s="491"/>
      <c r="BL232" s="491"/>
      <c r="BM232" s="491"/>
      <c r="BN232" s="491"/>
      <c r="BO232" s="491"/>
      <c r="BP232" s="622"/>
      <c r="BQ232" s="274"/>
    </row>
    <row r="233" spans="2:69">
      <c r="B233" s="96"/>
      <c r="C233" s="96"/>
      <c r="D233" s="184"/>
      <c r="E233" s="179"/>
      <c r="F233" s="87"/>
      <c r="G233" s="87"/>
      <c r="H233" s="185"/>
      <c r="I233" s="184"/>
      <c r="J233" s="184"/>
      <c r="K233" s="184"/>
      <c r="L233" s="296"/>
      <c r="N233" s="1053"/>
      <c r="O233" s="489"/>
      <c r="P233" s="489"/>
      <c r="T233" s="626"/>
      <c r="U233" s="489"/>
      <c r="V233" s="483"/>
      <c r="W233" s="627"/>
      <c r="X233" s="628"/>
      <c r="Y233" s="489"/>
      <c r="Z233" s="629"/>
      <c r="AA233" s="626"/>
      <c r="AB233" s="481"/>
      <c r="AC233" s="1388"/>
      <c r="AD233" s="482"/>
      <c r="AE233" s="482"/>
      <c r="AF233" s="482"/>
      <c r="AG233" s="482"/>
      <c r="AH233" s="482"/>
      <c r="AI233" s="482"/>
      <c r="AJ233" s="482"/>
      <c r="AK233" s="482"/>
      <c r="AL233" s="482"/>
      <c r="AM233" s="482"/>
      <c r="AN233" s="483"/>
      <c r="AO233" s="483"/>
      <c r="AP233" s="484"/>
      <c r="AQ233" s="484"/>
      <c r="AR233" s="629"/>
      <c r="AS233" s="629"/>
      <c r="AT233" s="629"/>
      <c r="AU233" s="629"/>
      <c r="AV233" s="629"/>
      <c r="AW233" s="630"/>
      <c r="AZ233" s="489"/>
      <c r="BA233" s="631"/>
      <c r="BB233" s="491"/>
      <c r="BC233" s="491"/>
      <c r="BD233" s="491"/>
      <c r="BE233" s="491"/>
      <c r="BF233" s="491"/>
      <c r="BG233" s="491"/>
      <c r="BH233" s="491"/>
      <c r="BI233" s="491"/>
      <c r="BJ233" s="491"/>
      <c r="BL233" s="491"/>
      <c r="BM233" s="491"/>
      <c r="BN233" s="491"/>
      <c r="BO233" s="491"/>
      <c r="BP233" s="622"/>
      <c r="BQ233" s="274"/>
    </row>
    <row r="234" spans="2:69">
      <c r="B234" s="96"/>
      <c r="C234" s="96"/>
      <c r="D234" s="184"/>
      <c r="E234" s="179"/>
      <c r="F234" s="87"/>
      <c r="G234" s="87"/>
      <c r="H234" s="185"/>
      <c r="I234" s="184"/>
      <c r="J234" s="184"/>
      <c r="K234" s="184"/>
      <c r="L234" s="296"/>
      <c r="N234" s="1053"/>
      <c r="O234" s="489"/>
      <c r="P234" s="489"/>
      <c r="T234" s="626"/>
      <c r="U234" s="489"/>
      <c r="V234" s="483"/>
      <c r="W234" s="627"/>
      <c r="X234" s="628"/>
      <c r="Y234" s="489"/>
      <c r="Z234" s="629"/>
      <c r="AA234" s="626"/>
      <c r="AB234" s="481"/>
      <c r="AC234" s="1388"/>
      <c r="AD234" s="482"/>
      <c r="AE234" s="482"/>
      <c r="AF234" s="482"/>
      <c r="AG234" s="482"/>
      <c r="AH234" s="482"/>
      <c r="AI234" s="482"/>
      <c r="AJ234" s="482"/>
      <c r="AK234" s="482"/>
      <c r="AL234" s="482"/>
      <c r="AM234" s="482"/>
      <c r="AN234" s="483"/>
      <c r="AO234" s="483"/>
      <c r="AP234" s="484"/>
      <c r="AQ234" s="484"/>
      <c r="AR234" s="629"/>
      <c r="AS234" s="629"/>
      <c r="AT234" s="629"/>
      <c r="AU234" s="629"/>
      <c r="AV234" s="629"/>
      <c r="AW234" s="630"/>
      <c r="AZ234" s="489"/>
      <c r="BA234" s="631"/>
      <c r="BB234" s="491"/>
      <c r="BC234" s="491"/>
      <c r="BD234" s="491"/>
      <c r="BE234" s="491"/>
      <c r="BF234" s="491"/>
      <c r="BG234" s="491"/>
      <c r="BH234" s="491"/>
      <c r="BI234" s="491"/>
      <c r="BJ234" s="491"/>
      <c r="BL234" s="491"/>
      <c r="BM234" s="491"/>
      <c r="BN234" s="491"/>
      <c r="BO234" s="491"/>
      <c r="BP234" s="622"/>
      <c r="BQ234" s="274"/>
    </row>
    <row r="235" spans="2:69">
      <c r="B235" s="96"/>
      <c r="C235" s="96"/>
      <c r="D235" s="184"/>
      <c r="E235" s="179"/>
      <c r="F235" s="87"/>
      <c r="G235" s="87"/>
      <c r="H235" s="185"/>
      <c r="I235" s="184"/>
      <c r="J235" s="184"/>
      <c r="K235" s="184"/>
      <c r="L235" s="296"/>
      <c r="N235" s="1053"/>
      <c r="O235" s="489"/>
      <c r="P235" s="489"/>
      <c r="T235" s="626"/>
      <c r="U235" s="489"/>
      <c r="V235" s="483"/>
      <c r="W235" s="627"/>
      <c r="X235" s="628"/>
      <c r="Y235" s="489"/>
      <c r="Z235" s="629"/>
      <c r="AA235" s="626"/>
      <c r="AB235" s="481"/>
      <c r="AC235" s="1388"/>
      <c r="AD235" s="482"/>
      <c r="AE235" s="482"/>
      <c r="AF235" s="482"/>
      <c r="AG235" s="482"/>
      <c r="AH235" s="482"/>
      <c r="AI235" s="482"/>
      <c r="AJ235" s="482"/>
      <c r="AK235" s="482"/>
      <c r="AL235" s="482"/>
      <c r="AM235" s="482"/>
      <c r="AN235" s="483"/>
      <c r="AO235" s="483"/>
      <c r="AP235" s="484"/>
      <c r="AQ235" s="484"/>
      <c r="AR235" s="629"/>
      <c r="AS235" s="629"/>
      <c r="AT235" s="629"/>
      <c r="AU235" s="629"/>
      <c r="AV235" s="629"/>
      <c r="AW235" s="630"/>
      <c r="AZ235" s="489"/>
      <c r="BA235" s="631"/>
      <c r="BB235" s="491"/>
      <c r="BC235" s="491"/>
      <c r="BD235" s="491"/>
      <c r="BE235" s="491"/>
      <c r="BF235" s="491"/>
      <c r="BG235" s="491"/>
      <c r="BH235" s="491"/>
      <c r="BI235" s="491"/>
      <c r="BJ235" s="491"/>
      <c r="BL235" s="491"/>
      <c r="BM235" s="491"/>
      <c r="BN235" s="491"/>
      <c r="BO235" s="491"/>
      <c r="BP235" s="622"/>
      <c r="BQ235" s="274"/>
    </row>
    <row r="236" spans="2:69">
      <c r="B236" s="96"/>
      <c r="C236" s="96"/>
      <c r="D236" s="184"/>
      <c r="E236" s="179"/>
      <c r="F236" s="87"/>
      <c r="G236" s="87"/>
      <c r="H236" s="185"/>
      <c r="I236" s="184"/>
      <c r="J236" s="184"/>
      <c r="K236" s="184"/>
      <c r="L236" s="296"/>
      <c r="N236" s="1053"/>
      <c r="O236" s="489"/>
      <c r="P236" s="489"/>
      <c r="T236" s="626"/>
      <c r="U236" s="489"/>
      <c r="V236" s="483"/>
      <c r="W236" s="627"/>
      <c r="X236" s="628"/>
      <c r="Y236" s="489"/>
      <c r="Z236" s="629"/>
      <c r="AA236" s="626"/>
      <c r="AB236" s="481"/>
      <c r="AC236" s="1388"/>
      <c r="AD236" s="482"/>
      <c r="AE236" s="482"/>
      <c r="AF236" s="482"/>
      <c r="AG236" s="482"/>
      <c r="AH236" s="482"/>
      <c r="AI236" s="482"/>
      <c r="AJ236" s="482"/>
      <c r="AK236" s="482"/>
      <c r="AL236" s="482"/>
      <c r="AM236" s="482"/>
      <c r="AN236" s="483"/>
      <c r="AO236" s="483"/>
      <c r="AP236" s="484"/>
      <c r="AQ236" s="484"/>
      <c r="AR236" s="629"/>
      <c r="AS236" s="629"/>
      <c r="AT236" s="629"/>
      <c r="AU236" s="629"/>
      <c r="AV236" s="629"/>
      <c r="AW236" s="630"/>
      <c r="AZ236" s="489"/>
      <c r="BA236" s="631"/>
      <c r="BB236" s="491"/>
      <c r="BC236" s="491"/>
      <c r="BD236" s="491"/>
      <c r="BE236" s="491"/>
      <c r="BF236" s="491"/>
      <c r="BG236" s="491"/>
      <c r="BH236" s="491"/>
      <c r="BI236" s="491"/>
      <c r="BJ236" s="491"/>
      <c r="BL236" s="491"/>
      <c r="BM236" s="491"/>
      <c r="BN236" s="491"/>
      <c r="BO236" s="491"/>
      <c r="BP236" s="622"/>
      <c r="BQ236" s="274"/>
    </row>
    <row r="237" spans="2:69">
      <c r="B237" s="96"/>
      <c r="C237" s="96"/>
      <c r="D237" s="184"/>
      <c r="E237" s="179"/>
      <c r="F237" s="87"/>
      <c r="G237" s="87"/>
      <c r="H237" s="185"/>
      <c r="I237" s="184"/>
      <c r="J237" s="184"/>
      <c r="K237" s="184"/>
      <c r="L237" s="296"/>
      <c r="N237" s="1053"/>
      <c r="O237" s="489"/>
      <c r="P237" s="489"/>
      <c r="T237" s="626"/>
      <c r="U237" s="489"/>
      <c r="V237" s="483"/>
      <c r="W237" s="627"/>
      <c r="X237" s="628"/>
      <c r="Y237" s="489"/>
      <c r="Z237" s="629"/>
      <c r="AA237" s="626"/>
      <c r="AB237" s="481"/>
      <c r="AC237" s="1388"/>
      <c r="AD237" s="482"/>
      <c r="AE237" s="482"/>
      <c r="AF237" s="482"/>
      <c r="AG237" s="482"/>
      <c r="AH237" s="482"/>
      <c r="AI237" s="482"/>
      <c r="AJ237" s="482"/>
      <c r="AK237" s="482"/>
      <c r="AL237" s="482"/>
      <c r="AM237" s="482"/>
      <c r="AN237" s="483"/>
      <c r="AO237" s="483"/>
      <c r="AP237" s="484"/>
      <c r="AQ237" s="484"/>
      <c r="AR237" s="629"/>
      <c r="AS237" s="629"/>
      <c r="AT237" s="629"/>
      <c r="AU237" s="629"/>
      <c r="AV237" s="629"/>
      <c r="AW237" s="630"/>
      <c r="AZ237" s="489"/>
      <c r="BA237" s="631"/>
      <c r="BB237" s="491"/>
      <c r="BC237" s="491"/>
      <c r="BD237" s="491"/>
      <c r="BE237" s="491"/>
      <c r="BF237" s="491"/>
      <c r="BG237" s="491"/>
      <c r="BH237" s="491"/>
      <c r="BI237" s="491"/>
      <c r="BJ237" s="491"/>
      <c r="BL237" s="491"/>
      <c r="BM237" s="491"/>
      <c r="BN237" s="491"/>
      <c r="BO237" s="491"/>
      <c r="BP237" s="622"/>
      <c r="BQ237" s="274"/>
    </row>
    <row r="238" spans="2:69">
      <c r="B238" s="96"/>
      <c r="C238" s="96"/>
      <c r="D238" s="184"/>
      <c r="E238" s="179"/>
      <c r="F238" s="87"/>
      <c r="G238" s="87"/>
      <c r="H238" s="185"/>
      <c r="I238" s="184"/>
      <c r="J238" s="184"/>
      <c r="K238" s="184"/>
      <c r="L238" s="296"/>
      <c r="N238" s="1053"/>
      <c r="O238" s="489"/>
      <c r="P238" s="489"/>
      <c r="T238" s="626"/>
      <c r="U238" s="489"/>
      <c r="V238" s="483"/>
      <c r="W238" s="627"/>
      <c r="X238" s="628"/>
      <c r="Y238" s="489"/>
      <c r="Z238" s="629"/>
      <c r="AA238" s="626"/>
      <c r="AB238" s="481"/>
      <c r="AC238" s="1388"/>
      <c r="AD238" s="482"/>
      <c r="AE238" s="482"/>
      <c r="AF238" s="482"/>
      <c r="AG238" s="482"/>
      <c r="AH238" s="482"/>
      <c r="AI238" s="482"/>
      <c r="AJ238" s="482"/>
      <c r="AK238" s="482"/>
      <c r="AL238" s="482"/>
      <c r="AM238" s="482"/>
      <c r="AN238" s="483"/>
      <c r="AO238" s="483"/>
      <c r="AP238" s="484"/>
      <c r="AQ238" s="484"/>
      <c r="AR238" s="629"/>
      <c r="AS238" s="629"/>
      <c r="AT238" s="629"/>
      <c r="AU238" s="629"/>
      <c r="AV238" s="629"/>
      <c r="AW238" s="630"/>
      <c r="AZ238" s="489"/>
      <c r="BA238" s="631"/>
      <c r="BB238" s="491"/>
      <c r="BC238" s="491"/>
      <c r="BD238" s="491"/>
      <c r="BE238" s="491"/>
      <c r="BF238" s="491"/>
      <c r="BG238" s="491"/>
      <c r="BH238" s="491"/>
      <c r="BI238" s="491"/>
      <c r="BJ238" s="491"/>
      <c r="BL238" s="491"/>
      <c r="BM238" s="491"/>
      <c r="BN238" s="491"/>
      <c r="BO238" s="491"/>
      <c r="BP238" s="622"/>
      <c r="BQ238" s="274"/>
    </row>
    <row r="239" spans="2:69">
      <c r="B239" s="96"/>
      <c r="C239" s="96"/>
      <c r="D239" s="184"/>
      <c r="E239" s="179"/>
      <c r="F239" s="87"/>
      <c r="G239" s="87"/>
      <c r="H239" s="185"/>
      <c r="I239" s="184"/>
      <c r="J239" s="184"/>
      <c r="K239" s="184"/>
      <c r="L239" s="296"/>
      <c r="N239" s="1053"/>
      <c r="O239" s="489"/>
      <c r="P239" s="489"/>
      <c r="T239" s="626"/>
      <c r="U239" s="489"/>
      <c r="V239" s="483"/>
      <c r="W239" s="627"/>
      <c r="X239" s="628"/>
      <c r="Y239" s="489"/>
      <c r="Z239" s="629"/>
      <c r="AA239" s="626"/>
      <c r="AB239" s="481"/>
      <c r="AC239" s="1388"/>
      <c r="AD239" s="482"/>
      <c r="AE239" s="482"/>
      <c r="AF239" s="482"/>
      <c r="AG239" s="482"/>
      <c r="AH239" s="482"/>
      <c r="AI239" s="482"/>
      <c r="AJ239" s="482"/>
      <c r="AK239" s="482"/>
      <c r="AL239" s="482"/>
      <c r="AM239" s="482"/>
      <c r="AN239" s="483"/>
      <c r="AO239" s="483"/>
      <c r="AP239" s="484"/>
      <c r="AQ239" s="484"/>
      <c r="AR239" s="629"/>
      <c r="AS239" s="629"/>
      <c r="AT239" s="629"/>
      <c r="AU239" s="629"/>
      <c r="AV239" s="629"/>
      <c r="AW239" s="630"/>
      <c r="AZ239" s="489"/>
      <c r="BA239" s="631"/>
      <c r="BB239" s="491"/>
      <c r="BC239" s="491"/>
      <c r="BD239" s="491"/>
      <c r="BE239" s="491"/>
      <c r="BF239" s="491"/>
      <c r="BG239" s="491"/>
      <c r="BH239" s="491"/>
      <c r="BI239" s="491"/>
      <c r="BJ239" s="491"/>
      <c r="BL239" s="491"/>
      <c r="BM239" s="491"/>
      <c r="BN239" s="491"/>
      <c r="BO239" s="491"/>
      <c r="BP239" s="622"/>
      <c r="BQ239" s="274"/>
    </row>
    <row r="240" spans="2:69">
      <c r="B240" s="96"/>
      <c r="C240" s="96"/>
      <c r="D240" s="184"/>
      <c r="E240" s="179"/>
      <c r="F240" s="87"/>
      <c r="G240" s="87"/>
      <c r="H240" s="185"/>
      <c r="I240" s="184"/>
      <c r="J240" s="184"/>
      <c r="K240" s="184"/>
      <c r="L240" s="296"/>
      <c r="N240" s="1053"/>
      <c r="O240" s="489"/>
      <c r="P240" s="489"/>
      <c r="T240" s="626"/>
      <c r="U240" s="489"/>
      <c r="V240" s="483"/>
      <c r="W240" s="627"/>
      <c r="X240" s="628"/>
      <c r="Y240" s="489"/>
      <c r="Z240" s="629"/>
      <c r="AA240" s="626"/>
      <c r="AB240" s="481"/>
      <c r="AC240" s="1388"/>
      <c r="AD240" s="482"/>
      <c r="AE240" s="482"/>
      <c r="AF240" s="482"/>
      <c r="AG240" s="482"/>
      <c r="AH240" s="482"/>
      <c r="AI240" s="482"/>
      <c r="AJ240" s="482"/>
      <c r="AK240" s="482"/>
      <c r="AL240" s="482"/>
      <c r="AM240" s="482"/>
      <c r="AN240" s="483"/>
      <c r="AO240" s="483"/>
      <c r="AP240" s="484"/>
      <c r="AQ240" s="484"/>
      <c r="AR240" s="629"/>
      <c r="AS240" s="629"/>
      <c r="AT240" s="629"/>
      <c r="AU240" s="629"/>
      <c r="AV240" s="629"/>
      <c r="AW240" s="630"/>
      <c r="AZ240" s="489"/>
      <c r="BA240" s="631"/>
      <c r="BB240" s="491"/>
      <c r="BC240" s="491"/>
      <c r="BD240" s="491"/>
      <c r="BE240" s="491"/>
      <c r="BF240" s="491"/>
      <c r="BG240" s="491"/>
      <c r="BH240" s="491"/>
      <c r="BI240" s="491"/>
      <c r="BJ240" s="491"/>
      <c r="BL240" s="491"/>
      <c r="BM240" s="491"/>
      <c r="BN240" s="491"/>
      <c r="BO240" s="491"/>
      <c r="BP240" s="622"/>
      <c r="BQ240" s="274"/>
    </row>
    <row r="241" spans="2:69">
      <c r="B241" s="96"/>
      <c r="C241" s="96"/>
      <c r="D241" s="184"/>
      <c r="E241" s="179"/>
      <c r="F241" s="87"/>
      <c r="G241" s="87"/>
      <c r="H241" s="185"/>
      <c r="I241" s="184"/>
      <c r="J241" s="184"/>
      <c r="K241" s="184"/>
      <c r="L241" s="296"/>
      <c r="N241" s="1053"/>
      <c r="O241" s="489"/>
      <c r="P241" s="489"/>
      <c r="T241" s="626"/>
      <c r="U241" s="489"/>
      <c r="V241" s="483"/>
      <c r="W241" s="627"/>
      <c r="X241" s="628"/>
      <c r="Y241" s="489"/>
      <c r="Z241" s="629"/>
      <c r="AA241" s="626"/>
      <c r="AB241" s="481"/>
      <c r="AC241" s="1388"/>
      <c r="AD241" s="482"/>
      <c r="AE241" s="482"/>
      <c r="AF241" s="482"/>
      <c r="AG241" s="482"/>
      <c r="AH241" s="482"/>
      <c r="AI241" s="482"/>
      <c r="AJ241" s="482"/>
      <c r="AK241" s="482"/>
      <c r="AL241" s="482"/>
      <c r="AM241" s="482"/>
      <c r="AN241" s="483"/>
      <c r="AO241" s="483"/>
      <c r="AP241" s="484"/>
      <c r="AQ241" s="484"/>
      <c r="AR241" s="629"/>
      <c r="AS241" s="629"/>
      <c r="AT241" s="629"/>
      <c r="AU241" s="629"/>
      <c r="AV241" s="629"/>
      <c r="AW241" s="630"/>
      <c r="AZ241" s="489"/>
      <c r="BA241" s="631"/>
      <c r="BB241" s="491"/>
      <c r="BC241" s="491"/>
      <c r="BD241" s="491"/>
      <c r="BE241" s="491"/>
      <c r="BF241" s="491"/>
      <c r="BG241" s="491"/>
      <c r="BH241" s="491"/>
      <c r="BI241" s="491"/>
      <c r="BJ241" s="491"/>
      <c r="BL241" s="491"/>
      <c r="BM241" s="491"/>
      <c r="BN241" s="491"/>
      <c r="BO241" s="491"/>
      <c r="BP241" s="622"/>
      <c r="BQ241" s="274"/>
    </row>
    <row r="242" spans="2:69">
      <c r="B242" s="96"/>
      <c r="C242" s="96"/>
      <c r="D242" s="184"/>
      <c r="E242" s="179"/>
      <c r="F242" s="87"/>
      <c r="G242" s="87"/>
      <c r="H242" s="185"/>
      <c r="I242" s="184"/>
      <c r="J242" s="184"/>
      <c r="K242" s="184"/>
      <c r="L242" s="296"/>
      <c r="N242" s="1053"/>
      <c r="O242" s="489"/>
      <c r="P242" s="489"/>
      <c r="T242" s="626"/>
      <c r="U242" s="489"/>
      <c r="V242" s="483"/>
      <c r="W242" s="627"/>
      <c r="X242" s="628"/>
      <c r="Y242" s="489"/>
      <c r="Z242" s="629"/>
      <c r="AA242" s="626"/>
      <c r="AB242" s="481"/>
      <c r="AC242" s="1388"/>
      <c r="AD242" s="482"/>
      <c r="AE242" s="482"/>
      <c r="AF242" s="482"/>
      <c r="AG242" s="482"/>
      <c r="AH242" s="482"/>
      <c r="AI242" s="482"/>
      <c r="AJ242" s="482"/>
      <c r="AK242" s="482"/>
      <c r="AL242" s="482"/>
      <c r="AM242" s="482"/>
      <c r="AN242" s="483"/>
      <c r="AO242" s="483"/>
      <c r="AP242" s="484"/>
      <c r="AQ242" s="484"/>
      <c r="AR242" s="629"/>
      <c r="AS242" s="629"/>
      <c r="AT242" s="629"/>
      <c r="AU242" s="629"/>
      <c r="AV242" s="629"/>
      <c r="AW242" s="630"/>
      <c r="AZ242" s="489"/>
      <c r="BA242" s="631"/>
      <c r="BB242" s="491"/>
      <c r="BC242" s="491"/>
      <c r="BD242" s="491"/>
      <c r="BE242" s="491"/>
      <c r="BF242" s="491"/>
      <c r="BG242" s="491"/>
      <c r="BH242" s="491"/>
      <c r="BI242" s="491"/>
      <c r="BJ242" s="491"/>
      <c r="BL242" s="491"/>
      <c r="BM242" s="491"/>
      <c r="BN242" s="491"/>
      <c r="BO242" s="491"/>
      <c r="BP242" s="622"/>
      <c r="BQ242" s="274"/>
    </row>
    <row r="243" spans="2:69">
      <c r="B243" s="96"/>
      <c r="C243" s="96"/>
      <c r="D243" s="184"/>
      <c r="E243" s="179"/>
      <c r="F243" s="87"/>
      <c r="G243" s="87"/>
      <c r="H243" s="185"/>
      <c r="I243" s="184"/>
      <c r="J243" s="184"/>
      <c r="K243" s="184"/>
      <c r="L243" s="296"/>
      <c r="N243" s="1053"/>
      <c r="O243" s="489"/>
      <c r="P243" s="489"/>
      <c r="T243" s="626"/>
      <c r="U243" s="489"/>
      <c r="V243" s="483"/>
      <c r="W243" s="627"/>
      <c r="X243" s="628"/>
      <c r="Y243" s="489"/>
      <c r="Z243" s="629"/>
      <c r="AA243" s="626"/>
      <c r="AB243" s="481"/>
      <c r="AC243" s="1388"/>
      <c r="AD243" s="482"/>
      <c r="AE243" s="482"/>
      <c r="AF243" s="482"/>
      <c r="AG243" s="482"/>
      <c r="AH243" s="482"/>
      <c r="AI243" s="482"/>
      <c r="AJ243" s="482"/>
      <c r="AK243" s="482"/>
      <c r="AL243" s="482"/>
      <c r="AM243" s="482"/>
      <c r="AN243" s="483"/>
      <c r="AO243" s="483"/>
      <c r="AP243" s="484"/>
      <c r="AQ243" s="484"/>
      <c r="AR243" s="629"/>
      <c r="AS243" s="629"/>
      <c r="AT243" s="629"/>
      <c r="AU243" s="629"/>
      <c r="AV243" s="629"/>
      <c r="AW243" s="630"/>
      <c r="AZ243" s="489"/>
      <c r="BA243" s="631"/>
      <c r="BB243" s="491"/>
      <c r="BC243" s="491"/>
      <c r="BD243" s="491"/>
      <c r="BE243" s="491"/>
      <c r="BF243" s="491"/>
      <c r="BG243" s="491"/>
      <c r="BH243" s="491"/>
      <c r="BI243" s="491"/>
      <c r="BJ243" s="491"/>
      <c r="BL243" s="491"/>
      <c r="BM243" s="491"/>
      <c r="BN243" s="491"/>
      <c r="BO243" s="491"/>
      <c r="BP243" s="622"/>
      <c r="BQ243" s="274"/>
    </row>
    <row r="244" spans="2:69">
      <c r="B244" s="96"/>
      <c r="C244" s="96"/>
      <c r="D244" s="184"/>
      <c r="E244" s="179"/>
      <c r="F244" s="87"/>
      <c r="G244" s="87"/>
      <c r="H244" s="185"/>
      <c r="I244" s="184"/>
      <c r="J244" s="184"/>
      <c r="K244" s="184"/>
      <c r="L244" s="296"/>
      <c r="N244" s="1053"/>
      <c r="O244" s="489"/>
      <c r="P244" s="489"/>
      <c r="T244" s="626"/>
      <c r="U244" s="489"/>
      <c r="V244" s="483"/>
      <c r="W244" s="627"/>
      <c r="X244" s="628"/>
      <c r="Y244" s="489"/>
      <c r="Z244" s="629"/>
      <c r="AA244" s="626"/>
      <c r="AB244" s="481"/>
      <c r="AC244" s="1388"/>
      <c r="AD244" s="482"/>
      <c r="AE244" s="482"/>
      <c r="AF244" s="482"/>
      <c r="AG244" s="482"/>
      <c r="AH244" s="482"/>
      <c r="AI244" s="482"/>
      <c r="AJ244" s="482"/>
      <c r="AK244" s="482"/>
      <c r="AL244" s="482"/>
      <c r="AM244" s="482"/>
      <c r="AN244" s="483"/>
      <c r="AO244" s="483"/>
      <c r="AP244" s="484"/>
      <c r="AQ244" s="484"/>
      <c r="AR244" s="629"/>
      <c r="AS244" s="629"/>
      <c r="AT244" s="629"/>
      <c r="AU244" s="629"/>
      <c r="AV244" s="629"/>
      <c r="AW244" s="630"/>
      <c r="AZ244" s="489"/>
      <c r="BA244" s="631"/>
      <c r="BB244" s="491"/>
      <c r="BC244" s="491"/>
      <c r="BD244" s="491"/>
      <c r="BE244" s="491"/>
      <c r="BF244" s="491"/>
      <c r="BG244" s="491"/>
      <c r="BH244" s="491"/>
      <c r="BI244" s="491"/>
      <c r="BJ244" s="491"/>
      <c r="BL244" s="491"/>
      <c r="BM244" s="491"/>
      <c r="BN244" s="491"/>
      <c r="BO244" s="491"/>
      <c r="BP244" s="622"/>
      <c r="BQ244" s="274"/>
    </row>
    <row r="245" spans="2:69">
      <c r="B245" s="96"/>
      <c r="C245" s="96"/>
      <c r="D245" s="184"/>
      <c r="E245" s="179"/>
      <c r="F245" s="87"/>
      <c r="G245" s="87"/>
      <c r="H245" s="185"/>
      <c r="I245" s="184"/>
      <c r="J245" s="184"/>
      <c r="K245" s="184"/>
      <c r="L245" s="296"/>
      <c r="N245" s="1053"/>
      <c r="O245" s="489"/>
      <c r="P245" s="489"/>
      <c r="T245" s="626"/>
      <c r="U245" s="489"/>
      <c r="V245" s="483"/>
      <c r="W245" s="627"/>
      <c r="X245" s="628"/>
      <c r="Y245" s="489"/>
      <c r="Z245" s="629"/>
      <c r="AA245" s="626"/>
      <c r="AB245" s="481"/>
      <c r="AC245" s="1388"/>
      <c r="AD245" s="482"/>
      <c r="AE245" s="482"/>
      <c r="AF245" s="482"/>
      <c r="AG245" s="482"/>
      <c r="AH245" s="482"/>
      <c r="AI245" s="482"/>
      <c r="AJ245" s="482"/>
      <c r="AK245" s="482"/>
      <c r="AL245" s="482"/>
      <c r="AM245" s="482"/>
      <c r="AN245" s="483"/>
      <c r="AO245" s="483"/>
      <c r="AP245" s="484"/>
      <c r="AQ245" s="484"/>
      <c r="AR245" s="629"/>
      <c r="AS245" s="629"/>
      <c r="AT245" s="629"/>
      <c r="AU245" s="629"/>
      <c r="AV245" s="629"/>
      <c r="AW245" s="630"/>
      <c r="AZ245" s="489"/>
      <c r="BA245" s="631"/>
      <c r="BB245" s="491"/>
      <c r="BC245" s="491"/>
      <c r="BD245" s="491"/>
      <c r="BE245" s="491"/>
      <c r="BF245" s="491"/>
      <c r="BG245" s="491"/>
      <c r="BH245" s="491"/>
      <c r="BI245" s="491"/>
      <c r="BJ245" s="491"/>
      <c r="BL245" s="491"/>
      <c r="BM245" s="491"/>
      <c r="BN245" s="491"/>
      <c r="BO245" s="491"/>
      <c r="BP245" s="622"/>
      <c r="BQ245" s="274"/>
    </row>
    <row r="246" spans="2:69">
      <c r="B246" s="96"/>
      <c r="C246" s="96"/>
      <c r="D246" s="184"/>
      <c r="E246" s="179"/>
      <c r="F246" s="87"/>
      <c r="G246" s="87"/>
      <c r="H246" s="185"/>
      <c r="I246" s="184"/>
      <c r="J246" s="184"/>
      <c r="K246" s="184"/>
      <c r="L246" s="296"/>
      <c r="N246" s="1053"/>
      <c r="O246" s="489"/>
      <c r="P246" s="489"/>
      <c r="T246" s="626"/>
      <c r="U246" s="489"/>
      <c r="V246" s="483"/>
      <c r="W246" s="627"/>
      <c r="X246" s="628"/>
      <c r="Y246" s="489"/>
      <c r="Z246" s="629"/>
      <c r="AA246" s="626"/>
      <c r="AB246" s="481"/>
      <c r="AC246" s="1388"/>
      <c r="AD246" s="482"/>
      <c r="AE246" s="482"/>
      <c r="AF246" s="482"/>
      <c r="AG246" s="482"/>
      <c r="AH246" s="482"/>
      <c r="AI246" s="482"/>
      <c r="AJ246" s="482"/>
      <c r="AK246" s="482"/>
      <c r="AL246" s="482"/>
      <c r="AM246" s="482"/>
      <c r="AN246" s="483"/>
      <c r="AO246" s="483"/>
      <c r="AP246" s="484"/>
      <c r="AQ246" s="484"/>
      <c r="AR246" s="629"/>
      <c r="AS246" s="629"/>
      <c r="AT246" s="629"/>
      <c r="AU246" s="629"/>
      <c r="AV246" s="629"/>
      <c r="AW246" s="630"/>
      <c r="AZ246" s="489"/>
      <c r="BA246" s="631"/>
      <c r="BB246" s="491"/>
      <c r="BC246" s="491"/>
      <c r="BD246" s="491"/>
      <c r="BE246" s="491"/>
      <c r="BF246" s="491"/>
      <c r="BG246" s="491"/>
      <c r="BH246" s="491"/>
      <c r="BI246" s="491"/>
      <c r="BJ246" s="491"/>
      <c r="BL246" s="491"/>
      <c r="BM246" s="491"/>
      <c r="BN246" s="491"/>
      <c r="BO246" s="491"/>
      <c r="BP246" s="622"/>
      <c r="BQ246" s="274"/>
    </row>
    <row r="247" spans="2:69">
      <c r="B247" s="96"/>
      <c r="C247" s="96"/>
      <c r="D247" s="184"/>
      <c r="E247" s="179"/>
      <c r="F247" s="87"/>
      <c r="G247" s="87"/>
      <c r="H247" s="185"/>
      <c r="I247" s="184"/>
      <c r="J247" s="184"/>
      <c r="K247" s="184"/>
      <c r="L247" s="296"/>
      <c r="N247" s="1053"/>
      <c r="O247" s="489"/>
      <c r="P247" s="489"/>
      <c r="T247" s="626"/>
      <c r="U247" s="489"/>
      <c r="V247" s="483"/>
      <c r="W247" s="627"/>
      <c r="X247" s="628"/>
      <c r="Y247" s="489"/>
      <c r="Z247" s="629"/>
      <c r="AA247" s="626"/>
      <c r="AB247" s="481"/>
      <c r="AC247" s="1388"/>
      <c r="AD247" s="482"/>
      <c r="AE247" s="482"/>
      <c r="AF247" s="482"/>
      <c r="AG247" s="482"/>
      <c r="AH247" s="482"/>
      <c r="AI247" s="482"/>
      <c r="AJ247" s="482"/>
      <c r="AK247" s="482"/>
      <c r="AL247" s="482"/>
      <c r="AM247" s="482"/>
      <c r="AN247" s="483"/>
      <c r="AO247" s="483"/>
      <c r="AP247" s="484"/>
      <c r="AQ247" s="484"/>
      <c r="AR247" s="629"/>
      <c r="AS247" s="629"/>
      <c r="AT247" s="629"/>
      <c r="AU247" s="629"/>
      <c r="AV247" s="629"/>
      <c r="AW247" s="630"/>
      <c r="AZ247" s="489"/>
      <c r="BA247" s="631"/>
      <c r="BB247" s="491"/>
      <c r="BC247" s="491"/>
      <c r="BD247" s="491"/>
      <c r="BE247" s="491"/>
      <c r="BF247" s="491"/>
      <c r="BG247" s="491"/>
      <c r="BH247" s="491"/>
      <c r="BI247" s="491"/>
      <c r="BJ247" s="491"/>
      <c r="BL247" s="491"/>
      <c r="BM247" s="491"/>
      <c r="BN247" s="491"/>
      <c r="BO247" s="491"/>
      <c r="BP247" s="622"/>
      <c r="BQ247" s="274"/>
    </row>
    <row r="248" spans="2:69">
      <c r="B248" s="96"/>
      <c r="C248" s="96"/>
      <c r="D248" s="184"/>
      <c r="E248" s="179"/>
      <c r="F248" s="87"/>
      <c r="G248" s="87"/>
      <c r="H248" s="185"/>
      <c r="I248" s="184"/>
      <c r="J248" s="184"/>
      <c r="K248" s="184"/>
      <c r="L248" s="296"/>
      <c r="N248" s="1053"/>
      <c r="O248" s="489"/>
      <c r="P248" s="489"/>
      <c r="T248" s="626"/>
      <c r="U248" s="489"/>
      <c r="V248" s="483"/>
      <c r="W248" s="627"/>
      <c r="X248" s="628"/>
      <c r="Y248" s="489"/>
      <c r="Z248" s="629"/>
      <c r="AA248" s="626"/>
      <c r="AB248" s="481"/>
      <c r="AC248" s="1388"/>
      <c r="AD248" s="482"/>
      <c r="AE248" s="482"/>
      <c r="AF248" s="482"/>
      <c r="AG248" s="482"/>
      <c r="AH248" s="482"/>
      <c r="AI248" s="482"/>
      <c r="AJ248" s="482"/>
      <c r="AK248" s="482"/>
      <c r="AL248" s="482"/>
      <c r="AM248" s="482"/>
      <c r="AN248" s="483"/>
      <c r="AO248" s="483"/>
      <c r="AP248" s="484"/>
      <c r="AQ248" s="484"/>
      <c r="AR248" s="629"/>
      <c r="AS248" s="629"/>
      <c r="AT248" s="629"/>
      <c r="AU248" s="629"/>
      <c r="AV248" s="629"/>
      <c r="AW248" s="630"/>
      <c r="AZ248" s="489"/>
      <c r="BA248" s="631"/>
      <c r="BB248" s="491"/>
      <c r="BC248" s="491"/>
      <c r="BD248" s="491"/>
      <c r="BE248" s="491"/>
      <c r="BF248" s="491"/>
      <c r="BG248" s="491"/>
      <c r="BH248" s="491"/>
      <c r="BI248" s="491"/>
      <c r="BJ248" s="491"/>
      <c r="BL248" s="491"/>
      <c r="BM248" s="491"/>
      <c r="BN248" s="491"/>
      <c r="BO248" s="491"/>
      <c r="BP248" s="622"/>
      <c r="BQ248" s="274"/>
    </row>
    <row r="249" spans="2:69">
      <c r="B249" s="96"/>
      <c r="C249" s="96"/>
      <c r="D249" s="184"/>
      <c r="E249" s="179"/>
      <c r="F249" s="87"/>
      <c r="G249" s="87"/>
      <c r="H249" s="185"/>
      <c r="I249" s="184"/>
      <c r="J249" s="184"/>
      <c r="K249" s="184"/>
      <c r="L249" s="296"/>
      <c r="N249" s="1053"/>
      <c r="O249" s="489"/>
      <c r="P249" s="489"/>
      <c r="T249" s="626"/>
      <c r="U249" s="489"/>
      <c r="V249" s="483"/>
      <c r="W249" s="627"/>
      <c r="X249" s="628"/>
      <c r="Y249" s="489"/>
      <c r="Z249" s="629"/>
      <c r="AA249" s="626"/>
      <c r="AB249" s="481"/>
      <c r="AC249" s="1388"/>
      <c r="AD249" s="482"/>
      <c r="AE249" s="482"/>
      <c r="AF249" s="482"/>
      <c r="AG249" s="482"/>
      <c r="AH249" s="482"/>
      <c r="AI249" s="482"/>
      <c r="AJ249" s="482"/>
      <c r="AK249" s="482"/>
      <c r="AL249" s="482"/>
      <c r="AM249" s="482"/>
      <c r="AN249" s="483"/>
      <c r="AO249" s="483"/>
      <c r="AP249" s="484"/>
      <c r="AQ249" s="484"/>
      <c r="AR249" s="629"/>
      <c r="AS249" s="629"/>
      <c r="AT249" s="629"/>
      <c r="AU249" s="629"/>
      <c r="AV249" s="629"/>
      <c r="AW249" s="630"/>
      <c r="AZ249" s="489"/>
      <c r="BA249" s="631"/>
      <c r="BB249" s="491"/>
      <c r="BC249" s="491"/>
      <c r="BD249" s="491"/>
      <c r="BE249" s="491"/>
      <c r="BF249" s="491"/>
      <c r="BG249" s="491"/>
      <c r="BH249" s="491"/>
      <c r="BI249" s="491"/>
      <c r="BJ249" s="491"/>
      <c r="BL249" s="491"/>
      <c r="BM249" s="491"/>
      <c r="BN249" s="491"/>
      <c r="BO249" s="491"/>
      <c r="BP249" s="622"/>
      <c r="BQ249" s="274"/>
    </row>
    <row r="250" spans="2:69">
      <c r="B250" s="96"/>
      <c r="C250" s="96"/>
      <c r="D250" s="184"/>
      <c r="E250" s="179"/>
      <c r="F250" s="87"/>
      <c r="G250" s="87"/>
      <c r="H250" s="185"/>
      <c r="I250" s="184"/>
      <c r="J250" s="184"/>
      <c r="K250" s="184"/>
      <c r="L250" s="296"/>
      <c r="N250" s="1053"/>
      <c r="O250" s="489"/>
      <c r="P250" s="489"/>
      <c r="T250" s="626"/>
      <c r="U250" s="489"/>
      <c r="V250" s="483"/>
      <c r="W250" s="627"/>
      <c r="X250" s="628"/>
      <c r="Y250" s="489"/>
      <c r="Z250" s="629"/>
      <c r="AA250" s="626"/>
      <c r="AB250" s="481"/>
      <c r="AC250" s="1388"/>
      <c r="AD250" s="482"/>
      <c r="AE250" s="482"/>
      <c r="AF250" s="482"/>
      <c r="AG250" s="482"/>
      <c r="AH250" s="482"/>
      <c r="AI250" s="482"/>
      <c r="AJ250" s="482"/>
      <c r="AK250" s="482"/>
      <c r="AL250" s="482"/>
      <c r="AM250" s="482"/>
      <c r="AN250" s="483"/>
      <c r="AO250" s="483"/>
      <c r="AP250" s="484"/>
      <c r="AQ250" s="484"/>
      <c r="AR250" s="629"/>
      <c r="AS250" s="629"/>
      <c r="AT250" s="629"/>
      <c r="AU250" s="629"/>
      <c r="AV250" s="629"/>
      <c r="AW250" s="630"/>
      <c r="AZ250" s="489"/>
      <c r="BA250" s="631"/>
      <c r="BB250" s="491"/>
      <c r="BC250" s="491"/>
      <c r="BD250" s="491"/>
      <c r="BE250" s="491"/>
      <c r="BF250" s="491"/>
      <c r="BG250" s="491"/>
      <c r="BH250" s="491"/>
      <c r="BI250" s="491"/>
      <c r="BJ250" s="491"/>
      <c r="BL250" s="491"/>
      <c r="BM250" s="491"/>
      <c r="BN250" s="491"/>
      <c r="BO250" s="491"/>
      <c r="BP250" s="622"/>
      <c r="BQ250" s="274"/>
    </row>
    <row r="251" spans="2:69">
      <c r="B251" s="96"/>
      <c r="C251" s="96"/>
      <c r="D251" s="184"/>
      <c r="E251" s="179"/>
      <c r="F251" s="87"/>
      <c r="G251" s="87"/>
      <c r="H251" s="185"/>
      <c r="I251" s="184"/>
      <c r="J251" s="184"/>
      <c r="K251" s="184"/>
      <c r="L251" s="296"/>
      <c r="N251" s="1053"/>
      <c r="O251" s="489"/>
      <c r="P251" s="489"/>
      <c r="T251" s="626"/>
      <c r="U251" s="489"/>
      <c r="V251" s="483"/>
      <c r="W251" s="627"/>
      <c r="X251" s="628"/>
      <c r="Y251" s="489"/>
      <c r="Z251" s="629"/>
      <c r="AA251" s="626"/>
      <c r="AB251" s="481"/>
      <c r="AC251" s="1388"/>
      <c r="AD251" s="482"/>
      <c r="AE251" s="482"/>
      <c r="AF251" s="482"/>
      <c r="AG251" s="482"/>
      <c r="AH251" s="482"/>
      <c r="AI251" s="482"/>
      <c r="AJ251" s="482"/>
      <c r="AK251" s="482"/>
      <c r="AL251" s="482"/>
      <c r="AM251" s="482"/>
      <c r="AN251" s="483"/>
      <c r="AO251" s="483"/>
      <c r="AP251" s="484"/>
      <c r="AQ251" s="484"/>
      <c r="AR251" s="629"/>
      <c r="AS251" s="629"/>
      <c r="AT251" s="629"/>
      <c r="AU251" s="629"/>
      <c r="AV251" s="629"/>
      <c r="AW251" s="630"/>
      <c r="AZ251" s="489"/>
      <c r="BA251" s="631"/>
      <c r="BB251" s="491"/>
      <c r="BC251" s="491"/>
      <c r="BD251" s="491"/>
      <c r="BE251" s="491"/>
      <c r="BF251" s="491"/>
      <c r="BG251" s="491"/>
      <c r="BH251" s="491"/>
      <c r="BI251" s="491"/>
      <c r="BJ251" s="491"/>
      <c r="BL251" s="491"/>
      <c r="BM251" s="491"/>
      <c r="BN251" s="491"/>
      <c r="BO251" s="491"/>
      <c r="BP251" s="622"/>
      <c r="BQ251" s="274"/>
    </row>
    <row r="252" spans="2:69">
      <c r="B252" s="96"/>
      <c r="C252" s="96"/>
      <c r="D252" s="184"/>
      <c r="E252" s="179"/>
      <c r="F252" s="87"/>
      <c r="G252" s="87"/>
      <c r="H252" s="185"/>
      <c r="I252" s="184"/>
      <c r="J252" s="184"/>
      <c r="K252" s="184"/>
      <c r="L252" s="296"/>
      <c r="N252" s="1053"/>
      <c r="O252" s="489"/>
      <c r="P252" s="489"/>
      <c r="T252" s="626"/>
      <c r="U252" s="489"/>
      <c r="V252" s="483"/>
      <c r="W252" s="627"/>
      <c r="X252" s="628"/>
      <c r="Y252" s="489"/>
      <c r="Z252" s="629"/>
      <c r="AA252" s="626"/>
      <c r="AB252" s="481"/>
      <c r="AC252" s="1388"/>
      <c r="AD252" s="482"/>
      <c r="AE252" s="482"/>
      <c r="AF252" s="482"/>
      <c r="AG252" s="482"/>
      <c r="AH252" s="482"/>
      <c r="AI252" s="482"/>
      <c r="AJ252" s="482"/>
      <c r="AK252" s="482"/>
      <c r="AL252" s="482"/>
      <c r="AM252" s="482"/>
      <c r="AN252" s="483"/>
      <c r="AO252" s="483"/>
      <c r="AP252" s="484"/>
      <c r="AQ252" s="484"/>
      <c r="AR252" s="629"/>
      <c r="AS252" s="629"/>
      <c r="AT252" s="629"/>
      <c r="AU252" s="629"/>
      <c r="AV252" s="629"/>
      <c r="AW252" s="630"/>
      <c r="AZ252" s="489"/>
      <c r="BA252" s="631"/>
      <c r="BB252" s="491"/>
      <c r="BC252" s="491"/>
      <c r="BD252" s="491"/>
      <c r="BE252" s="491"/>
      <c r="BF252" s="491"/>
      <c r="BG252" s="491"/>
      <c r="BH252" s="491"/>
      <c r="BI252" s="491"/>
      <c r="BJ252" s="491"/>
      <c r="BL252" s="491"/>
      <c r="BM252" s="491"/>
      <c r="BN252" s="491"/>
      <c r="BO252" s="491"/>
      <c r="BP252" s="622"/>
      <c r="BQ252" s="274"/>
    </row>
    <row r="253" spans="2:69">
      <c r="B253" s="96"/>
      <c r="C253" s="96"/>
      <c r="D253" s="184"/>
      <c r="E253" s="179"/>
      <c r="F253" s="87"/>
      <c r="G253" s="87"/>
      <c r="H253" s="185"/>
      <c r="I253" s="184"/>
      <c r="J253" s="184"/>
      <c r="K253" s="184"/>
      <c r="L253" s="296"/>
      <c r="N253" s="1053"/>
      <c r="O253" s="489"/>
      <c r="P253" s="489"/>
      <c r="T253" s="626"/>
      <c r="U253" s="489"/>
      <c r="V253" s="483"/>
      <c r="W253" s="627"/>
      <c r="X253" s="628"/>
      <c r="Y253" s="489"/>
      <c r="Z253" s="629"/>
      <c r="AA253" s="626"/>
      <c r="AB253" s="481"/>
      <c r="AC253" s="1388"/>
      <c r="AD253" s="482"/>
      <c r="AE253" s="482"/>
      <c r="AF253" s="482"/>
      <c r="AG253" s="482"/>
      <c r="AH253" s="482"/>
      <c r="AI253" s="482"/>
      <c r="AJ253" s="482"/>
      <c r="AK253" s="482"/>
      <c r="AL253" s="482"/>
      <c r="AM253" s="482"/>
      <c r="AN253" s="483"/>
      <c r="AO253" s="483"/>
      <c r="AP253" s="484"/>
      <c r="AQ253" s="484"/>
      <c r="AR253" s="629"/>
      <c r="AS253" s="629"/>
      <c r="AT253" s="629"/>
      <c r="AU253" s="629"/>
      <c r="AV253" s="629"/>
      <c r="AW253" s="630"/>
      <c r="AZ253" s="489"/>
      <c r="BA253" s="631"/>
      <c r="BB253" s="491"/>
      <c r="BC253" s="491"/>
      <c r="BD253" s="491"/>
      <c r="BE253" s="491"/>
      <c r="BF253" s="491"/>
      <c r="BG253" s="491"/>
      <c r="BH253" s="491"/>
      <c r="BI253" s="491"/>
      <c r="BJ253" s="491"/>
      <c r="BL253" s="491"/>
      <c r="BM253" s="491"/>
      <c r="BN253" s="491"/>
      <c r="BO253" s="491"/>
      <c r="BP253" s="622"/>
      <c r="BQ253" s="274"/>
    </row>
    <row r="254" spans="2:69">
      <c r="B254" s="96"/>
      <c r="C254" s="96"/>
      <c r="D254" s="184"/>
      <c r="E254" s="179"/>
      <c r="F254" s="87"/>
      <c r="G254" s="87"/>
      <c r="H254" s="185"/>
      <c r="I254" s="184"/>
      <c r="J254" s="184"/>
      <c r="K254" s="184"/>
      <c r="L254" s="296"/>
      <c r="N254" s="1053"/>
      <c r="O254" s="489"/>
      <c r="P254" s="489"/>
      <c r="T254" s="626"/>
      <c r="U254" s="489"/>
      <c r="V254" s="483"/>
      <c r="W254" s="627"/>
      <c r="X254" s="628"/>
      <c r="Y254" s="489"/>
      <c r="Z254" s="629"/>
      <c r="AA254" s="626"/>
      <c r="AB254" s="481"/>
      <c r="AC254" s="1388"/>
      <c r="AD254" s="482"/>
      <c r="AE254" s="482"/>
      <c r="AF254" s="482"/>
      <c r="AG254" s="482"/>
      <c r="AH254" s="482"/>
      <c r="AI254" s="482"/>
      <c r="AJ254" s="482"/>
      <c r="AK254" s="482"/>
      <c r="AL254" s="482"/>
      <c r="AM254" s="482"/>
      <c r="AN254" s="483"/>
      <c r="AO254" s="483"/>
      <c r="AP254" s="484"/>
      <c r="AQ254" s="484"/>
      <c r="AR254" s="629"/>
      <c r="AS254" s="629"/>
      <c r="AT254" s="629"/>
      <c r="AU254" s="629"/>
      <c r="AV254" s="629"/>
      <c r="AW254" s="630"/>
      <c r="AZ254" s="489"/>
      <c r="BA254" s="631"/>
      <c r="BB254" s="491"/>
      <c r="BC254" s="491"/>
      <c r="BD254" s="491"/>
      <c r="BE254" s="491"/>
      <c r="BF254" s="491"/>
      <c r="BG254" s="491"/>
      <c r="BH254" s="491"/>
      <c r="BI254" s="491"/>
      <c r="BJ254" s="491"/>
      <c r="BL254" s="491"/>
      <c r="BM254" s="491"/>
      <c r="BN254" s="491"/>
      <c r="BO254" s="491"/>
      <c r="BP254" s="622"/>
      <c r="BQ254" s="274"/>
    </row>
    <row r="255" spans="2:69">
      <c r="B255" s="96"/>
      <c r="C255" s="96"/>
      <c r="D255" s="184"/>
      <c r="E255" s="179"/>
      <c r="F255" s="87"/>
      <c r="G255" s="87"/>
      <c r="H255" s="185"/>
      <c r="I255" s="184"/>
      <c r="J255" s="184"/>
      <c r="K255" s="184"/>
      <c r="L255" s="296"/>
      <c r="N255" s="1053"/>
      <c r="O255" s="489"/>
      <c r="P255" s="489"/>
      <c r="T255" s="626"/>
      <c r="U255" s="489"/>
      <c r="V255" s="483"/>
      <c r="W255" s="627"/>
      <c r="X255" s="628"/>
      <c r="Y255" s="489"/>
      <c r="Z255" s="629"/>
      <c r="AA255" s="626"/>
      <c r="AB255" s="481"/>
      <c r="AC255" s="1388"/>
      <c r="AD255" s="482"/>
      <c r="AE255" s="482"/>
      <c r="AF255" s="482"/>
      <c r="AG255" s="482"/>
      <c r="AH255" s="482"/>
      <c r="AI255" s="482"/>
      <c r="AJ255" s="482"/>
      <c r="AK255" s="482"/>
      <c r="AL255" s="482"/>
      <c r="AM255" s="482"/>
      <c r="AN255" s="483"/>
      <c r="AO255" s="483"/>
      <c r="AP255" s="484"/>
      <c r="AQ255" s="484"/>
      <c r="AR255" s="629"/>
      <c r="AS255" s="629"/>
      <c r="AT255" s="629"/>
      <c r="AU255" s="629"/>
      <c r="AV255" s="629"/>
      <c r="AW255" s="630"/>
      <c r="AZ255" s="489"/>
      <c r="BA255" s="631"/>
      <c r="BB255" s="491"/>
      <c r="BC255" s="491"/>
      <c r="BD255" s="491"/>
      <c r="BE255" s="491"/>
      <c r="BF255" s="491"/>
      <c r="BG255" s="491"/>
      <c r="BH255" s="491"/>
      <c r="BI255" s="491"/>
      <c r="BJ255" s="491"/>
      <c r="BL255" s="491"/>
      <c r="BM255" s="491"/>
      <c r="BN255" s="491"/>
      <c r="BO255" s="491"/>
      <c r="BP255" s="622"/>
      <c r="BQ255" s="274"/>
    </row>
    <row r="256" spans="2:69">
      <c r="B256" s="96"/>
      <c r="C256" s="96"/>
      <c r="D256" s="184"/>
      <c r="E256" s="179"/>
      <c r="F256" s="87"/>
      <c r="G256" s="87"/>
      <c r="H256" s="185"/>
      <c r="I256" s="184"/>
      <c r="J256" s="184"/>
      <c r="K256" s="184"/>
      <c r="L256" s="296"/>
      <c r="N256" s="1053"/>
      <c r="O256" s="489"/>
      <c r="P256" s="489"/>
      <c r="T256" s="626"/>
      <c r="U256" s="489"/>
      <c r="V256" s="483"/>
      <c r="W256" s="627"/>
      <c r="X256" s="628"/>
      <c r="Y256" s="489"/>
      <c r="Z256" s="629"/>
      <c r="AA256" s="626"/>
      <c r="AB256" s="481"/>
      <c r="AC256" s="1388"/>
      <c r="AD256" s="482"/>
      <c r="AE256" s="482"/>
      <c r="AF256" s="482"/>
      <c r="AG256" s="482"/>
      <c r="AH256" s="482"/>
      <c r="AI256" s="482"/>
      <c r="AJ256" s="482"/>
      <c r="AK256" s="482"/>
      <c r="AL256" s="482"/>
      <c r="AM256" s="482"/>
      <c r="AN256" s="483"/>
      <c r="AO256" s="483"/>
      <c r="AP256" s="484"/>
      <c r="AQ256" s="484"/>
      <c r="AR256" s="629"/>
      <c r="AS256" s="629"/>
      <c r="AT256" s="629"/>
      <c r="AU256" s="629"/>
      <c r="AV256" s="629"/>
      <c r="AW256" s="630"/>
      <c r="AZ256" s="489"/>
      <c r="BA256" s="631"/>
      <c r="BB256" s="491"/>
      <c r="BC256" s="491"/>
      <c r="BD256" s="491"/>
      <c r="BE256" s="491"/>
      <c r="BF256" s="491"/>
      <c r="BG256" s="491"/>
      <c r="BH256" s="491"/>
      <c r="BI256" s="491"/>
      <c r="BJ256" s="491"/>
      <c r="BL256" s="491"/>
      <c r="BM256" s="491"/>
      <c r="BN256" s="491"/>
      <c r="BO256" s="491"/>
      <c r="BP256" s="622"/>
      <c r="BQ256" s="274"/>
    </row>
    <row r="257" spans="2:69">
      <c r="B257" s="96"/>
      <c r="C257" s="96"/>
      <c r="D257" s="184"/>
      <c r="E257" s="179"/>
      <c r="F257" s="87"/>
      <c r="G257" s="87"/>
      <c r="H257" s="185"/>
      <c r="I257" s="184"/>
      <c r="J257" s="184"/>
      <c r="K257" s="184"/>
      <c r="L257" s="296"/>
      <c r="N257" s="1053"/>
      <c r="O257" s="489"/>
      <c r="P257" s="489"/>
      <c r="T257" s="626"/>
      <c r="U257" s="489"/>
      <c r="V257" s="483"/>
      <c r="W257" s="627"/>
      <c r="X257" s="628"/>
      <c r="Y257" s="489"/>
      <c r="Z257" s="629"/>
      <c r="AA257" s="626"/>
      <c r="AB257" s="481"/>
      <c r="AC257" s="1388"/>
      <c r="AD257" s="482"/>
      <c r="AE257" s="482"/>
      <c r="AF257" s="482"/>
      <c r="AG257" s="482"/>
      <c r="AH257" s="482"/>
      <c r="AI257" s="482"/>
      <c r="AJ257" s="482"/>
      <c r="AK257" s="482"/>
      <c r="AL257" s="482"/>
      <c r="AM257" s="482"/>
      <c r="AN257" s="483"/>
      <c r="AO257" s="483"/>
      <c r="AP257" s="484"/>
      <c r="AQ257" s="484"/>
      <c r="AR257" s="629"/>
      <c r="AS257" s="629"/>
      <c r="AT257" s="629"/>
      <c r="AU257" s="629"/>
      <c r="AV257" s="629"/>
      <c r="AW257" s="630"/>
      <c r="AZ257" s="489"/>
      <c r="BA257" s="631"/>
      <c r="BB257" s="491"/>
      <c r="BC257" s="491"/>
      <c r="BD257" s="491"/>
      <c r="BE257" s="491"/>
      <c r="BF257" s="491"/>
      <c r="BG257" s="491"/>
      <c r="BH257" s="491"/>
      <c r="BI257" s="491"/>
      <c r="BJ257" s="491"/>
      <c r="BL257" s="491"/>
      <c r="BM257" s="491"/>
      <c r="BN257" s="491"/>
      <c r="BO257" s="491"/>
      <c r="BP257" s="622"/>
      <c r="BQ257" s="274"/>
    </row>
    <row r="258" spans="2:69">
      <c r="B258" s="96"/>
      <c r="C258" s="96"/>
      <c r="D258" s="184"/>
      <c r="E258" s="179"/>
      <c r="F258" s="87"/>
      <c r="G258" s="87"/>
      <c r="H258" s="185"/>
      <c r="I258" s="184"/>
      <c r="J258" s="184"/>
      <c r="K258" s="184"/>
      <c r="L258" s="296"/>
      <c r="N258" s="1053"/>
      <c r="O258" s="489"/>
      <c r="P258" s="489"/>
      <c r="T258" s="626"/>
      <c r="U258" s="489"/>
      <c r="V258" s="483"/>
      <c r="W258" s="627"/>
      <c r="X258" s="628"/>
      <c r="Y258" s="489"/>
      <c r="Z258" s="629"/>
      <c r="AA258" s="626"/>
      <c r="AB258" s="481"/>
      <c r="AC258" s="1388"/>
      <c r="AD258" s="482"/>
      <c r="AE258" s="482"/>
      <c r="AF258" s="482"/>
      <c r="AG258" s="482"/>
      <c r="AH258" s="482"/>
      <c r="AI258" s="482"/>
      <c r="AJ258" s="482"/>
      <c r="AK258" s="482"/>
      <c r="AL258" s="482"/>
      <c r="AM258" s="482"/>
      <c r="AN258" s="483"/>
      <c r="AO258" s="483"/>
      <c r="AP258" s="484"/>
      <c r="AQ258" s="484"/>
      <c r="AR258" s="629"/>
      <c r="AS258" s="629"/>
      <c r="AT258" s="629"/>
      <c r="AU258" s="629"/>
      <c r="AV258" s="629"/>
      <c r="AW258" s="630"/>
      <c r="AZ258" s="489"/>
      <c r="BA258" s="631"/>
      <c r="BB258" s="491"/>
      <c r="BC258" s="491"/>
      <c r="BD258" s="491"/>
      <c r="BE258" s="491"/>
      <c r="BF258" s="491"/>
      <c r="BG258" s="491"/>
      <c r="BH258" s="491"/>
      <c r="BI258" s="491"/>
      <c r="BJ258" s="491"/>
      <c r="BL258" s="491"/>
      <c r="BM258" s="491"/>
      <c r="BN258" s="491"/>
      <c r="BO258" s="491"/>
      <c r="BP258" s="622"/>
      <c r="BQ258" s="274"/>
    </row>
    <row r="259" spans="2:69">
      <c r="B259" s="96"/>
      <c r="C259" s="96"/>
      <c r="D259" s="184"/>
      <c r="E259" s="179"/>
      <c r="F259" s="87"/>
      <c r="G259" s="87"/>
      <c r="H259" s="185"/>
      <c r="I259" s="184"/>
      <c r="J259" s="184"/>
      <c r="K259" s="184"/>
      <c r="L259" s="296"/>
      <c r="N259" s="1053"/>
      <c r="O259" s="489"/>
      <c r="P259" s="489"/>
      <c r="T259" s="626"/>
      <c r="U259" s="489"/>
      <c r="V259" s="483"/>
      <c r="W259" s="627"/>
      <c r="X259" s="628"/>
      <c r="Y259" s="489"/>
      <c r="Z259" s="629"/>
      <c r="AA259" s="626"/>
      <c r="AB259" s="481"/>
      <c r="AC259" s="1388"/>
      <c r="AD259" s="482"/>
      <c r="AE259" s="482"/>
      <c r="AF259" s="482"/>
      <c r="AG259" s="482"/>
      <c r="AH259" s="482"/>
      <c r="AI259" s="482"/>
      <c r="AJ259" s="482"/>
      <c r="AK259" s="482"/>
      <c r="AL259" s="482"/>
      <c r="AM259" s="482"/>
      <c r="AN259" s="483"/>
      <c r="AO259" s="483"/>
      <c r="AP259" s="484"/>
      <c r="AQ259" s="484"/>
      <c r="AR259" s="629"/>
      <c r="AS259" s="629"/>
      <c r="AT259" s="629"/>
      <c r="AU259" s="629"/>
      <c r="AV259" s="629"/>
      <c r="AW259" s="630"/>
      <c r="AZ259" s="489"/>
      <c r="BA259" s="631"/>
      <c r="BB259" s="491"/>
      <c r="BC259" s="491"/>
      <c r="BD259" s="491"/>
      <c r="BE259" s="491"/>
      <c r="BF259" s="491"/>
      <c r="BG259" s="491"/>
      <c r="BH259" s="491"/>
      <c r="BI259" s="491"/>
      <c r="BJ259" s="491"/>
      <c r="BL259" s="491"/>
      <c r="BM259" s="491"/>
      <c r="BN259" s="491"/>
      <c r="BO259" s="491"/>
      <c r="BP259" s="622"/>
      <c r="BQ259" s="274"/>
    </row>
    <row r="260" spans="2:69">
      <c r="B260" s="96"/>
      <c r="C260" s="96"/>
      <c r="D260" s="184"/>
      <c r="E260" s="179"/>
      <c r="F260" s="87"/>
      <c r="G260" s="87"/>
      <c r="H260" s="185"/>
      <c r="I260" s="184"/>
      <c r="J260" s="184"/>
      <c r="K260" s="184"/>
      <c r="L260" s="296"/>
      <c r="N260" s="1053"/>
      <c r="O260" s="489"/>
      <c r="P260" s="489"/>
      <c r="T260" s="626"/>
      <c r="U260" s="489"/>
      <c r="V260" s="483"/>
      <c r="W260" s="627"/>
      <c r="X260" s="628"/>
      <c r="Y260" s="489"/>
      <c r="Z260" s="629"/>
      <c r="AA260" s="626"/>
      <c r="AB260" s="481"/>
      <c r="AC260" s="1388"/>
      <c r="AD260" s="482"/>
      <c r="AE260" s="482"/>
      <c r="AF260" s="482"/>
      <c r="AG260" s="482"/>
      <c r="AH260" s="482"/>
      <c r="AI260" s="482"/>
      <c r="AJ260" s="482"/>
      <c r="AK260" s="482"/>
      <c r="AL260" s="482"/>
      <c r="AM260" s="482"/>
      <c r="AN260" s="483"/>
      <c r="AO260" s="483"/>
      <c r="AP260" s="484"/>
      <c r="AQ260" s="484"/>
      <c r="AR260" s="629"/>
      <c r="AS260" s="629"/>
      <c r="AT260" s="629"/>
      <c r="AU260" s="629"/>
      <c r="AV260" s="629"/>
      <c r="AW260" s="630"/>
      <c r="AZ260" s="489"/>
      <c r="BA260" s="631"/>
      <c r="BB260" s="491"/>
      <c r="BC260" s="491"/>
      <c r="BD260" s="491"/>
      <c r="BE260" s="491"/>
      <c r="BF260" s="491"/>
      <c r="BG260" s="491"/>
      <c r="BH260" s="491"/>
      <c r="BI260" s="491"/>
      <c r="BJ260" s="491"/>
      <c r="BL260" s="491"/>
      <c r="BM260" s="491"/>
      <c r="BN260" s="491"/>
      <c r="BO260" s="491"/>
      <c r="BP260" s="622"/>
      <c r="BQ260" s="274"/>
    </row>
    <row r="261" spans="2:69">
      <c r="B261" s="96"/>
      <c r="C261" s="96"/>
      <c r="D261" s="184"/>
      <c r="E261" s="179"/>
      <c r="F261" s="87"/>
      <c r="G261" s="87"/>
      <c r="H261" s="185"/>
      <c r="I261" s="184"/>
      <c r="J261" s="184"/>
      <c r="K261" s="184"/>
      <c r="L261" s="296"/>
      <c r="N261" s="1053"/>
      <c r="O261" s="489"/>
      <c r="P261" s="489"/>
      <c r="T261" s="626"/>
      <c r="U261" s="489"/>
      <c r="V261" s="483"/>
      <c r="W261" s="627"/>
      <c r="X261" s="628"/>
      <c r="Y261" s="489"/>
      <c r="Z261" s="629"/>
      <c r="AA261" s="626"/>
      <c r="AB261" s="481"/>
      <c r="AC261" s="1388"/>
      <c r="AD261" s="482"/>
      <c r="AE261" s="482"/>
      <c r="AF261" s="482"/>
      <c r="AG261" s="482"/>
      <c r="AH261" s="482"/>
      <c r="AI261" s="482"/>
      <c r="AJ261" s="482"/>
      <c r="AK261" s="482"/>
      <c r="AL261" s="482"/>
      <c r="AM261" s="482"/>
      <c r="AN261" s="483"/>
      <c r="AO261" s="483"/>
      <c r="AP261" s="484"/>
      <c r="AQ261" s="484"/>
      <c r="AR261" s="629"/>
      <c r="AS261" s="629"/>
      <c r="AT261" s="629"/>
      <c r="AU261" s="629"/>
      <c r="AV261" s="629"/>
      <c r="AW261" s="630"/>
      <c r="AZ261" s="489"/>
      <c r="BA261" s="631"/>
      <c r="BB261" s="491"/>
      <c r="BC261" s="491"/>
      <c r="BD261" s="491"/>
      <c r="BE261" s="491"/>
      <c r="BF261" s="491"/>
      <c r="BG261" s="491"/>
      <c r="BH261" s="491"/>
      <c r="BI261" s="491"/>
      <c r="BJ261" s="491"/>
      <c r="BL261" s="491"/>
      <c r="BM261" s="491"/>
      <c r="BN261" s="491"/>
      <c r="BO261" s="491"/>
      <c r="BP261" s="622"/>
      <c r="BQ261" s="274"/>
    </row>
    <row r="262" spans="2:69">
      <c r="B262" s="96"/>
      <c r="C262" s="96"/>
      <c r="D262" s="184"/>
      <c r="E262" s="179"/>
      <c r="F262" s="87"/>
      <c r="G262" s="87"/>
      <c r="H262" s="185"/>
      <c r="I262" s="184"/>
      <c r="J262" s="184"/>
      <c r="K262" s="184"/>
      <c r="L262" s="296"/>
      <c r="N262" s="1053"/>
      <c r="O262" s="489"/>
      <c r="P262" s="489"/>
      <c r="T262" s="626"/>
      <c r="U262" s="489"/>
      <c r="V262" s="483"/>
      <c r="W262" s="627"/>
      <c r="X262" s="628"/>
      <c r="Y262" s="489"/>
      <c r="Z262" s="629"/>
      <c r="AA262" s="626"/>
      <c r="AB262" s="481"/>
      <c r="AC262" s="1388"/>
      <c r="AD262" s="482"/>
      <c r="AE262" s="482"/>
      <c r="AF262" s="482"/>
      <c r="AG262" s="482"/>
      <c r="AH262" s="482"/>
      <c r="AI262" s="482"/>
      <c r="AJ262" s="482"/>
      <c r="AK262" s="482"/>
      <c r="AL262" s="482"/>
      <c r="AM262" s="482"/>
      <c r="AN262" s="483"/>
      <c r="AO262" s="483"/>
      <c r="AP262" s="484"/>
      <c r="AQ262" s="484"/>
      <c r="AR262" s="629"/>
      <c r="AS262" s="629"/>
      <c r="AT262" s="629"/>
      <c r="AU262" s="629"/>
      <c r="AV262" s="629"/>
      <c r="AW262" s="630"/>
      <c r="AZ262" s="489"/>
      <c r="BA262" s="631"/>
      <c r="BB262" s="491"/>
      <c r="BC262" s="491"/>
      <c r="BD262" s="491"/>
      <c r="BE262" s="491"/>
      <c r="BF262" s="491"/>
      <c r="BG262" s="491"/>
      <c r="BH262" s="491"/>
      <c r="BI262" s="491"/>
      <c r="BJ262" s="491"/>
      <c r="BL262" s="491"/>
      <c r="BM262" s="491"/>
      <c r="BN262" s="491"/>
      <c r="BO262" s="491"/>
      <c r="BP262" s="622"/>
      <c r="BQ262" s="274"/>
    </row>
    <row r="263" spans="2:69">
      <c r="B263" s="96"/>
      <c r="C263" s="96"/>
      <c r="D263" s="184"/>
      <c r="E263" s="179"/>
      <c r="F263" s="87"/>
      <c r="G263" s="87"/>
      <c r="H263" s="185"/>
      <c r="I263" s="184"/>
      <c r="J263" s="184"/>
      <c r="K263" s="184"/>
      <c r="L263" s="296"/>
      <c r="N263" s="1053"/>
      <c r="O263" s="489"/>
      <c r="P263" s="489"/>
      <c r="T263" s="626"/>
      <c r="U263" s="489"/>
      <c r="V263" s="483"/>
      <c r="W263" s="627"/>
      <c r="X263" s="628"/>
      <c r="Y263" s="489"/>
      <c r="Z263" s="629"/>
      <c r="AA263" s="626"/>
      <c r="AB263" s="481"/>
      <c r="AC263" s="1388"/>
      <c r="AD263" s="482"/>
      <c r="AE263" s="482"/>
      <c r="AF263" s="482"/>
      <c r="AG263" s="482"/>
      <c r="AH263" s="482"/>
      <c r="AI263" s="482"/>
      <c r="AJ263" s="482"/>
      <c r="AK263" s="482"/>
      <c r="AL263" s="482"/>
      <c r="AM263" s="482"/>
      <c r="AN263" s="483"/>
      <c r="AO263" s="483"/>
      <c r="AP263" s="484"/>
      <c r="AQ263" s="484"/>
      <c r="AR263" s="629"/>
      <c r="AS263" s="629"/>
      <c r="AT263" s="629"/>
      <c r="AU263" s="629"/>
      <c r="AV263" s="629"/>
      <c r="AW263" s="630"/>
      <c r="AZ263" s="489"/>
      <c r="BA263" s="631"/>
      <c r="BB263" s="491"/>
      <c r="BC263" s="491"/>
      <c r="BD263" s="491"/>
      <c r="BE263" s="491"/>
      <c r="BF263" s="491"/>
      <c r="BG263" s="491"/>
      <c r="BH263" s="491"/>
      <c r="BI263" s="491"/>
      <c r="BJ263" s="491"/>
      <c r="BL263" s="491"/>
      <c r="BM263" s="491"/>
      <c r="BN263" s="491"/>
      <c r="BO263" s="491"/>
      <c r="BP263" s="622"/>
      <c r="BQ263" s="274"/>
    </row>
    <row r="264" spans="2:69">
      <c r="B264" s="96"/>
      <c r="C264" s="96"/>
      <c r="D264" s="184"/>
      <c r="E264" s="179"/>
      <c r="F264" s="87"/>
      <c r="G264" s="87"/>
      <c r="H264" s="185"/>
      <c r="I264" s="184"/>
      <c r="J264" s="184"/>
      <c r="K264" s="184"/>
      <c r="L264" s="296"/>
      <c r="N264" s="1053"/>
      <c r="O264" s="489"/>
      <c r="P264" s="489"/>
      <c r="T264" s="626"/>
      <c r="U264" s="489"/>
      <c r="V264" s="483"/>
      <c r="W264" s="627"/>
      <c r="X264" s="628"/>
      <c r="Y264" s="489"/>
      <c r="Z264" s="629"/>
      <c r="AA264" s="626"/>
      <c r="AB264" s="481"/>
      <c r="AC264" s="1388"/>
      <c r="AD264" s="482"/>
      <c r="AE264" s="482"/>
      <c r="AF264" s="482"/>
      <c r="AG264" s="482"/>
      <c r="AH264" s="482"/>
      <c r="AI264" s="482"/>
      <c r="AJ264" s="482"/>
      <c r="AK264" s="482"/>
      <c r="AL264" s="482"/>
      <c r="AM264" s="482"/>
      <c r="AN264" s="483"/>
      <c r="AO264" s="483"/>
      <c r="AP264" s="484"/>
      <c r="AQ264" s="484"/>
      <c r="AR264" s="629"/>
      <c r="AS264" s="629"/>
      <c r="AT264" s="629"/>
      <c r="AU264" s="629"/>
      <c r="AV264" s="629"/>
      <c r="AW264" s="630"/>
      <c r="AZ264" s="489"/>
      <c r="BA264" s="631"/>
      <c r="BB264" s="491"/>
      <c r="BC264" s="491"/>
      <c r="BD264" s="491"/>
      <c r="BE264" s="491"/>
      <c r="BF264" s="491"/>
      <c r="BG264" s="491"/>
      <c r="BH264" s="491"/>
      <c r="BI264" s="491"/>
      <c r="BJ264" s="491"/>
      <c r="BL264" s="491"/>
      <c r="BM264" s="491"/>
      <c r="BN264" s="491"/>
      <c r="BO264" s="491"/>
      <c r="BP264" s="622"/>
      <c r="BQ264" s="274"/>
    </row>
    <row r="265" spans="2:69">
      <c r="B265" s="96"/>
      <c r="C265" s="96"/>
      <c r="D265" s="184"/>
      <c r="E265" s="179"/>
      <c r="F265" s="87"/>
      <c r="G265" s="87"/>
      <c r="H265" s="185"/>
      <c r="I265" s="184"/>
      <c r="J265" s="184"/>
      <c r="K265" s="184"/>
      <c r="L265" s="296"/>
      <c r="N265" s="1053"/>
      <c r="O265" s="489"/>
      <c r="P265" s="489"/>
      <c r="T265" s="626"/>
      <c r="U265" s="489"/>
      <c r="V265" s="483"/>
      <c r="W265" s="627"/>
      <c r="X265" s="628"/>
      <c r="Y265" s="489"/>
      <c r="Z265" s="629"/>
      <c r="AA265" s="626"/>
      <c r="AB265" s="481"/>
      <c r="AC265" s="1388"/>
      <c r="AD265" s="482"/>
      <c r="AE265" s="482"/>
      <c r="AF265" s="482"/>
      <c r="AG265" s="482"/>
      <c r="AH265" s="482"/>
      <c r="AI265" s="482"/>
      <c r="AJ265" s="482"/>
      <c r="AK265" s="482"/>
      <c r="AL265" s="482"/>
      <c r="AM265" s="482"/>
      <c r="AN265" s="483"/>
      <c r="AO265" s="483"/>
      <c r="AP265" s="484"/>
      <c r="AQ265" s="484"/>
      <c r="AR265" s="629"/>
      <c r="AS265" s="629"/>
      <c r="AT265" s="629"/>
      <c r="AU265" s="629"/>
      <c r="AV265" s="629"/>
      <c r="AW265" s="630"/>
      <c r="AZ265" s="489"/>
      <c r="BA265" s="631"/>
      <c r="BB265" s="491"/>
      <c r="BC265" s="491"/>
      <c r="BD265" s="491"/>
      <c r="BE265" s="491"/>
      <c r="BF265" s="491"/>
      <c r="BG265" s="491"/>
      <c r="BH265" s="491"/>
      <c r="BI265" s="491"/>
      <c r="BJ265" s="491"/>
      <c r="BL265" s="491"/>
      <c r="BM265" s="491"/>
      <c r="BN265" s="491"/>
      <c r="BO265" s="491"/>
      <c r="BP265" s="622"/>
      <c r="BQ265" s="274"/>
    </row>
    <row r="266" spans="2:69">
      <c r="B266" s="96"/>
      <c r="C266" s="96"/>
      <c r="D266" s="184"/>
      <c r="E266" s="179"/>
      <c r="F266" s="87"/>
      <c r="G266" s="87"/>
      <c r="H266" s="185"/>
      <c r="I266" s="184"/>
      <c r="J266" s="184"/>
      <c r="K266" s="184"/>
      <c r="L266" s="296"/>
      <c r="N266" s="1053"/>
      <c r="O266" s="489"/>
      <c r="P266" s="489"/>
      <c r="T266" s="626"/>
      <c r="U266" s="489"/>
      <c r="V266" s="483"/>
      <c r="W266" s="627"/>
      <c r="X266" s="628"/>
      <c r="Y266" s="489"/>
      <c r="Z266" s="629"/>
      <c r="AA266" s="626"/>
      <c r="AB266" s="481"/>
      <c r="AC266" s="1388"/>
      <c r="AD266" s="482"/>
      <c r="AE266" s="482"/>
      <c r="AF266" s="482"/>
      <c r="AG266" s="482"/>
      <c r="AH266" s="482"/>
      <c r="AI266" s="482"/>
      <c r="AJ266" s="482"/>
      <c r="AK266" s="482"/>
      <c r="AL266" s="482"/>
      <c r="AM266" s="482"/>
      <c r="AN266" s="483"/>
      <c r="AO266" s="483"/>
      <c r="AP266" s="484"/>
      <c r="AQ266" s="484"/>
      <c r="AR266" s="629"/>
      <c r="AS266" s="629"/>
      <c r="AT266" s="629"/>
      <c r="AU266" s="629"/>
      <c r="AV266" s="629"/>
      <c r="AW266" s="630"/>
      <c r="AZ266" s="489"/>
      <c r="BA266" s="631"/>
      <c r="BB266" s="491"/>
      <c r="BC266" s="491"/>
      <c r="BD266" s="491"/>
      <c r="BE266" s="491"/>
      <c r="BF266" s="491"/>
      <c r="BG266" s="491"/>
      <c r="BH266" s="491"/>
      <c r="BI266" s="491"/>
      <c r="BJ266" s="491"/>
      <c r="BL266" s="491"/>
      <c r="BM266" s="491"/>
      <c r="BN266" s="491"/>
      <c r="BO266" s="491"/>
      <c r="BP266" s="622"/>
      <c r="BQ266" s="274"/>
    </row>
    <row r="267" spans="2:69">
      <c r="B267" s="96"/>
      <c r="C267" s="96"/>
      <c r="D267" s="184"/>
      <c r="E267" s="179"/>
      <c r="F267" s="87"/>
      <c r="G267" s="87"/>
      <c r="H267" s="185"/>
      <c r="I267" s="184"/>
      <c r="J267" s="184"/>
      <c r="K267" s="184"/>
      <c r="L267" s="296"/>
      <c r="N267" s="1053"/>
      <c r="O267" s="489"/>
      <c r="P267" s="489"/>
      <c r="T267" s="626"/>
      <c r="U267" s="489"/>
      <c r="V267" s="483"/>
      <c r="W267" s="627"/>
      <c r="X267" s="628"/>
      <c r="Y267" s="489"/>
      <c r="Z267" s="629"/>
      <c r="AA267" s="626"/>
      <c r="AB267" s="481"/>
      <c r="AC267" s="1388"/>
      <c r="AD267" s="482"/>
      <c r="AE267" s="482"/>
      <c r="AF267" s="482"/>
      <c r="AG267" s="482"/>
      <c r="AH267" s="482"/>
      <c r="AI267" s="482"/>
      <c r="AJ267" s="482"/>
      <c r="AK267" s="482"/>
      <c r="AL267" s="482"/>
      <c r="AM267" s="482"/>
      <c r="AN267" s="483"/>
      <c r="AO267" s="483"/>
      <c r="AP267" s="484"/>
      <c r="AQ267" s="484"/>
      <c r="AR267" s="629"/>
      <c r="AS267" s="629"/>
      <c r="AT267" s="629"/>
      <c r="AU267" s="629"/>
      <c r="AV267" s="629"/>
      <c r="AW267" s="630"/>
      <c r="AZ267" s="489"/>
      <c r="BA267" s="631"/>
      <c r="BB267" s="491"/>
      <c r="BC267" s="491"/>
      <c r="BD267" s="491"/>
      <c r="BE267" s="491"/>
      <c r="BF267" s="491"/>
      <c r="BG267" s="491"/>
      <c r="BH267" s="491"/>
      <c r="BI267" s="491"/>
      <c r="BJ267" s="491"/>
      <c r="BL267" s="491"/>
      <c r="BM267" s="491"/>
      <c r="BN267" s="491"/>
      <c r="BO267" s="491"/>
      <c r="BP267" s="622"/>
      <c r="BQ267" s="274"/>
    </row>
    <row r="268" spans="2:69">
      <c r="B268" s="96"/>
      <c r="C268" s="96"/>
      <c r="D268" s="184"/>
      <c r="E268" s="179"/>
      <c r="F268" s="87"/>
      <c r="G268" s="87"/>
      <c r="H268" s="185"/>
      <c r="I268" s="184"/>
      <c r="J268" s="184"/>
      <c r="K268" s="184"/>
      <c r="L268" s="296"/>
      <c r="N268" s="1053"/>
      <c r="O268" s="489"/>
      <c r="P268" s="489"/>
      <c r="T268" s="626"/>
      <c r="U268" s="489"/>
      <c r="V268" s="483"/>
      <c r="W268" s="627"/>
      <c r="X268" s="628"/>
      <c r="Y268" s="489"/>
      <c r="Z268" s="629"/>
      <c r="AA268" s="626"/>
      <c r="AB268" s="481"/>
      <c r="AC268" s="1388"/>
      <c r="AD268" s="482"/>
      <c r="AE268" s="482"/>
      <c r="AF268" s="482"/>
      <c r="AG268" s="482"/>
      <c r="AH268" s="482"/>
      <c r="AI268" s="482"/>
      <c r="AJ268" s="482"/>
      <c r="AK268" s="482"/>
      <c r="AL268" s="482"/>
      <c r="AM268" s="482"/>
      <c r="AN268" s="483"/>
      <c r="AO268" s="483"/>
      <c r="AP268" s="484"/>
      <c r="AQ268" s="484"/>
      <c r="AR268" s="629"/>
      <c r="AS268" s="629"/>
      <c r="AT268" s="629"/>
      <c r="AU268" s="629"/>
      <c r="AV268" s="629"/>
      <c r="AW268" s="630"/>
      <c r="AZ268" s="489"/>
      <c r="BA268" s="631"/>
      <c r="BB268" s="491"/>
      <c r="BC268" s="491"/>
      <c r="BD268" s="491"/>
      <c r="BE268" s="491"/>
      <c r="BF268" s="491"/>
      <c r="BG268" s="491"/>
      <c r="BH268" s="491"/>
      <c r="BI268" s="491"/>
      <c r="BJ268" s="491"/>
      <c r="BL268" s="491"/>
      <c r="BM268" s="491"/>
      <c r="BN268" s="491"/>
      <c r="BO268" s="491"/>
      <c r="BP268" s="622"/>
      <c r="BQ268" s="274"/>
    </row>
    <row r="269" spans="2:69">
      <c r="B269" s="96"/>
      <c r="C269" s="96"/>
      <c r="D269" s="184"/>
      <c r="E269" s="179"/>
      <c r="F269" s="87"/>
      <c r="G269" s="87"/>
      <c r="H269" s="185"/>
      <c r="I269" s="184"/>
      <c r="J269" s="184"/>
      <c r="K269" s="184"/>
      <c r="L269" s="296"/>
      <c r="N269" s="1053"/>
      <c r="O269" s="489"/>
      <c r="P269" s="489"/>
      <c r="T269" s="626"/>
      <c r="U269" s="489"/>
      <c r="V269" s="483"/>
      <c r="W269" s="627"/>
      <c r="X269" s="628"/>
      <c r="Y269" s="489"/>
      <c r="Z269" s="629"/>
      <c r="AA269" s="626"/>
      <c r="AB269" s="481"/>
      <c r="AC269" s="1388"/>
      <c r="AD269" s="482"/>
      <c r="AE269" s="482"/>
      <c r="AF269" s="482"/>
      <c r="AG269" s="482"/>
      <c r="AH269" s="482"/>
      <c r="AI269" s="482"/>
      <c r="AJ269" s="482"/>
      <c r="AK269" s="482"/>
      <c r="AL269" s="482"/>
      <c r="AM269" s="482"/>
      <c r="AN269" s="483"/>
      <c r="AO269" s="483"/>
      <c r="AP269" s="484"/>
      <c r="AQ269" s="484"/>
      <c r="AR269" s="629"/>
      <c r="AS269" s="629"/>
      <c r="AT269" s="629"/>
      <c r="AU269" s="629"/>
      <c r="AV269" s="629"/>
      <c r="AW269" s="630"/>
      <c r="AZ269" s="489"/>
      <c r="BA269" s="631"/>
      <c r="BB269" s="491"/>
      <c r="BC269" s="491"/>
      <c r="BD269" s="491"/>
      <c r="BE269" s="491"/>
      <c r="BF269" s="491"/>
      <c r="BG269" s="491"/>
      <c r="BH269" s="491"/>
      <c r="BI269" s="491"/>
      <c r="BJ269" s="491"/>
      <c r="BL269" s="491"/>
      <c r="BM269" s="491"/>
      <c r="BN269" s="491"/>
      <c r="BO269" s="491"/>
      <c r="BP269" s="622"/>
      <c r="BQ269" s="274"/>
    </row>
    <row r="270" spans="2:69">
      <c r="B270" s="96"/>
      <c r="C270" s="96"/>
      <c r="D270" s="184"/>
      <c r="E270" s="179"/>
      <c r="F270" s="87"/>
      <c r="G270" s="87"/>
      <c r="H270" s="185"/>
      <c r="I270" s="184"/>
      <c r="J270" s="184"/>
      <c r="K270" s="184"/>
      <c r="L270" s="296"/>
      <c r="N270" s="1053"/>
      <c r="O270" s="489"/>
      <c r="P270" s="489"/>
      <c r="T270" s="626"/>
      <c r="U270" s="489"/>
      <c r="V270" s="483"/>
      <c r="W270" s="627"/>
      <c r="X270" s="628"/>
      <c r="Y270" s="489"/>
      <c r="Z270" s="629"/>
      <c r="AA270" s="626"/>
      <c r="AB270" s="481"/>
      <c r="AC270" s="1388"/>
      <c r="AD270" s="482"/>
      <c r="AE270" s="482"/>
      <c r="AF270" s="482"/>
      <c r="AG270" s="482"/>
      <c r="AH270" s="482"/>
      <c r="AI270" s="482"/>
      <c r="AJ270" s="482"/>
      <c r="AK270" s="482"/>
      <c r="AL270" s="482"/>
      <c r="AM270" s="482"/>
      <c r="AN270" s="483"/>
      <c r="AO270" s="483"/>
      <c r="AP270" s="484"/>
      <c r="AQ270" s="484"/>
      <c r="AR270" s="629"/>
      <c r="AS270" s="629"/>
      <c r="AT270" s="629"/>
      <c r="AU270" s="629"/>
      <c r="AV270" s="629"/>
      <c r="AW270" s="630"/>
      <c r="AZ270" s="489"/>
      <c r="BA270" s="631"/>
      <c r="BB270" s="491"/>
      <c r="BC270" s="491"/>
      <c r="BD270" s="491"/>
      <c r="BE270" s="491"/>
      <c r="BF270" s="491"/>
      <c r="BG270" s="491"/>
      <c r="BH270" s="491"/>
      <c r="BI270" s="491"/>
      <c r="BJ270" s="491"/>
      <c r="BL270" s="491"/>
      <c r="BM270" s="491"/>
      <c r="BN270" s="491"/>
      <c r="BO270" s="491"/>
      <c r="BP270" s="622"/>
      <c r="BQ270" s="274"/>
    </row>
    <row r="271" spans="2:69">
      <c r="B271" s="96"/>
      <c r="C271" s="96"/>
      <c r="D271" s="184"/>
      <c r="E271" s="179"/>
      <c r="F271" s="87"/>
      <c r="G271" s="87"/>
      <c r="H271" s="185"/>
      <c r="I271" s="184"/>
      <c r="J271" s="184"/>
      <c r="K271" s="184"/>
      <c r="L271" s="296"/>
      <c r="N271" s="1053"/>
      <c r="O271" s="489"/>
      <c r="P271" s="489"/>
      <c r="T271" s="626"/>
      <c r="U271" s="489"/>
      <c r="V271" s="483"/>
      <c r="W271" s="627"/>
      <c r="X271" s="628"/>
      <c r="Y271" s="489"/>
      <c r="Z271" s="629"/>
      <c r="AA271" s="626"/>
      <c r="AB271" s="481"/>
      <c r="AC271" s="1388"/>
      <c r="AD271" s="482"/>
      <c r="AE271" s="482"/>
      <c r="AF271" s="482"/>
      <c r="AG271" s="482"/>
      <c r="AH271" s="482"/>
      <c r="AI271" s="482"/>
      <c r="AJ271" s="482"/>
      <c r="AK271" s="482"/>
      <c r="AL271" s="482"/>
      <c r="AM271" s="482"/>
      <c r="AN271" s="483"/>
      <c r="AO271" s="483"/>
      <c r="AP271" s="484"/>
      <c r="AQ271" s="484"/>
      <c r="AR271" s="629"/>
      <c r="AS271" s="629"/>
      <c r="AT271" s="629"/>
      <c r="AU271" s="629"/>
      <c r="AV271" s="629"/>
      <c r="AW271" s="630"/>
      <c r="AZ271" s="489"/>
      <c r="BA271" s="631"/>
      <c r="BB271" s="491"/>
      <c r="BC271" s="491"/>
      <c r="BD271" s="491"/>
      <c r="BE271" s="491"/>
      <c r="BF271" s="491"/>
      <c r="BG271" s="491"/>
      <c r="BH271" s="491"/>
      <c r="BI271" s="491"/>
      <c r="BJ271" s="491"/>
      <c r="BL271" s="491"/>
      <c r="BM271" s="491"/>
      <c r="BN271" s="491"/>
      <c r="BO271" s="491"/>
      <c r="BP271" s="622"/>
      <c r="BQ271" s="274"/>
    </row>
    <row r="272" spans="2:69">
      <c r="B272" s="96"/>
      <c r="C272" s="96"/>
      <c r="D272" s="184"/>
      <c r="E272" s="179"/>
      <c r="F272" s="87"/>
      <c r="G272" s="87"/>
      <c r="H272" s="185"/>
      <c r="I272" s="184"/>
      <c r="J272" s="184"/>
      <c r="K272" s="184"/>
      <c r="L272" s="296"/>
      <c r="N272" s="1053"/>
      <c r="O272" s="489"/>
      <c r="P272" s="489"/>
      <c r="T272" s="626"/>
      <c r="U272" s="489"/>
      <c r="V272" s="483"/>
      <c r="W272" s="627"/>
      <c r="X272" s="628"/>
      <c r="Y272" s="489"/>
      <c r="Z272" s="629"/>
      <c r="AA272" s="626"/>
      <c r="AB272" s="481"/>
      <c r="AC272" s="1388"/>
      <c r="AD272" s="482"/>
      <c r="AE272" s="482"/>
      <c r="AF272" s="482"/>
      <c r="AG272" s="482"/>
      <c r="AH272" s="482"/>
      <c r="AI272" s="482"/>
      <c r="AJ272" s="482"/>
      <c r="AK272" s="482"/>
      <c r="AL272" s="482"/>
      <c r="AM272" s="482"/>
      <c r="AN272" s="483"/>
      <c r="AO272" s="483"/>
      <c r="AP272" s="484"/>
      <c r="AQ272" s="484"/>
      <c r="AR272" s="629"/>
      <c r="AS272" s="629"/>
      <c r="AT272" s="629"/>
      <c r="AU272" s="629"/>
      <c r="AV272" s="629"/>
      <c r="AW272" s="630"/>
      <c r="AZ272" s="489"/>
      <c r="BA272" s="631"/>
      <c r="BB272" s="491"/>
      <c r="BC272" s="491"/>
      <c r="BD272" s="491"/>
      <c r="BE272" s="491"/>
      <c r="BF272" s="491"/>
      <c r="BG272" s="491"/>
      <c r="BH272" s="491"/>
      <c r="BI272" s="491"/>
      <c r="BJ272" s="491"/>
      <c r="BL272" s="491"/>
      <c r="BM272" s="491"/>
      <c r="BN272" s="491"/>
      <c r="BO272" s="491"/>
      <c r="BP272" s="622"/>
      <c r="BQ272" s="274"/>
    </row>
    <row r="273" spans="2:69">
      <c r="B273" s="96"/>
      <c r="C273" s="96"/>
      <c r="D273" s="184"/>
      <c r="E273" s="179"/>
      <c r="F273" s="87"/>
      <c r="G273" s="87"/>
      <c r="H273" s="185"/>
      <c r="I273" s="184"/>
      <c r="J273" s="184"/>
      <c r="K273" s="184"/>
      <c r="L273" s="296"/>
      <c r="N273" s="1053"/>
      <c r="O273" s="489"/>
      <c r="P273" s="489"/>
      <c r="T273" s="626"/>
      <c r="U273" s="489"/>
      <c r="V273" s="483"/>
      <c r="W273" s="627"/>
      <c r="X273" s="628"/>
      <c r="Y273" s="489"/>
      <c r="Z273" s="629"/>
      <c r="AA273" s="626"/>
      <c r="AB273" s="481"/>
      <c r="AC273" s="1388"/>
      <c r="AD273" s="482"/>
      <c r="AE273" s="482"/>
      <c r="AF273" s="482"/>
      <c r="AG273" s="482"/>
      <c r="AH273" s="482"/>
      <c r="AI273" s="482"/>
      <c r="AJ273" s="482"/>
      <c r="AK273" s="482"/>
      <c r="AL273" s="482"/>
      <c r="AM273" s="482"/>
      <c r="AN273" s="483"/>
      <c r="AO273" s="483"/>
      <c r="AP273" s="484"/>
      <c r="AQ273" s="484"/>
      <c r="AR273" s="629"/>
      <c r="AS273" s="629"/>
      <c r="AT273" s="629"/>
      <c r="AU273" s="629"/>
      <c r="AV273" s="629"/>
      <c r="AW273" s="630"/>
      <c r="AZ273" s="489"/>
      <c r="BA273" s="631"/>
      <c r="BB273" s="491"/>
      <c r="BC273" s="491"/>
      <c r="BD273" s="491"/>
      <c r="BE273" s="491"/>
      <c r="BF273" s="491"/>
      <c r="BG273" s="491"/>
      <c r="BH273" s="491"/>
      <c r="BI273" s="491"/>
      <c r="BJ273" s="491"/>
      <c r="BL273" s="491"/>
      <c r="BM273" s="491"/>
      <c r="BN273" s="491"/>
      <c r="BO273" s="491"/>
      <c r="BP273" s="622"/>
      <c r="BQ273" s="274"/>
    </row>
    <row r="274" spans="2:69">
      <c r="B274" s="96"/>
      <c r="C274" s="96"/>
      <c r="D274" s="184"/>
      <c r="E274" s="179"/>
      <c r="F274" s="87"/>
      <c r="G274" s="87"/>
      <c r="H274" s="185"/>
      <c r="I274" s="184"/>
      <c r="J274" s="184"/>
      <c r="K274" s="184"/>
      <c r="L274" s="296"/>
      <c r="N274" s="1053"/>
      <c r="O274" s="489"/>
      <c r="P274" s="489"/>
      <c r="T274" s="626"/>
      <c r="U274" s="489"/>
      <c r="V274" s="483"/>
      <c r="W274" s="627"/>
      <c r="X274" s="628"/>
      <c r="Y274" s="489"/>
      <c r="Z274" s="629"/>
      <c r="AA274" s="626"/>
      <c r="AB274" s="481"/>
      <c r="AC274" s="1388"/>
      <c r="AD274" s="482"/>
      <c r="AE274" s="482"/>
      <c r="AF274" s="482"/>
      <c r="AG274" s="482"/>
      <c r="AH274" s="482"/>
      <c r="AI274" s="482"/>
      <c r="AJ274" s="482"/>
      <c r="AK274" s="482"/>
      <c r="AL274" s="482"/>
      <c r="AM274" s="482"/>
      <c r="AN274" s="483"/>
      <c r="AO274" s="483"/>
      <c r="AP274" s="484"/>
      <c r="AQ274" s="484"/>
      <c r="AR274" s="629"/>
      <c r="AS274" s="629"/>
      <c r="AT274" s="629"/>
      <c r="AU274" s="629"/>
      <c r="AV274" s="629"/>
      <c r="AW274" s="630"/>
      <c r="AZ274" s="489"/>
      <c r="BA274" s="631"/>
      <c r="BB274" s="491"/>
      <c r="BC274" s="491"/>
      <c r="BD274" s="491"/>
      <c r="BE274" s="491"/>
      <c r="BF274" s="491"/>
      <c r="BG274" s="491"/>
      <c r="BH274" s="491"/>
      <c r="BI274" s="491"/>
      <c r="BJ274" s="491"/>
      <c r="BL274" s="491"/>
      <c r="BM274" s="491"/>
      <c r="BN274" s="491"/>
      <c r="BO274" s="491"/>
      <c r="BP274" s="622"/>
      <c r="BQ274" s="274"/>
    </row>
    <row r="275" spans="2:69">
      <c r="B275" s="96"/>
      <c r="C275" s="96"/>
      <c r="D275" s="184"/>
      <c r="E275" s="179"/>
      <c r="F275" s="87"/>
      <c r="G275" s="87"/>
      <c r="H275" s="185"/>
      <c r="I275" s="184"/>
      <c r="J275" s="184"/>
      <c r="K275" s="184"/>
      <c r="L275" s="296"/>
      <c r="N275" s="1053"/>
      <c r="O275" s="489"/>
      <c r="P275" s="489"/>
      <c r="T275" s="626"/>
      <c r="U275" s="489"/>
      <c r="V275" s="483"/>
      <c r="W275" s="627"/>
      <c r="X275" s="628"/>
      <c r="Y275" s="489"/>
      <c r="Z275" s="629"/>
      <c r="AA275" s="626"/>
      <c r="AB275" s="481"/>
      <c r="AC275" s="1388"/>
      <c r="AD275" s="482"/>
      <c r="AE275" s="482"/>
      <c r="AF275" s="482"/>
      <c r="AG275" s="482"/>
      <c r="AH275" s="482"/>
      <c r="AI275" s="482"/>
      <c r="AJ275" s="482"/>
      <c r="AK275" s="482"/>
      <c r="AL275" s="482"/>
      <c r="AM275" s="482"/>
      <c r="AN275" s="483"/>
      <c r="AO275" s="483"/>
      <c r="AP275" s="484"/>
      <c r="AQ275" s="484"/>
      <c r="AR275" s="629"/>
      <c r="AS275" s="629"/>
      <c r="AT275" s="629"/>
      <c r="AU275" s="629"/>
      <c r="AV275" s="629"/>
      <c r="AW275" s="630"/>
      <c r="AZ275" s="489"/>
      <c r="BA275" s="631"/>
      <c r="BB275" s="491"/>
      <c r="BC275" s="491"/>
      <c r="BD275" s="491"/>
      <c r="BE275" s="491"/>
      <c r="BF275" s="491"/>
      <c r="BG275" s="491"/>
      <c r="BH275" s="491"/>
      <c r="BI275" s="491"/>
      <c r="BJ275" s="491"/>
      <c r="BL275" s="491"/>
      <c r="BM275" s="491"/>
      <c r="BN275" s="491"/>
      <c r="BO275" s="491"/>
      <c r="BP275" s="622"/>
      <c r="BQ275" s="274"/>
    </row>
    <row r="276" spans="2:69">
      <c r="B276" s="96"/>
      <c r="C276" s="96"/>
      <c r="D276" s="184"/>
      <c r="E276" s="179"/>
      <c r="F276" s="87"/>
      <c r="G276" s="87"/>
      <c r="H276" s="185"/>
      <c r="I276" s="184"/>
      <c r="J276" s="184"/>
      <c r="K276" s="184"/>
      <c r="L276" s="296"/>
      <c r="N276" s="1053"/>
      <c r="O276" s="489"/>
      <c r="P276" s="489"/>
      <c r="T276" s="626"/>
      <c r="U276" s="489"/>
      <c r="V276" s="483"/>
      <c r="W276" s="627"/>
      <c r="X276" s="628"/>
      <c r="Y276" s="489"/>
      <c r="Z276" s="629"/>
      <c r="AA276" s="626"/>
      <c r="AB276" s="481"/>
      <c r="AC276" s="1388"/>
      <c r="AD276" s="482"/>
      <c r="AE276" s="482"/>
      <c r="AF276" s="482"/>
      <c r="AG276" s="482"/>
      <c r="AH276" s="482"/>
      <c r="AI276" s="482"/>
      <c r="AJ276" s="482"/>
      <c r="AK276" s="482"/>
      <c r="AL276" s="482"/>
      <c r="AM276" s="482"/>
      <c r="AN276" s="483"/>
      <c r="AO276" s="483"/>
      <c r="AP276" s="484"/>
      <c r="AQ276" s="484"/>
      <c r="AR276" s="629"/>
      <c r="AS276" s="629"/>
      <c r="AT276" s="629"/>
      <c r="AU276" s="629"/>
      <c r="AV276" s="629"/>
      <c r="AW276" s="630"/>
      <c r="AZ276" s="489"/>
      <c r="BA276" s="631"/>
      <c r="BB276" s="491"/>
      <c r="BC276" s="491"/>
      <c r="BD276" s="491"/>
      <c r="BE276" s="491"/>
      <c r="BF276" s="491"/>
      <c r="BG276" s="491"/>
      <c r="BH276" s="491"/>
      <c r="BI276" s="491"/>
      <c r="BJ276" s="491"/>
      <c r="BL276" s="491"/>
      <c r="BM276" s="491"/>
      <c r="BN276" s="491"/>
      <c r="BO276" s="491"/>
      <c r="BP276" s="622"/>
      <c r="BQ276" s="274"/>
    </row>
    <row r="277" spans="2:69">
      <c r="B277" s="96"/>
      <c r="C277" s="96"/>
      <c r="D277" s="184"/>
      <c r="E277" s="179"/>
      <c r="F277" s="87"/>
      <c r="G277" s="87"/>
      <c r="H277" s="185"/>
      <c r="I277" s="184"/>
      <c r="J277" s="184"/>
      <c r="K277" s="184"/>
      <c r="L277" s="296"/>
      <c r="N277" s="1053"/>
      <c r="O277" s="489"/>
      <c r="P277" s="489"/>
      <c r="T277" s="626"/>
      <c r="U277" s="489"/>
      <c r="V277" s="483"/>
      <c r="W277" s="627"/>
      <c r="X277" s="628"/>
      <c r="Y277" s="489"/>
      <c r="Z277" s="629"/>
      <c r="AA277" s="626"/>
      <c r="AB277" s="481"/>
      <c r="AC277" s="1388"/>
      <c r="AD277" s="482"/>
      <c r="AE277" s="482"/>
      <c r="AF277" s="482"/>
      <c r="AG277" s="482"/>
      <c r="AH277" s="482"/>
      <c r="AI277" s="482"/>
      <c r="AJ277" s="482"/>
      <c r="AK277" s="482"/>
      <c r="AL277" s="482"/>
      <c r="AM277" s="482"/>
      <c r="AN277" s="483"/>
      <c r="AO277" s="483"/>
      <c r="AP277" s="484"/>
      <c r="AQ277" s="484"/>
      <c r="AR277" s="629"/>
      <c r="AS277" s="629"/>
      <c r="AT277" s="629"/>
      <c r="AU277" s="629"/>
      <c r="AV277" s="629"/>
      <c r="AW277" s="630"/>
      <c r="AZ277" s="489"/>
      <c r="BA277" s="631"/>
      <c r="BB277" s="491"/>
      <c r="BC277" s="491"/>
      <c r="BD277" s="491"/>
      <c r="BE277" s="491"/>
      <c r="BF277" s="491"/>
      <c r="BG277" s="491"/>
      <c r="BH277" s="491"/>
      <c r="BI277" s="491"/>
      <c r="BJ277" s="491"/>
      <c r="BL277" s="491"/>
      <c r="BM277" s="491"/>
      <c r="BN277" s="491"/>
      <c r="BO277" s="491"/>
      <c r="BP277" s="622"/>
      <c r="BQ277" s="274"/>
    </row>
    <row r="278" spans="2:69">
      <c r="B278" s="96"/>
      <c r="C278" s="96"/>
      <c r="D278" s="184"/>
      <c r="E278" s="179"/>
      <c r="F278" s="87"/>
      <c r="G278" s="87"/>
      <c r="H278" s="185"/>
      <c r="I278" s="184"/>
      <c r="J278" s="184"/>
      <c r="K278" s="184"/>
      <c r="L278" s="296"/>
      <c r="N278" s="1053"/>
      <c r="O278" s="489"/>
      <c r="P278" s="489"/>
      <c r="T278" s="626"/>
      <c r="U278" s="489"/>
      <c r="V278" s="483"/>
      <c r="W278" s="627"/>
      <c r="X278" s="628"/>
      <c r="Y278" s="489"/>
      <c r="Z278" s="629"/>
      <c r="AA278" s="626"/>
      <c r="AB278" s="481"/>
      <c r="AC278" s="1388"/>
      <c r="AD278" s="482"/>
      <c r="AE278" s="482"/>
      <c r="AF278" s="482"/>
      <c r="AG278" s="482"/>
      <c r="AH278" s="482"/>
      <c r="AI278" s="482"/>
      <c r="AJ278" s="482"/>
      <c r="AK278" s="482"/>
      <c r="AL278" s="482"/>
      <c r="AM278" s="482"/>
      <c r="AN278" s="483"/>
      <c r="AO278" s="483"/>
      <c r="AP278" s="484"/>
      <c r="AQ278" s="484"/>
      <c r="AR278" s="629"/>
      <c r="AS278" s="629"/>
      <c r="AT278" s="629"/>
      <c r="AU278" s="629"/>
      <c r="AV278" s="629"/>
      <c r="AW278" s="630"/>
      <c r="AZ278" s="489"/>
      <c r="BA278" s="631"/>
      <c r="BB278" s="491"/>
      <c r="BC278" s="491"/>
      <c r="BD278" s="491"/>
      <c r="BE278" s="491"/>
      <c r="BF278" s="491"/>
      <c r="BG278" s="491"/>
      <c r="BH278" s="491"/>
      <c r="BI278" s="491"/>
      <c r="BJ278" s="491"/>
      <c r="BL278" s="491"/>
      <c r="BM278" s="491"/>
      <c r="BN278" s="491"/>
      <c r="BO278" s="491"/>
      <c r="BP278" s="622"/>
      <c r="BQ278" s="274"/>
    </row>
    <row r="279" spans="2:69">
      <c r="B279" s="96"/>
      <c r="C279" s="96"/>
      <c r="D279" s="184"/>
      <c r="E279" s="179"/>
      <c r="F279" s="87"/>
      <c r="G279" s="87"/>
      <c r="H279" s="185"/>
      <c r="I279" s="184"/>
      <c r="J279" s="184"/>
      <c r="K279" s="184"/>
      <c r="L279" s="296"/>
      <c r="N279" s="1053"/>
      <c r="O279" s="489"/>
      <c r="P279" s="489"/>
      <c r="T279" s="626"/>
      <c r="U279" s="489"/>
      <c r="V279" s="483"/>
      <c r="W279" s="627"/>
      <c r="X279" s="628"/>
      <c r="Y279" s="489"/>
      <c r="Z279" s="629"/>
      <c r="AA279" s="626"/>
      <c r="AB279" s="481"/>
      <c r="AC279" s="1388"/>
      <c r="AD279" s="482"/>
      <c r="AE279" s="482"/>
      <c r="AF279" s="482"/>
      <c r="AG279" s="482"/>
      <c r="AH279" s="482"/>
      <c r="AI279" s="482"/>
      <c r="AJ279" s="482"/>
      <c r="AK279" s="482"/>
      <c r="AL279" s="482"/>
      <c r="AM279" s="482"/>
      <c r="AN279" s="483"/>
      <c r="AO279" s="483"/>
      <c r="AP279" s="484"/>
      <c r="AQ279" s="484"/>
      <c r="AR279" s="629"/>
      <c r="AS279" s="629"/>
      <c r="AT279" s="629"/>
      <c r="AU279" s="629"/>
      <c r="AV279" s="629"/>
      <c r="AW279" s="630"/>
      <c r="AZ279" s="489"/>
      <c r="BA279" s="631"/>
      <c r="BB279" s="491"/>
      <c r="BC279" s="491"/>
      <c r="BD279" s="491"/>
      <c r="BE279" s="491"/>
      <c r="BF279" s="491"/>
      <c r="BG279" s="491"/>
      <c r="BH279" s="491"/>
      <c r="BI279" s="491"/>
      <c r="BJ279" s="491"/>
      <c r="BL279" s="491"/>
      <c r="BM279" s="491"/>
      <c r="BN279" s="491"/>
      <c r="BO279" s="491"/>
      <c r="BP279" s="622"/>
      <c r="BQ279" s="274"/>
    </row>
    <row r="280" spans="2:69">
      <c r="B280" s="96"/>
      <c r="C280" s="96"/>
      <c r="D280" s="184"/>
      <c r="E280" s="179"/>
      <c r="F280" s="87"/>
      <c r="G280" s="87"/>
      <c r="H280" s="185"/>
      <c r="I280" s="184"/>
      <c r="J280" s="184"/>
      <c r="K280" s="184"/>
      <c r="L280" s="296"/>
      <c r="N280" s="1053"/>
      <c r="O280" s="489"/>
      <c r="P280" s="489"/>
      <c r="T280" s="626"/>
      <c r="U280" s="489"/>
      <c r="V280" s="483"/>
      <c r="W280" s="627"/>
      <c r="X280" s="628"/>
      <c r="Y280" s="489"/>
      <c r="Z280" s="629"/>
      <c r="AA280" s="626"/>
      <c r="AB280" s="481"/>
      <c r="AC280" s="1388"/>
      <c r="AD280" s="482"/>
      <c r="AE280" s="482"/>
      <c r="AF280" s="482"/>
      <c r="AG280" s="482"/>
      <c r="AH280" s="482"/>
      <c r="AI280" s="482"/>
      <c r="AJ280" s="482"/>
      <c r="AK280" s="482"/>
      <c r="AL280" s="482"/>
      <c r="AM280" s="482"/>
      <c r="AN280" s="483"/>
      <c r="AO280" s="483"/>
      <c r="AP280" s="484"/>
      <c r="AQ280" s="484"/>
      <c r="AR280" s="629"/>
      <c r="AS280" s="629"/>
      <c r="AT280" s="629"/>
      <c r="AU280" s="629"/>
      <c r="AV280" s="629"/>
      <c r="AW280" s="630"/>
      <c r="AZ280" s="489"/>
      <c r="BA280" s="631"/>
      <c r="BB280" s="491"/>
      <c r="BC280" s="491"/>
      <c r="BD280" s="491"/>
      <c r="BE280" s="491"/>
      <c r="BF280" s="491"/>
      <c r="BG280" s="491"/>
      <c r="BH280" s="491"/>
      <c r="BI280" s="491"/>
      <c r="BJ280" s="491"/>
      <c r="BL280" s="491"/>
      <c r="BM280" s="491"/>
      <c r="BN280" s="491"/>
      <c r="BO280" s="491"/>
      <c r="BP280" s="622"/>
      <c r="BQ280" s="274"/>
    </row>
    <row r="281" spans="2:69">
      <c r="B281" s="96"/>
      <c r="C281" s="96"/>
      <c r="D281" s="184"/>
      <c r="E281" s="179"/>
      <c r="F281" s="87"/>
      <c r="G281" s="87"/>
      <c r="H281" s="185"/>
      <c r="I281" s="184"/>
      <c r="J281" s="184"/>
      <c r="K281" s="184"/>
      <c r="L281" s="296"/>
      <c r="N281" s="1053"/>
      <c r="O281" s="489"/>
      <c r="P281" s="489"/>
      <c r="T281" s="626"/>
      <c r="U281" s="489"/>
      <c r="V281" s="483"/>
      <c r="W281" s="627"/>
      <c r="X281" s="628"/>
      <c r="Y281" s="489"/>
      <c r="Z281" s="629"/>
      <c r="AA281" s="626"/>
      <c r="AB281" s="481"/>
      <c r="AC281" s="1388"/>
      <c r="AD281" s="482"/>
      <c r="AE281" s="482"/>
      <c r="AF281" s="482"/>
      <c r="AG281" s="482"/>
      <c r="AH281" s="482"/>
      <c r="AI281" s="482"/>
      <c r="AJ281" s="482"/>
      <c r="AK281" s="482"/>
      <c r="AL281" s="482"/>
      <c r="AM281" s="482"/>
      <c r="AN281" s="483"/>
      <c r="AO281" s="483"/>
      <c r="AP281" s="484"/>
      <c r="AQ281" s="484"/>
      <c r="AR281" s="629"/>
      <c r="AS281" s="629"/>
      <c r="AT281" s="629"/>
      <c r="AU281" s="629"/>
      <c r="AV281" s="629"/>
      <c r="AW281" s="630"/>
      <c r="AZ281" s="489"/>
      <c r="BA281" s="631"/>
      <c r="BB281" s="491"/>
      <c r="BC281" s="491"/>
      <c r="BD281" s="491"/>
      <c r="BE281" s="491"/>
      <c r="BF281" s="491"/>
      <c r="BG281" s="491"/>
      <c r="BH281" s="491"/>
      <c r="BI281" s="491"/>
      <c r="BJ281" s="491"/>
      <c r="BL281" s="491"/>
      <c r="BM281" s="491"/>
      <c r="BN281" s="491"/>
      <c r="BO281" s="491"/>
      <c r="BP281" s="622"/>
      <c r="BQ281" s="274"/>
    </row>
    <row r="282" spans="2:69">
      <c r="B282" s="96"/>
      <c r="C282" s="96"/>
      <c r="D282" s="184"/>
      <c r="E282" s="179"/>
      <c r="F282" s="87"/>
      <c r="G282" s="87"/>
      <c r="H282" s="185"/>
      <c r="I282" s="184"/>
      <c r="J282" s="184"/>
      <c r="K282" s="184"/>
      <c r="L282" s="296"/>
      <c r="N282" s="1053"/>
      <c r="O282" s="489"/>
      <c r="P282" s="489"/>
      <c r="T282" s="626"/>
      <c r="U282" s="489"/>
      <c r="V282" s="483"/>
      <c r="W282" s="627"/>
      <c r="X282" s="628"/>
      <c r="Y282" s="489"/>
      <c r="Z282" s="629"/>
      <c r="AA282" s="626"/>
      <c r="AB282" s="481"/>
      <c r="AC282" s="1388"/>
      <c r="AD282" s="482"/>
      <c r="AE282" s="482"/>
      <c r="AF282" s="482"/>
      <c r="AG282" s="482"/>
      <c r="AH282" s="482"/>
      <c r="AI282" s="482"/>
      <c r="AJ282" s="482"/>
      <c r="AK282" s="482"/>
      <c r="AL282" s="482"/>
      <c r="AM282" s="482"/>
      <c r="AN282" s="483"/>
      <c r="AO282" s="483"/>
      <c r="AP282" s="484"/>
      <c r="AQ282" s="484"/>
      <c r="AR282" s="629"/>
      <c r="AS282" s="629"/>
      <c r="AT282" s="629"/>
      <c r="AU282" s="629"/>
      <c r="AV282" s="629"/>
      <c r="AW282" s="630"/>
      <c r="AZ282" s="489"/>
      <c r="BA282" s="631"/>
      <c r="BB282" s="491"/>
      <c r="BC282" s="491"/>
      <c r="BD282" s="491"/>
      <c r="BE282" s="491"/>
      <c r="BF282" s="491"/>
      <c r="BG282" s="491"/>
      <c r="BH282" s="491"/>
      <c r="BI282" s="491"/>
      <c r="BJ282" s="491"/>
      <c r="BL282" s="491"/>
      <c r="BM282" s="491"/>
      <c r="BN282" s="491"/>
      <c r="BO282" s="491"/>
      <c r="BP282" s="622"/>
      <c r="BQ282" s="274"/>
    </row>
    <row r="283" spans="2:69">
      <c r="B283" s="96"/>
      <c r="C283" s="96"/>
      <c r="D283" s="184"/>
      <c r="E283" s="179"/>
      <c r="F283" s="87"/>
      <c r="G283" s="87"/>
      <c r="H283" s="185"/>
      <c r="I283" s="184"/>
      <c r="J283" s="184"/>
      <c r="K283" s="184"/>
      <c r="L283" s="296"/>
      <c r="N283" s="1053"/>
      <c r="O283" s="489"/>
      <c r="P283" s="489"/>
      <c r="T283" s="626"/>
      <c r="U283" s="489"/>
      <c r="V283" s="483"/>
      <c r="W283" s="627"/>
      <c r="X283" s="628"/>
      <c r="Y283" s="489"/>
      <c r="Z283" s="629"/>
      <c r="AA283" s="626"/>
      <c r="AB283" s="481"/>
      <c r="AC283" s="1388"/>
      <c r="AD283" s="482"/>
      <c r="AE283" s="482"/>
      <c r="AF283" s="482"/>
      <c r="AG283" s="482"/>
      <c r="AH283" s="482"/>
      <c r="AI283" s="482"/>
      <c r="AJ283" s="482"/>
      <c r="AK283" s="482"/>
      <c r="AL283" s="482"/>
      <c r="AM283" s="482"/>
      <c r="AN283" s="483"/>
      <c r="AO283" s="483"/>
      <c r="AP283" s="484"/>
      <c r="AQ283" s="484"/>
      <c r="AR283" s="629"/>
      <c r="AS283" s="629"/>
      <c r="AT283" s="629"/>
      <c r="AU283" s="629"/>
      <c r="AV283" s="629"/>
      <c r="AW283" s="630"/>
      <c r="AZ283" s="489"/>
      <c r="BA283" s="631"/>
      <c r="BB283" s="491"/>
      <c r="BC283" s="491"/>
      <c r="BD283" s="491"/>
      <c r="BE283" s="491"/>
      <c r="BF283" s="491"/>
      <c r="BG283" s="491"/>
      <c r="BH283" s="491"/>
      <c r="BI283" s="491"/>
      <c r="BJ283" s="491"/>
      <c r="BL283" s="491"/>
      <c r="BM283" s="491"/>
      <c r="BN283" s="491"/>
      <c r="BO283" s="491"/>
      <c r="BP283" s="622"/>
      <c r="BQ283" s="274"/>
    </row>
    <row r="284" spans="2:69">
      <c r="B284" s="96"/>
      <c r="C284" s="96"/>
      <c r="D284" s="184"/>
      <c r="E284" s="179"/>
      <c r="F284" s="87"/>
      <c r="G284" s="87"/>
      <c r="H284" s="185"/>
      <c r="I284" s="184"/>
      <c r="J284" s="184"/>
      <c r="K284" s="184"/>
      <c r="L284" s="296"/>
      <c r="N284" s="1053"/>
      <c r="O284" s="489"/>
      <c r="P284" s="489"/>
      <c r="T284" s="626"/>
      <c r="U284" s="489"/>
      <c r="V284" s="483"/>
      <c r="W284" s="627"/>
      <c r="X284" s="628"/>
      <c r="Y284" s="489"/>
      <c r="Z284" s="629"/>
      <c r="AA284" s="626"/>
      <c r="AB284" s="481"/>
      <c r="AC284" s="1388"/>
      <c r="AD284" s="482"/>
      <c r="AE284" s="482"/>
      <c r="AF284" s="482"/>
      <c r="AG284" s="482"/>
      <c r="AH284" s="482"/>
      <c r="AI284" s="482"/>
      <c r="AJ284" s="482"/>
      <c r="AK284" s="482"/>
      <c r="AL284" s="482"/>
      <c r="AM284" s="482"/>
      <c r="AN284" s="483"/>
      <c r="AO284" s="483"/>
      <c r="AP284" s="484"/>
      <c r="AQ284" s="484"/>
      <c r="AR284" s="629"/>
      <c r="AS284" s="629"/>
      <c r="AT284" s="629"/>
      <c r="AU284" s="629"/>
      <c r="AV284" s="629"/>
      <c r="AW284" s="630"/>
      <c r="AZ284" s="489"/>
      <c r="BA284" s="631"/>
      <c r="BB284" s="491"/>
      <c r="BC284" s="491"/>
      <c r="BD284" s="491"/>
      <c r="BE284" s="491"/>
      <c r="BF284" s="491"/>
      <c r="BG284" s="491"/>
      <c r="BH284" s="491"/>
      <c r="BI284" s="491"/>
      <c r="BJ284" s="491"/>
      <c r="BL284" s="491"/>
      <c r="BM284" s="491"/>
      <c r="BN284" s="491"/>
      <c r="BO284" s="491"/>
      <c r="BP284" s="622"/>
      <c r="BQ284" s="274"/>
    </row>
    <row r="285" spans="2:69">
      <c r="B285" s="96"/>
      <c r="C285" s="96"/>
      <c r="D285" s="184"/>
      <c r="E285" s="179"/>
      <c r="F285" s="87"/>
      <c r="G285" s="87"/>
      <c r="H285" s="185"/>
      <c r="I285" s="184"/>
      <c r="J285" s="184"/>
      <c r="K285" s="184"/>
      <c r="L285" s="296"/>
      <c r="N285" s="1053"/>
      <c r="O285" s="489"/>
      <c r="P285" s="489"/>
      <c r="T285" s="626"/>
      <c r="U285" s="489"/>
      <c r="V285" s="483"/>
      <c r="W285" s="627"/>
      <c r="X285" s="628"/>
      <c r="Y285" s="489"/>
      <c r="Z285" s="629"/>
      <c r="AA285" s="626"/>
      <c r="AB285" s="481"/>
      <c r="AC285" s="1388"/>
      <c r="AD285" s="482"/>
      <c r="AE285" s="482"/>
      <c r="AF285" s="482"/>
      <c r="AG285" s="482"/>
      <c r="AH285" s="482"/>
      <c r="AI285" s="482"/>
      <c r="AJ285" s="482"/>
      <c r="AK285" s="482"/>
      <c r="AL285" s="482"/>
      <c r="AM285" s="482"/>
      <c r="AN285" s="483"/>
      <c r="AO285" s="483"/>
      <c r="AP285" s="484"/>
      <c r="AQ285" s="484"/>
      <c r="AR285" s="629"/>
      <c r="AS285" s="629"/>
      <c r="AT285" s="629"/>
      <c r="AU285" s="629"/>
      <c r="AV285" s="629"/>
      <c r="AW285" s="630"/>
      <c r="AZ285" s="489"/>
      <c r="BA285" s="631"/>
      <c r="BB285" s="491"/>
      <c r="BC285" s="491"/>
      <c r="BD285" s="491"/>
      <c r="BE285" s="491"/>
      <c r="BF285" s="491"/>
      <c r="BG285" s="491"/>
      <c r="BH285" s="491"/>
      <c r="BI285" s="491"/>
      <c r="BJ285" s="491"/>
      <c r="BL285" s="491"/>
      <c r="BM285" s="491"/>
      <c r="BN285" s="491"/>
      <c r="BO285" s="491"/>
      <c r="BP285" s="622"/>
      <c r="BQ285" s="274"/>
    </row>
    <row r="286" spans="2:69">
      <c r="B286" s="96"/>
      <c r="C286" s="96"/>
      <c r="D286" s="184"/>
      <c r="E286" s="179"/>
      <c r="F286" s="87"/>
      <c r="G286" s="87"/>
      <c r="H286" s="185"/>
      <c r="I286" s="184"/>
      <c r="J286" s="184"/>
      <c r="K286" s="184"/>
      <c r="L286" s="296"/>
      <c r="N286" s="1053"/>
      <c r="O286" s="489"/>
      <c r="P286" s="489"/>
      <c r="T286" s="626"/>
      <c r="U286" s="489"/>
      <c r="V286" s="483"/>
      <c r="W286" s="627"/>
      <c r="X286" s="628"/>
      <c r="Y286" s="489"/>
      <c r="Z286" s="629"/>
      <c r="AA286" s="626"/>
      <c r="AB286" s="481"/>
      <c r="AC286" s="1388"/>
      <c r="AD286" s="482"/>
      <c r="AE286" s="482"/>
      <c r="AF286" s="482"/>
      <c r="AG286" s="482"/>
      <c r="AH286" s="482"/>
      <c r="AI286" s="482"/>
      <c r="AJ286" s="482"/>
      <c r="AK286" s="482"/>
      <c r="AL286" s="482"/>
      <c r="AM286" s="482"/>
      <c r="AN286" s="483"/>
      <c r="AO286" s="483"/>
      <c r="AP286" s="484"/>
      <c r="AQ286" s="484"/>
      <c r="AR286" s="629"/>
      <c r="AS286" s="629"/>
      <c r="AT286" s="629"/>
      <c r="AU286" s="629"/>
      <c r="AV286" s="629"/>
      <c r="AW286" s="630"/>
      <c r="AZ286" s="489"/>
      <c r="BA286" s="631"/>
      <c r="BB286" s="491"/>
      <c r="BC286" s="491"/>
      <c r="BD286" s="491"/>
      <c r="BE286" s="491"/>
      <c r="BF286" s="491"/>
      <c r="BG286" s="491"/>
      <c r="BH286" s="491"/>
      <c r="BI286" s="491"/>
      <c r="BJ286" s="491"/>
      <c r="BL286" s="491"/>
      <c r="BM286" s="491"/>
      <c r="BN286" s="491"/>
      <c r="BO286" s="491"/>
      <c r="BP286" s="622"/>
      <c r="BQ286" s="274"/>
    </row>
    <row r="287" spans="2:69">
      <c r="B287" s="96"/>
      <c r="C287" s="96"/>
      <c r="D287" s="184"/>
      <c r="E287" s="179"/>
      <c r="F287" s="87"/>
      <c r="G287" s="87"/>
      <c r="H287" s="185"/>
      <c r="I287" s="184"/>
      <c r="J287" s="184"/>
      <c r="K287" s="184"/>
      <c r="L287" s="296"/>
      <c r="N287" s="1053"/>
      <c r="O287" s="489"/>
      <c r="P287" s="489"/>
      <c r="T287" s="626"/>
      <c r="U287" s="489"/>
      <c r="V287" s="483"/>
      <c r="W287" s="627"/>
      <c r="X287" s="628"/>
      <c r="Y287" s="489"/>
      <c r="Z287" s="629"/>
      <c r="AA287" s="626"/>
      <c r="AB287" s="481"/>
      <c r="AC287" s="1388"/>
      <c r="AD287" s="482"/>
      <c r="AE287" s="482"/>
      <c r="AF287" s="482"/>
      <c r="AG287" s="482"/>
      <c r="AH287" s="482"/>
      <c r="AI287" s="482"/>
      <c r="AJ287" s="482"/>
      <c r="AK287" s="482"/>
      <c r="AL287" s="482"/>
      <c r="AM287" s="482"/>
      <c r="AN287" s="483"/>
      <c r="AO287" s="483"/>
      <c r="AP287" s="484"/>
      <c r="AQ287" s="484"/>
      <c r="AR287" s="629"/>
      <c r="AS287" s="629"/>
      <c r="AT287" s="629"/>
      <c r="AU287" s="629"/>
      <c r="AV287" s="629"/>
      <c r="AW287" s="630"/>
      <c r="AZ287" s="489"/>
      <c r="BA287" s="631"/>
      <c r="BB287" s="491"/>
      <c r="BC287" s="491"/>
      <c r="BD287" s="491"/>
      <c r="BE287" s="491"/>
      <c r="BF287" s="491"/>
      <c r="BG287" s="491"/>
      <c r="BH287" s="491"/>
      <c r="BI287" s="491"/>
      <c r="BJ287" s="491"/>
      <c r="BL287" s="491"/>
      <c r="BM287" s="491"/>
      <c r="BN287" s="491"/>
      <c r="BO287" s="491"/>
      <c r="BP287" s="622"/>
      <c r="BQ287" s="274"/>
    </row>
    <row r="288" spans="2:69">
      <c r="B288" s="96"/>
      <c r="C288" s="96"/>
      <c r="D288" s="184"/>
      <c r="E288" s="179"/>
      <c r="F288" s="87"/>
      <c r="G288" s="87"/>
      <c r="H288" s="185"/>
      <c r="I288" s="184"/>
      <c r="J288" s="184"/>
      <c r="K288" s="184"/>
      <c r="L288" s="296"/>
      <c r="N288" s="1053"/>
      <c r="O288" s="489"/>
      <c r="P288" s="489"/>
      <c r="T288" s="626"/>
      <c r="U288" s="489"/>
      <c r="V288" s="483"/>
      <c r="W288" s="627"/>
      <c r="X288" s="628"/>
      <c r="Y288" s="489"/>
      <c r="Z288" s="629"/>
      <c r="AA288" s="626"/>
      <c r="AB288" s="481"/>
      <c r="AC288" s="1388"/>
      <c r="AD288" s="482"/>
      <c r="AE288" s="482"/>
      <c r="AF288" s="482"/>
      <c r="AG288" s="482"/>
      <c r="AH288" s="482"/>
      <c r="AI288" s="482"/>
      <c r="AJ288" s="482"/>
      <c r="AK288" s="482"/>
      <c r="AL288" s="482"/>
      <c r="AM288" s="482"/>
      <c r="AN288" s="483"/>
      <c r="AO288" s="483"/>
      <c r="AP288" s="484"/>
      <c r="AQ288" s="484"/>
      <c r="AR288" s="629"/>
      <c r="AS288" s="629"/>
      <c r="AT288" s="629"/>
      <c r="AU288" s="629"/>
      <c r="AV288" s="629"/>
      <c r="AW288" s="630"/>
      <c r="AZ288" s="489"/>
      <c r="BA288" s="631"/>
      <c r="BB288" s="491"/>
      <c r="BC288" s="491"/>
      <c r="BD288" s="491"/>
      <c r="BE288" s="491"/>
      <c r="BF288" s="491"/>
      <c r="BG288" s="491"/>
      <c r="BH288" s="491"/>
      <c r="BI288" s="491"/>
      <c r="BJ288" s="491"/>
      <c r="BL288" s="491"/>
      <c r="BM288" s="491"/>
      <c r="BN288" s="491"/>
      <c r="BO288" s="491"/>
      <c r="BP288" s="622"/>
      <c r="BQ288" s="274"/>
    </row>
    <row r="289" spans="2:69">
      <c r="B289" s="96"/>
      <c r="C289" s="96"/>
      <c r="D289" s="184"/>
      <c r="E289" s="179"/>
      <c r="F289" s="87"/>
      <c r="G289" s="87"/>
      <c r="H289" s="185"/>
      <c r="I289" s="184"/>
      <c r="J289" s="184"/>
      <c r="K289" s="184"/>
      <c r="L289" s="296"/>
      <c r="N289" s="1053"/>
      <c r="O289" s="489"/>
      <c r="P289" s="489"/>
      <c r="T289" s="626"/>
      <c r="U289" s="489"/>
      <c r="V289" s="483"/>
      <c r="W289" s="627"/>
      <c r="X289" s="628"/>
      <c r="Y289" s="489"/>
      <c r="Z289" s="629"/>
      <c r="AA289" s="626"/>
      <c r="AB289" s="481"/>
      <c r="AC289" s="1388"/>
      <c r="AD289" s="482"/>
      <c r="AE289" s="482"/>
      <c r="AF289" s="482"/>
      <c r="AG289" s="482"/>
      <c r="AH289" s="482"/>
      <c r="AI289" s="482"/>
      <c r="AJ289" s="482"/>
      <c r="AK289" s="482"/>
      <c r="AL289" s="482"/>
      <c r="AM289" s="482"/>
      <c r="AN289" s="483"/>
      <c r="AO289" s="483"/>
      <c r="AP289" s="484"/>
      <c r="AQ289" s="484"/>
      <c r="AR289" s="629"/>
      <c r="AS289" s="629"/>
      <c r="AT289" s="629"/>
      <c r="AU289" s="629"/>
      <c r="AV289" s="629"/>
      <c r="AW289" s="630"/>
      <c r="AZ289" s="489"/>
      <c r="BA289" s="631"/>
      <c r="BB289" s="491"/>
      <c r="BC289" s="491"/>
      <c r="BD289" s="491"/>
      <c r="BE289" s="491"/>
      <c r="BF289" s="491"/>
      <c r="BG289" s="491"/>
      <c r="BH289" s="491"/>
      <c r="BI289" s="491"/>
      <c r="BJ289" s="491"/>
      <c r="BL289" s="491"/>
      <c r="BM289" s="491"/>
      <c r="BN289" s="491"/>
      <c r="BO289" s="491"/>
      <c r="BP289" s="622"/>
      <c r="BQ289" s="274"/>
    </row>
    <row r="290" spans="2:69">
      <c r="B290" s="96"/>
      <c r="C290" s="96"/>
      <c r="D290" s="184"/>
      <c r="E290" s="179"/>
      <c r="F290" s="87"/>
      <c r="G290" s="87"/>
      <c r="H290" s="185"/>
      <c r="I290" s="184"/>
      <c r="J290" s="184"/>
      <c r="K290" s="184"/>
      <c r="L290" s="296"/>
      <c r="N290" s="1053"/>
      <c r="O290" s="489"/>
      <c r="P290" s="489"/>
      <c r="T290" s="626"/>
      <c r="U290" s="489"/>
      <c r="V290" s="483"/>
      <c r="W290" s="627"/>
      <c r="X290" s="628"/>
      <c r="Y290" s="489"/>
      <c r="Z290" s="629"/>
      <c r="AA290" s="626"/>
      <c r="AB290" s="481"/>
      <c r="AC290" s="1388"/>
      <c r="AD290" s="482"/>
      <c r="AE290" s="482"/>
      <c r="AF290" s="482"/>
      <c r="AG290" s="482"/>
      <c r="AH290" s="482"/>
      <c r="AI290" s="482"/>
      <c r="AJ290" s="482"/>
      <c r="AK290" s="482"/>
      <c r="AL290" s="482"/>
      <c r="AM290" s="482"/>
      <c r="AN290" s="483"/>
      <c r="AO290" s="483"/>
      <c r="AP290" s="484"/>
      <c r="AQ290" s="484"/>
      <c r="AR290" s="629"/>
      <c r="AS290" s="629"/>
      <c r="AT290" s="629"/>
      <c r="AU290" s="629"/>
      <c r="AV290" s="629"/>
      <c r="AW290" s="630"/>
      <c r="AZ290" s="489"/>
      <c r="BA290" s="631"/>
      <c r="BB290" s="491"/>
      <c r="BC290" s="491"/>
      <c r="BD290" s="491"/>
      <c r="BE290" s="491"/>
      <c r="BF290" s="491"/>
      <c r="BG290" s="491"/>
      <c r="BH290" s="491"/>
      <c r="BI290" s="491"/>
      <c r="BJ290" s="491"/>
      <c r="BL290" s="491"/>
      <c r="BM290" s="491"/>
      <c r="BN290" s="491"/>
      <c r="BO290" s="491"/>
      <c r="BP290" s="622"/>
      <c r="BQ290" s="274"/>
    </row>
    <row r="291" spans="2:69">
      <c r="B291" s="96"/>
      <c r="C291" s="96"/>
      <c r="D291" s="184"/>
      <c r="E291" s="179"/>
      <c r="F291" s="87"/>
      <c r="G291" s="87"/>
      <c r="H291" s="185"/>
      <c r="I291" s="184"/>
      <c r="J291" s="184"/>
      <c r="K291" s="184"/>
      <c r="L291" s="296"/>
      <c r="N291" s="1053"/>
      <c r="O291" s="489"/>
      <c r="P291" s="489"/>
      <c r="T291" s="626"/>
      <c r="U291" s="489"/>
      <c r="V291" s="483"/>
      <c r="W291" s="627"/>
      <c r="X291" s="628"/>
      <c r="Y291" s="489"/>
      <c r="Z291" s="629"/>
      <c r="AA291" s="626"/>
      <c r="AB291" s="481"/>
      <c r="AC291" s="1388"/>
      <c r="AD291" s="482"/>
      <c r="AE291" s="482"/>
      <c r="AF291" s="482"/>
      <c r="AG291" s="482"/>
      <c r="AH291" s="482"/>
      <c r="AI291" s="482"/>
      <c r="AJ291" s="482"/>
      <c r="AK291" s="482"/>
      <c r="AL291" s="482"/>
      <c r="AM291" s="482"/>
      <c r="AN291" s="483"/>
      <c r="AO291" s="483"/>
      <c r="AP291" s="484"/>
      <c r="AQ291" s="484"/>
      <c r="AR291" s="629"/>
      <c r="AS291" s="629"/>
      <c r="AT291" s="629"/>
      <c r="AU291" s="629"/>
      <c r="AV291" s="629"/>
      <c r="AW291" s="630"/>
      <c r="AZ291" s="489"/>
      <c r="BA291" s="631"/>
      <c r="BB291" s="491"/>
      <c r="BC291" s="491"/>
      <c r="BD291" s="491"/>
      <c r="BE291" s="491"/>
      <c r="BF291" s="491"/>
      <c r="BG291" s="491"/>
      <c r="BH291" s="491"/>
      <c r="BI291" s="491"/>
      <c r="BJ291" s="491"/>
      <c r="BL291" s="491"/>
      <c r="BM291" s="491"/>
      <c r="BN291" s="491"/>
      <c r="BO291" s="491"/>
      <c r="BP291" s="622"/>
      <c r="BQ291" s="274"/>
    </row>
    <row r="292" spans="2:69">
      <c r="B292" s="96"/>
      <c r="C292" s="96"/>
      <c r="D292" s="184"/>
      <c r="E292" s="179"/>
      <c r="F292" s="87"/>
      <c r="G292" s="87"/>
      <c r="H292" s="185"/>
      <c r="I292" s="184"/>
      <c r="J292" s="184"/>
      <c r="K292" s="184"/>
      <c r="L292" s="296"/>
      <c r="N292" s="1053"/>
      <c r="O292" s="489"/>
      <c r="P292" s="489"/>
      <c r="T292" s="626"/>
      <c r="U292" s="489"/>
      <c r="V292" s="483"/>
      <c r="W292" s="627"/>
      <c r="X292" s="628"/>
      <c r="Y292" s="489"/>
      <c r="Z292" s="629"/>
      <c r="AA292" s="626"/>
      <c r="AB292" s="481"/>
      <c r="AC292" s="1388"/>
      <c r="AD292" s="482"/>
      <c r="AE292" s="482"/>
      <c r="AF292" s="482"/>
      <c r="AG292" s="482"/>
      <c r="AH292" s="482"/>
      <c r="AI292" s="482"/>
      <c r="AJ292" s="482"/>
      <c r="AK292" s="482"/>
      <c r="AL292" s="482"/>
      <c r="AM292" s="482"/>
      <c r="AN292" s="483"/>
      <c r="AO292" s="483"/>
      <c r="AP292" s="484"/>
      <c r="AQ292" s="484"/>
      <c r="AR292" s="629"/>
      <c r="AS292" s="629"/>
      <c r="AT292" s="629"/>
      <c r="AU292" s="629"/>
      <c r="AV292" s="629"/>
      <c r="AW292" s="630"/>
      <c r="AZ292" s="489"/>
      <c r="BA292" s="631"/>
      <c r="BB292" s="491"/>
      <c r="BC292" s="491"/>
      <c r="BD292" s="491"/>
      <c r="BE292" s="491"/>
      <c r="BF292" s="491"/>
      <c r="BG292" s="491"/>
      <c r="BH292" s="491"/>
      <c r="BI292" s="491"/>
      <c r="BJ292" s="491"/>
      <c r="BL292" s="491"/>
      <c r="BM292" s="491"/>
      <c r="BN292" s="491"/>
      <c r="BO292" s="491"/>
      <c r="BP292" s="622"/>
      <c r="BQ292" s="274"/>
    </row>
    <row r="293" spans="2:69">
      <c r="B293" s="96"/>
      <c r="C293" s="96"/>
      <c r="D293" s="184"/>
      <c r="E293" s="179"/>
      <c r="F293" s="87"/>
      <c r="G293" s="87"/>
      <c r="H293" s="185"/>
      <c r="I293" s="184"/>
      <c r="J293" s="184"/>
      <c r="K293" s="184"/>
      <c r="L293" s="296"/>
      <c r="N293" s="1053"/>
      <c r="O293" s="489"/>
      <c r="P293" s="489"/>
      <c r="T293" s="626"/>
      <c r="U293" s="489"/>
      <c r="V293" s="483"/>
      <c r="W293" s="627"/>
      <c r="X293" s="628"/>
      <c r="Y293" s="489"/>
      <c r="Z293" s="629"/>
      <c r="AA293" s="626"/>
      <c r="AB293" s="481"/>
      <c r="AC293" s="1388"/>
      <c r="AD293" s="482"/>
      <c r="AE293" s="482"/>
      <c r="AF293" s="482"/>
      <c r="AG293" s="482"/>
      <c r="AH293" s="482"/>
      <c r="AI293" s="482"/>
      <c r="AJ293" s="482"/>
      <c r="AK293" s="482"/>
      <c r="AL293" s="482"/>
      <c r="AM293" s="482"/>
      <c r="AN293" s="483"/>
      <c r="AO293" s="483"/>
      <c r="AP293" s="484"/>
      <c r="AQ293" s="484"/>
      <c r="AR293" s="629"/>
      <c r="AS293" s="629"/>
      <c r="AT293" s="629"/>
      <c r="AU293" s="629"/>
      <c r="AV293" s="629"/>
      <c r="AW293" s="630"/>
      <c r="AZ293" s="489"/>
      <c r="BA293" s="631"/>
      <c r="BB293" s="491"/>
      <c r="BC293" s="491"/>
      <c r="BD293" s="491"/>
      <c r="BE293" s="491"/>
      <c r="BF293" s="491"/>
      <c r="BG293" s="491"/>
      <c r="BH293" s="491"/>
      <c r="BI293" s="491"/>
      <c r="BJ293" s="491"/>
      <c r="BL293" s="491"/>
      <c r="BM293" s="491"/>
      <c r="BN293" s="491"/>
      <c r="BO293" s="491"/>
      <c r="BP293" s="622"/>
      <c r="BQ293" s="274"/>
    </row>
    <row r="294" spans="2:69">
      <c r="B294" s="96"/>
      <c r="C294" s="96"/>
      <c r="D294" s="184"/>
      <c r="E294" s="179"/>
      <c r="F294" s="87"/>
      <c r="G294" s="87"/>
      <c r="H294" s="185"/>
      <c r="I294" s="184"/>
      <c r="J294" s="184"/>
      <c r="K294" s="184"/>
      <c r="L294" s="296"/>
      <c r="N294" s="1053"/>
      <c r="O294" s="489"/>
      <c r="P294" s="489"/>
      <c r="T294" s="626"/>
      <c r="U294" s="489"/>
      <c r="V294" s="483"/>
      <c r="W294" s="627"/>
      <c r="X294" s="628"/>
      <c r="Y294" s="489"/>
      <c r="Z294" s="629"/>
      <c r="AA294" s="626"/>
      <c r="AB294" s="481"/>
      <c r="AC294" s="1388"/>
      <c r="AD294" s="482"/>
      <c r="AE294" s="482"/>
      <c r="AF294" s="482"/>
      <c r="AG294" s="482"/>
      <c r="AH294" s="482"/>
      <c r="AI294" s="482"/>
      <c r="AJ294" s="482"/>
      <c r="AK294" s="482"/>
      <c r="AL294" s="482"/>
      <c r="AM294" s="482"/>
      <c r="AN294" s="483"/>
      <c r="AO294" s="483"/>
      <c r="AP294" s="484"/>
      <c r="AQ294" s="484"/>
      <c r="AR294" s="629"/>
      <c r="AS294" s="629"/>
      <c r="AT294" s="629"/>
      <c r="AU294" s="629"/>
      <c r="AV294" s="629"/>
      <c r="AW294" s="630"/>
      <c r="AZ294" s="489"/>
      <c r="BA294" s="631"/>
      <c r="BB294" s="491"/>
      <c r="BC294" s="491"/>
      <c r="BD294" s="491"/>
      <c r="BE294" s="491"/>
      <c r="BF294" s="491"/>
      <c r="BG294" s="491"/>
      <c r="BH294" s="491"/>
      <c r="BI294" s="491"/>
      <c r="BJ294" s="491"/>
      <c r="BL294" s="491"/>
      <c r="BM294" s="491"/>
      <c r="BN294" s="491"/>
      <c r="BO294" s="491"/>
      <c r="BP294" s="622"/>
      <c r="BQ294" s="274"/>
    </row>
    <row r="295" spans="2:69">
      <c r="B295" s="96"/>
      <c r="C295" s="96"/>
      <c r="D295" s="184"/>
      <c r="E295" s="179"/>
      <c r="F295" s="87"/>
      <c r="G295" s="87"/>
      <c r="H295" s="185"/>
      <c r="I295" s="184"/>
      <c r="J295" s="184"/>
      <c r="K295" s="184"/>
      <c r="L295" s="296"/>
      <c r="N295" s="1053"/>
      <c r="O295" s="489"/>
      <c r="P295" s="489"/>
      <c r="T295" s="626"/>
      <c r="U295" s="489"/>
      <c r="V295" s="483"/>
      <c r="W295" s="627"/>
      <c r="X295" s="628"/>
      <c r="Y295" s="489"/>
      <c r="Z295" s="629"/>
      <c r="AA295" s="626"/>
      <c r="AB295" s="481"/>
      <c r="AC295" s="1388"/>
      <c r="AD295" s="482"/>
      <c r="AE295" s="482"/>
      <c r="AF295" s="482"/>
      <c r="AG295" s="482"/>
      <c r="AH295" s="482"/>
      <c r="AI295" s="482"/>
      <c r="AJ295" s="482"/>
      <c r="AK295" s="482"/>
      <c r="AL295" s="482"/>
      <c r="AM295" s="482"/>
      <c r="AN295" s="483"/>
      <c r="AO295" s="483"/>
      <c r="AP295" s="484"/>
      <c r="AQ295" s="484"/>
      <c r="AR295" s="629"/>
      <c r="AS295" s="629"/>
      <c r="AT295" s="629"/>
      <c r="AU295" s="629"/>
      <c r="AV295" s="629"/>
      <c r="AW295" s="630"/>
      <c r="AZ295" s="489"/>
      <c r="BA295" s="631"/>
      <c r="BB295" s="491"/>
      <c r="BC295" s="491"/>
      <c r="BD295" s="491"/>
      <c r="BE295" s="491"/>
      <c r="BF295" s="491"/>
      <c r="BG295" s="491"/>
      <c r="BH295" s="491"/>
      <c r="BI295" s="491"/>
      <c r="BJ295" s="491"/>
      <c r="BL295" s="491"/>
      <c r="BM295" s="491"/>
      <c r="BN295" s="491"/>
      <c r="BO295" s="491"/>
      <c r="BP295" s="622"/>
      <c r="BQ295" s="274"/>
    </row>
    <row r="296" spans="2:69">
      <c r="B296" s="96"/>
      <c r="C296" s="96"/>
      <c r="D296" s="184"/>
      <c r="E296" s="179"/>
      <c r="F296" s="87"/>
      <c r="G296" s="87"/>
      <c r="H296" s="185"/>
      <c r="I296" s="184"/>
      <c r="J296" s="184"/>
      <c r="K296" s="184"/>
      <c r="L296" s="296"/>
      <c r="N296" s="1053"/>
      <c r="O296" s="489"/>
      <c r="P296" s="489"/>
      <c r="T296" s="626"/>
      <c r="U296" s="489"/>
      <c r="V296" s="483"/>
      <c r="W296" s="627"/>
      <c r="X296" s="628"/>
      <c r="Y296" s="489"/>
      <c r="Z296" s="629"/>
      <c r="AA296" s="626"/>
      <c r="AB296" s="481"/>
      <c r="AC296" s="1388"/>
      <c r="AD296" s="482"/>
      <c r="AE296" s="482"/>
      <c r="AF296" s="482"/>
      <c r="AG296" s="482"/>
      <c r="AH296" s="482"/>
      <c r="AI296" s="482"/>
      <c r="AJ296" s="482"/>
      <c r="AK296" s="482"/>
      <c r="AL296" s="482"/>
      <c r="AM296" s="482"/>
      <c r="AN296" s="483"/>
      <c r="AO296" s="483"/>
      <c r="AP296" s="484"/>
      <c r="AQ296" s="484"/>
      <c r="AR296" s="629"/>
      <c r="AS296" s="629"/>
      <c r="AT296" s="629"/>
      <c r="AU296" s="629"/>
      <c r="AV296" s="629"/>
      <c r="AW296" s="630"/>
      <c r="AZ296" s="489"/>
      <c r="BA296" s="631"/>
      <c r="BB296" s="491"/>
      <c r="BC296" s="491"/>
      <c r="BD296" s="491"/>
      <c r="BE296" s="491"/>
      <c r="BF296" s="491"/>
      <c r="BG296" s="491"/>
      <c r="BH296" s="491"/>
      <c r="BI296" s="491"/>
      <c r="BJ296" s="491"/>
      <c r="BL296" s="491"/>
      <c r="BM296" s="491"/>
      <c r="BN296" s="491"/>
      <c r="BO296" s="491"/>
      <c r="BP296" s="622"/>
      <c r="BQ296" s="274"/>
    </row>
    <row r="297" spans="2:69">
      <c r="B297" s="96"/>
      <c r="C297" s="96"/>
      <c r="D297" s="184"/>
      <c r="E297" s="179"/>
      <c r="F297" s="87"/>
      <c r="G297" s="87"/>
      <c r="H297" s="185"/>
      <c r="I297" s="184"/>
      <c r="J297" s="184"/>
      <c r="K297" s="184"/>
      <c r="L297" s="296"/>
      <c r="N297" s="1053"/>
      <c r="O297" s="489"/>
      <c r="P297" s="489"/>
      <c r="T297" s="626"/>
      <c r="U297" s="489"/>
      <c r="V297" s="483"/>
      <c r="W297" s="627"/>
      <c r="X297" s="628"/>
      <c r="Y297" s="489"/>
      <c r="Z297" s="629"/>
      <c r="AA297" s="626"/>
      <c r="AB297" s="481"/>
      <c r="AC297" s="1388"/>
      <c r="AD297" s="482"/>
      <c r="AE297" s="482"/>
      <c r="AF297" s="482"/>
      <c r="AG297" s="482"/>
      <c r="AH297" s="482"/>
      <c r="AI297" s="482"/>
      <c r="AJ297" s="482"/>
      <c r="AK297" s="482"/>
      <c r="AL297" s="482"/>
      <c r="AM297" s="482"/>
      <c r="AN297" s="483"/>
      <c r="AO297" s="483"/>
      <c r="AP297" s="484"/>
      <c r="AQ297" s="484"/>
      <c r="AR297" s="629"/>
      <c r="AS297" s="629"/>
      <c r="AT297" s="629"/>
      <c r="AU297" s="629"/>
      <c r="AV297" s="629"/>
      <c r="AW297" s="630"/>
      <c r="AZ297" s="489"/>
      <c r="BA297" s="631"/>
      <c r="BB297" s="491"/>
      <c r="BC297" s="491"/>
      <c r="BD297" s="491"/>
      <c r="BE297" s="491"/>
      <c r="BF297" s="491"/>
      <c r="BG297" s="491"/>
      <c r="BH297" s="491"/>
      <c r="BI297" s="491"/>
      <c r="BJ297" s="491"/>
      <c r="BL297" s="491"/>
      <c r="BM297" s="491"/>
      <c r="BN297" s="491"/>
      <c r="BO297" s="491"/>
      <c r="BP297" s="622"/>
      <c r="BQ297" s="274"/>
    </row>
    <row r="298" spans="2:69">
      <c r="B298" s="96"/>
      <c r="C298" s="96"/>
      <c r="D298" s="184"/>
      <c r="E298" s="179"/>
      <c r="F298" s="87"/>
      <c r="G298" s="87"/>
      <c r="H298" s="185"/>
      <c r="I298" s="184"/>
      <c r="J298" s="184"/>
      <c r="K298" s="184"/>
      <c r="L298" s="296"/>
      <c r="N298" s="1053"/>
      <c r="O298" s="489"/>
      <c r="P298" s="489"/>
      <c r="T298" s="626"/>
      <c r="U298" s="489"/>
      <c r="V298" s="483"/>
      <c r="W298" s="627"/>
      <c r="X298" s="628"/>
      <c r="Y298" s="489"/>
      <c r="Z298" s="629"/>
      <c r="AA298" s="626"/>
      <c r="AB298" s="481"/>
      <c r="AC298" s="1388"/>
      <c r="AD298" s="482"/>
      <c r="AE298" s="482"/>
      <c r="AF298" s="482"/>
      <c r="AG298" s="482"/>
      <c r="AH298" s="482"/>
      <c r="AI298" s="482"/>
      <c r="AJ298" s="482"/>
      <c r="AK298" s="482"/>
      <c r="AL298" s="482"/>
      <c r="AM298" s="482"/>
      <c r="AN298" s="483"/>
      <c r="AO298" s="483"/>
      <c r="AP298" s="484"/>
      <c r="AQ298" s="484"/>
      <c r="AR298" s="629"/>
      <c r="AS298" s="629"/>
      <c r="AT298" s="629"/>
      <c r="AU298" s="629"/>
      <c r="AV298" s="629"/>
      <c r="AW298" s="630"/>
      <c r="AZ298" s="489"/>
      <c r="BA298" s="631"/>
      <c r="BB298" s="491"/>
      <c r="BC298" s="491"/>
      <c r="BD298" s="491"/>
      <c r="BE298" s="491"/>
      <c r="BF298" s="491"/>
      <c r="BG298" s="491"/>
      <c r="BH298" s="491"/>
      <c r="BI298" s="491"/>
      <c r="BJ298" s="491"/>
      <c r="BL298" s="491"/>
      <c r="BM298" s="491"/>
      <c r="BN298" s="491"/>
      <c r="BO298" s="491"/>
      <c r="BP298" s="622"/>
      <c r="BQ298" s="274"/>
    </row>
    <row r="299" spans="2:69">
      <c r="B299" s="96"/>
      <c r="C299" s="96"/>
      <c r="D299" s="184"/>
      <c r="E299" s="179"/>
      <c r="F299" s="87"/>
      <c r="G299" s="87"/>
      <c r="H299" s="185"/>
      <c r="I299" s="184"/>
      <c r="J299" s="184"/>
      <c r="K299" s="184"/>
      <c r="L299" s="296"/>
      <c r="N299" s="1053"/>
      <c r="O299" s="489"/>
      <c r="P299" s="489"/>
      <c r="T299" s="626"/>
      <c r="U299" s="489"/>
      <c r="V299" s="483"/>
      <c r="W299" s="627"/>
      <c r="X299" s="628"/>
      <c r="Y299" s="489"/>
      <c r="Z299" s="629"/>
      <c r="AA299" s="626"/>
      <c r="AB299" s="481"/>
      <c r="AC299" s="1388"/>
      <c r="AD299" s="482"/>
      <c r="AE299" s="482"/>
      <c r="AF299" s="482"/>
      <c r="AG299" s="482"/>
      <c r="AH299" s="482"/>
      <c r="AI299" s="482"/>
      <c r="AJ299" s="482"/>
      <c r="AK299" s="482"/>
      <c r="AL299" s="482"/>
      <c r="AM299" s="482"/>
      <c r="AN299" s="483"/>
      <c r="AO299" s="483"/>
      <c r="AP299" s="484"/>
      <c r="AQ299" s="484"/>
      <c r="AR299" s="629"/>
      <c r="AS299" s="629"/>
      <c r="AT299" s="629"/>
      <c r="AU299" s="629"/>
      <c r="AV299" s="629"/>
      <c r="AW299" s="630"/>
      <c r="AZ299" s="489"/>
      <c r="BA299" s="631"/>
      <c r="BB299" s="491"/>
      <c r="BC299" s="491"/>
      <c r="BD299" s="491"/>
      <c r="BE299" s="491"/>
      <c r="BF299" s="491"/>
      <c r="BG299" s="491"/>
      <c r="BH299" s="491"/>
      <c r="BI299" s="491"/>
      <c r="BJ299" s="491"/>
      <c r="BL299" s="491"/>
      <c r="BM299" s="491"/>
      <c r="BN299" s="491"/>
      <c r="BO299" s="491"/>
      <c r="BP299" s="622"/>
      <c r="BQ299" s="274"/>
    </row>
    <row r="300" spans="2:69">
      <c r="B300" s="96"/>
      <c r="C300" s="96"/>
      <c r="D300" s="184"/>
      <c r="E300" s="179"/>
      <c r="F300" s="87"/>
      <c r="G300" s="87"/>
      <c r="H300" s="185"/>
      <c r="I300" s="184"/>
      <c r="J300" s="184"/>
      <c r="K300" s="184"/>
      <c r="L300" s="296"/>
      <c r="N300" s="1053"/>
      <c r="O300" s="489"/>
      <c r="P300" s="489"/>
      <c r="T300" s="626"/>
      <c r="U300" s="489"/>
      <c r="V300" s="483"/>
      <c r="W300" s="627"/>
      <c r="X300" s="628"/>
      <c r="Y300" s="489"/>
      <c r="Z300" s="629"/>
      <c r="AA300" s="626"/>
      <c r="AB300" s="481"/>
      <c r="AC300" s="1388"/>
      <c r="AD300" s="482"/>
      <c r="AE300" s="482"/>
      <c r="AF300" s="482"/>
      <c r="AG300" s="482"/>
      <c r="AH300" s="482"/>
      <c r="AI300" s="482"/>
      <c r="AJ300" s="482"/>
      <c r="AK300" s="482"/>
      <c r="AL300" s="482"/>
      <c r="AM300" s="482"/>
      <c r="AN300" s="483"/>
      <c r="AO300" s="483"/>
      <c r="AP300" s="484"/>
      <c r="AQ300" s="484"/>
      <c r="AR300" s="629"/>
      <c r="AS300" s="629"/>
      <c r="AT300" s="629"/>
      <c r="AU300" s="629"/>
      <c r="AV300" s="629"/>
      <c r="AW300" s="630"/>
      <c r="AZ300" s="489"/>
      <c r="BA300" s="631"/>
      <c r="BB300" s="491"/>
      <c r="BC300" s="491"/>
      <c r="BD300" s="491"/>
      <c r="BE300" s="491"/>
      <c r="BF300" s="491"/>
      <c r="BG300" s="491"/>
      <c r="BH300" s="491"/>
      <c r="BI300" s="491"/>
      <c r="BJ300" s="491"/>
      <c r="BL300" s="491"/>
      <c r="BM300" s="491"/>
      <c r="BN300" s="491"/>
      <c r="BO300" s="491"/>
      <c r="BP300" s="622"/>
      <c r="BQ300" s="274"/>
    </row>
    <row r="301" spans="2:69">
      <c r="B301" s="96"/>
      <c r="C301" s="96"/>
      <c r="D301" s="184"/>
      <c r="E301" s="179"/>
      <c r="F301" s="87"/>
      <c r="G301" s="87"/>
      <c r="H301" s="185"/>
      <c r="I301" s="184"/>
      <c r="J301" s="184"/>
      <c r="K301" s="184"/>
      <c r="L301" s="296"/>
      <c r="N301" s="1053"/>
      <c r="O301" s="489"/>
      <c r="P301" s="489"/>
      <c r="T301" s="626"/>
      <c r="U301" s="489"/>
      <c r="V301" s="483"/>
      <c r="W301" s="627"/>
      <c r="X301" s="628"/>
      <c r="Y301" s="489"/>
      <c r="Z301" s="629"/>
      <c r="AA301" s="626"/>
      <c r="AB301" s="481"/>
      <c r="AC301" s="1388"/>
      <c r="AD301" s="482"/>
      <c r="AE301" s="482"/>
      <c r="AF301" s="482"/>
      <c r="AG301" s="482"/>
      <c r="AH301" s="482"/>
      <c r="AI301" s="482"/>
      <c r="AJ301" s="482"/>
      <c r="AK301" s="482"/>
      <c r="AL301" s="482"/>
      <c r="AM301" s="482"/>
      <c r="AN301" s="483"/>
      <c r="AO301" s="483"/>
      <c r="AP301" s="484"/>
      <c r="AQ301" s="484"/>
      <c r="AR301" s="629"/>
      <c r="AS301" s="629"/>
      <c r="AT301" s="629"/>
      <c r="AU301" s="629"/>
      <c r="AV301" s="629"/>
      <c r="AW301" s="630"/>
      <c r="AZ301" s="489"/>
      <c r="BA301" s="631"/>
      <c r="BB301" s="491"/>
      <c r="BC301" s="491"/>
      <c r="BD301" s="491"/>
      <c r="BE301" s="491"/>
      <c r="BF301" s="491"/>
      <c r="BG301" s="491"/>
      <c r="BH301" s="491"/>
      <c r="BI301" s="491"/>
      <c r="BJ301" s="491"/>
      <c r="BL301" s="491"/>
      <c r="BM301" s="491"/>
      <c r="BN301" s="491"/>
      <c r="BO301" s="491"/>
      <c r="BP301" s="622"/>
      <c r="BQ301" s="274"/>
    </row>
    <row r="302" spans="2:69">
      <c r="B302" s="96"/>
      <c r="C302" s="96"/>
      <c r="D302" s="184"/>
      <c r="E302" s="179"/>
      <c r="F302" s="87"/>
      <c r="G302" s="87"/>
      <c r="H302" s="185"/>
      <c r="I302" s="184"/>
      <c r="J302" s="184"/>
      <c r="K302" s="184"/>
      <c r="L302" s="296"/>
      <c r="N302" s="1053"/>
      <c r="O302" s="489"/>
      <c r="P302" s="489"/>
      <c r="T302" s="626"/>
      <c r="U302" s="489"/>
      <c r="V302" s="483"/>
      <c r="W302" s="627"/>
      <c r="X302" s="628"/>
      <c r="Y302" s="489"/>
      <c r="Z302" s="629"/>
      <c r="AA302" s="626"/>
      <c r="AB302" s="481"/>
      <c r="AC302" s="1388"/>
      <c r="AD302" s="482"/>
      <c r="AE302" s="482"/>
      <c r="AF302" s="482"/>
      <c r="AG302" s="482"/>
      <c r="AH302" s="482"/>
      <c r="AI302" s="482"/>
      <c r="AJ302" s="482"/>
      <c r="AK302" s="482"/>
      <c r="AL302" s="482"/>
      <c r="AM302" s="482"/>
      <c r="AN302" s="483"/>
      <c r="AO302" s="483"/>
      <c r="AP302" s="484"/>
      <c r="AQ302" s="484"/>
      <c r="AR302" s="629"/>
      <c r="AS302" s="629"/>
      <c r="AT302" s="629"/>
      <c r="AU302" s="629"/>
      <c r="AV302" s="629"/>
      <c r="AW302" s="630"/>
      <c r="AZ302" s="489"/>
      <c r="BA302" s="631"/>
      <c r="BB302" s="491"/>
      <c r="BC302" s="491"/>
      <c r="BD302" s="491"/>
      <c r="BE302" s="491"/>
      <c r="BF302" s="491"/>
      <c r="BG302" s="491"/>
      <c r="BH302" s="491"/>
      <c r="BI302" s="491"/>
      <c r="BJ302" s="491"/>
      <c r="BL302" s="491"/>
      <c r="BM302" s="491"/>
      <c r="BN302" s="491"/>
      <c r="BO302" s="491"/>
      <c r="BP302" s="622"/>
      <c r="BQ302" s="274"/>
    </row>
    <row r="303" spans="2:69">
      <c r="B303" s="96"/>
      <c r="C303" s="96"/>
      <c r="D303" s="184"/>
      <c r="E303" s="179"/>
      <c r="F303" s="87"/>
      <c r="G303" s="87"/>
      <c r="H303" s="185"/>
      <c r="I303" s="184"/>
      <c r="J303" s="184"/>
      <c r="K303" s="184"/>
      <c r="L303" s="296"/>
      <c r="N303" s="1053"/>
      <c r="O303" s="489"/>
      <c r="P303" s="489"/>
      <c r="T303" s="626"/>
      <c r="U303" s="489"/>
      <c r="V303" s="483"/>
      <c r="W303" s="627"/>
      <c r="X303" s="628"/>
      <c r="Y303" s="489"/>
      <c r="Z303" s="629"/>
      <c r="AA303" s="626"/>
      <c r="AB303" s="481"/>
      <c r="AC303" s="1388"/>
      <c r="AD303" s="482"/>
      <c r="AE303" s="482"/>
      <c r="AF303" s="482"/>
      <c r="AG303" s="482"/>
      <c r="AH303" s="482"/>
      <c r="AI303" s="482"/>
      <c r="AJ303" s="482"/>
      <c r="AK303" s="482"/>
      <c r="AL303" s="482"/>
      <c r="AM303" s="482"/>
      <c r="AN303" s="483"/>
      <c r="AO303" s="483"/>
      <c r="AP303" s="484"/>
      <c r="AQ303" s="484"/>
      <c r="AR303" s="629"/>
      <c r="AS303" s="629"/>
      <c r="AT303" s="629"/>
      <c r="AU303" s="629"/>
      <c r="AV303" s="629"/>
      <c r="AW303" s="630"/>
      <c r="AZ303" s="489"/>
      <c r="BA303" s="631"/>
      <c r="BB303" s="491"/>
      <c r="BC303" s="491"/>
      <c r="BD303" s="491"/>
      <c r="BE303" s="491"/>
      <c r="BF303" s="491"/>
      <c r="BG303" s="491"/>
      <c r="BH303" s="491"/>
      <c r="BI303" s="491"/>
      <c r="BJ303" s="491"/>
      <c r="BL303" s="491"/>
      <c r="BM303" s="491"/>
      <c r="BN303" s="491"/>
      <c r="BO303" s="491"/>
      <c r="BP303" s="622"/>
      <c r="BQ303" s="274"/>
    </row>
    <row r="304" spans="2:69">
      <c r="B304" s="96"/>
      <c r="C304" s="96"/>
      <c r="D304" s="184"/>
      <c r="E304" s="179"/>
      <c r="F304" s="87"/>
      <c r="G304" s="87"/>
      <c r="H304" s="185"/>
      <c r="I304" s="184"/>
      <c r="J304" s="184"/>
      <c r="K304" s="184"/>
      <c r="L304" s="296"/>
      <c r="N304" s="1053"/>
      <c r="O304" s="489"/>
      <c r="P304" s="489"/>
      <c r="T304" s="626"/>
      <c r="U304" s="489"/>
      <c r="V304" s="483"/>
      <c r="W304" s="627"/>
      <c r="X304" s="628"/>
      <c r="Y304" s="489"/>
      <c r="Z304" s="629"/>
      <c r="AA304" s="626"/>
      <c r="AB304" s="481"/>
      <c r="AC304" s="1388"/>
      <c r="AD304" s="482"/>
      <c r="AE304" s="482"/>
      <c r="AF304" s="482"/>
      <c r="AG304" s="482"/>
      <c r="AH304" s="482"/>
      <c r="AI304" s="482"/>
      <c r="AJ304" s="482"/>
      <c r="AK304" s="482"/>
      <c r="AL304" s="482"/>
      <c r="AM304" s="482"/>
      <c r="AN304" s="483"/>
      <c r="AO304" s="483"/>
      <c r="AP304" s="484"/>
      <c r="AQ304" s="484"/>
      <c r="AR304" s="629"/>
      <c r="AS304" s="629"/>
      <c r="AT304" s="629"/>
      <c r="AU304" s="629"/>
      <c r="AV304" s="629"/>
      <c r="AW304" s="630"/>
      <c r="AZ304" s="489"/>
      <c r="BA304" s="631"/>
      <c r="BB304" s="491"/>
      <c r="BC304" s="491"/>
      <c r="BD304" s="491"/>
      <c r="BE304" s="491"/>
      <c r="BF304" s="491"/>
      <c r="BG304" s="491"/>
      <c r="BH304" s="491"/>
      <c r="BI304" s="491"/>
      <c r="BJ304" s="491"/>
      <c r="BL304" s="491"/>
      <c r="BM304" s="491"/>
      <c r="BN304" s="491"/>
      <c r="BO304" s="491"/>
      <c r="BP304" s="622"/>
      <c r="BQ304" s="274"/>
    </row>
    <row r="305" spans="2:69">
      <c r="B305" s="96"/>
      <c r="C305" s="96"/>
      <c r="D305" s="184"/>
      <c r="E305" s="179"/>
      <c r="F305" s="87"/>
      <c r="G305" s="87"/>
      <c r="H305" s="185"/>
      <c r="I305" s="184"/>
      <c r="J305" s="184"/>
      <c r="K305" s="184"/>
      <c r="L305" s="296"/>
      <c r="N305" s="1053"/>
      <c r="O305" s="489"/>
      <c r="P305" s="489"/>
      <c r="T305" s="626"/>
      <c r="U305" s="489"/>
      <c r="V305" s="483"/>
      <c r="W305" s="627"/>
      <c r="X305" s="628"/>
      <c r="Y305" s="489"/>
      <c r="Z305" s="629"/>
      <c r="AA305" s="626"/>
      <c r="AB305" s="481"/>
      <c r="AC305" s="1388"/>
      <c r="AD305" s="482"/>
      <c r="AE305" s="482"/>
      <c r="AF305" s="482"/>
      <c r="AG305" s="482"/>
      <c r="AH305" s="482"/>
      <c r="AI305" s="482"/>
      <c r="AJ305" s="482"/>
      <c r="AK305" s="482"/>
      <c r="AL305" s="482"/>
      <c r="AM305" s="482"/>
      <c r="AN305" s="483"/>
      <c r="AO305" s="483"/>
      <c r="AP305" s="484"/>
      <c r="AQ305" s="484"/>
      <c r="AR305" s="629"/>
      <c r="AS305" s="629"/>
      <c r="AT305" s="629"/>
      <c r="AU305" s="629"/>
      <c r="AV305" s="629"/>
      <c r="AW305" s="630"/>
      <c r="AZ305" s="489"/>
      <c r="BA305" s="631"/>
      <c r="BB305" s="491"/>
      <c r="BC305" s="491"/>
      <c r="BD305" s="491"/>
      <c r="BE305" s="491"/>
      <c r="BF305" s="491"/>
      <c r="BG305" s="491"/>
      <c r="BH305" s="491"/>
      <c r="BI305" s="491"/>
      <c r="BJ305" s="491"/>
      <c r="BL305" s="491"/>
      <c r="BM305" s="491"/>
      <c r="BN305" s="491"/>
      <c r="BO305" s="491"/>
      <c r="BP305" s="622"/>
      <c r="BQ305" s="274"/>
    </row>
    <row r="306" spans="2:69">
      <c r="B306" s="96"/>
      <c r="C306" s="96"/>
      <c r="D306" s="184"/>
      <c r="E306" s="179"/>
      <c r="F306" s="87"/>
      <c r="G306" s="87"/>
      <c r="H306" s="185"/>
      <c r="I306" s="184"/>
      <c r="J306" s="184"/>
      <c r="K306" s="184"/>
      <c r="L306" s="296"/>
      <c r="N306" s="1053"/>
      <c r="O306" s="489"/>
      <c r="P306" s="489"/>
      <c r="T306" s="626"/>
      <c r="U306" s="489"/>
      <c r="V306" s="483"/>
      <c r="W306" s="627"/>
      <c r="X306" s="628"/>
      <c r="Y306" s="489"/>
      <c r="Z306" s="629"/>
      <c r="AA306" s="626"/>
      <c r="AB306" s="481"/>
      <c r="AC306" s="1388"/>
      <c r="AD306" s="482"/>
      <c r="AE306" s="482"/>
      <c r="AF306" s="482"/>
      <c r="AG306" s="482"/>
      <c r="AH306" s="482"/>
      <c r="AI306" s="482"/>
      <c r="AJ306" s="482"/>
      <c r="AK306" s="482"/>
      <c r="AL306" s="482"/>
      <c r="AM306" s="482"/>
      <c r="AN306" s="483"/>
      <c r="AO306" s="483"/>
      <c r="AP306" s="484"/>
      <c r="AQ306" s="484"/>
      <c r="AR306" s="629"/>
      <c r="AS306" s="629"/>
      <c r="AT306" s="629"/>
      <c r="AU306" s="629"/>
      <c r="AV306" s="629"/>
      <c r="AW306" s="630"/>
      <c r="AZ306" s="489"/>
      <c r="BA306" s="631"/>
      <c r="BB306" s="491"/>
      <c r="BC306" s="491"/>
      <c r="BD306" s="491"/>
      <c r="BE306" s="491"/>
      <c r="BF306" s="491"/>
      <c r="BG306" s="491"/>
      <c r="BH306" s="491"/>
      <c r="BI306" s="491"/>
      <c r="BJ306" s="491"/>
      <c r="BL306" s="491"/>
      <c r="BM306" s="491"/>
      <c r="BN306" s="491"/>
      <c r="BO306" s="491"/>
      <c r="BP306" s="622"/>
      <c r="BQ306" s="274"/>
    </row>
    <row r="307" spans="2:69">
      <c r="B307" s="96"/>
      <c r="C307" s="96"/>
      <c r="D307" s="184"/>
      <c r="E307" s="179"/>
      <c r="F307" s="87"/>
      <c r="G307" s="87"/>
      <c r="H307" s="185"/>
      <c r="I307" s="184"/>
      <c r="J307" s="184"/>
      <c r="K307" s="184"/>
      <c r="L307" s="296"/>
      <c r="N307" s="1053"/>
      <c r="O307" s="489"/>
      <c r="P307" s="489"/>
      <c r="T307" s="626"/>
      <c r="U307" s="489"/>
      <c r="V307" s="483"/>
      <c r="W307" s="627"/>
      <c r="X307" s="628"/>
      <c r="Y307" s="489"/>
      <c r="Z307" s="629"/>
      <c r="AA307" s="626"/>
      <c r="AB307" s="481"/>
      <c r="AC307" s="1388"/>
      <c r="AD307" s="482"/>
      <c r="AE307" s="482"/>
      <c r="AF307" s="482"/>
      <c r="AG307" s="482"/>
      <c r="AH307" s="482"/>
      <c r="AI307" s="482"/>
      <c r="AJ307" s="482"/>
      <c r="AK307" s="482"/>
      <c r="AL307" s="482"/>
      <c r="AM307" s="482"/>
      <c r="AN307" s="483"/>
      <c r="AO307" s="483"/>
      <c r="AP307" s="484"/>
      <c r="AQ307" s="484"/>
      <c r="AR307" s="629"/>
      <c r="AS307" s="629"/>
      <c r="AT307" s="629"/>
      <c r="AU307" s="629"/>
      <c r="AV307" s="629"/>
      <c r="AW307" s="630"/>
      <c r="AZ307" s="489"/>
      <c r="BA307" s="631"/>
      <c r="BB307" s="491"/>
      <c r="BC307" s="491"/>
      <c r="BD307" s="491"/>
      <c r="BE307" s="491"/>
      <c r="BF307" s="491"/>
      <c r="BG307" s="491"/>
      <c r="BH307" s="491"/>
      <c r="BI307" s="491"/>
      <c r="BJ307" s="491"/>
      <c r="BL307" s="491"/>
      <c r="BM307" s="491"/>
      <c r="BN307" s="491"/>
      <c r="BO307" s="491"/>
      <c r="BP307" s="622"/>
      <c r="BQ307" s="274"/>
    </row>
    <row r="308" spans="2:69">
      <c r="B308" s="96"/>
      <c r="C308" s="96"/>
      <c r="D308" s="184"/>
      <c r="E308" s="179"/>
      <c r="F308" s="87"/>
      <c r="G308" s="87"/>
      <c r="H308" s="185"/>
      <c r="I308" s="184"/>
      <c r="J308" s="184"/>
      <c r="K308" s="184"/>
      <c r="L308" s="296"/>
      <c r="N308" s="1053"/>
      <c r="O308" s="489"/>
      <c r="P308" s="489"/>
      <c r="T308" s="626"/>
      <c r="U308" s="489"/>
      <c r="V308" s="483"/>
      <c r="W308" s="627"/>
      <c r="X308" s="628"/>
      <c r="Y308" s="489"/>
      <c r="Z308" s="629"/>
      <c r="AA308" s="626"/>
      <c r="AB308" s="481"/>
      <c r="AC308" s="1388"/>
      <c r="AD308" s="482"/>
      <c r="AE308" s="482"/>
      <c r="AF308" s="482"/>
      <c r="AG308" s="482"/>
      <c r="AH308" s="482"/>
      <c r="AI308" s="482"/>
      <c r="AJ308" s="482"/>
      <c r="AK308" s="482"/>
      <c r="AL308" s="482"/>
      <c r="AM308" s="482"/>
      <c r="AN308" s="483"/>
      <c r="AO308" s="483"/>
      <c r="AP308" s="484"/>
      <c r="AQ308" s="484"/>
      <c r="AR308" s="629"/>
      <c r="AS308" s="629"/>
      <c r="AT308" s="629"/>
      <c r="AU308" s="629"/>
      <c r="AV308" s="629"/>
      <c r="AW308" s="630"/>
      <c r="AZ308" s="489"/>
      <c r="BA308" s="631"/>
      <c r="BB308" s="491"/>
      <c r="BC308" s="491"/>
      <c r="BD308" s="491"/>
      <c r="BE308" s="491"/>
      <c r="BF308" s="491"/>
      <c r="BG308" s="491"/>
      <c r="BH308" s="491"/>
      <c r="BI308" s="491"/>
      <c r="BJ308" s="491"/>
      <c r="BL308" s="491"/>
      <c r="BM308" s="491"/>
      <c r="BN308" s="491"/>
      <c r="BO308" s="491"/>
      <c r="BP308" s="622"/>
      <c r="BQ308" s="274"/>
    </row>
    <row r="309" spans="2:69">
      <c r="B309" s="96"/>
      <c r="C309" s="96"/>
      <c r="D309" s="184"/>
      <c r="E309" s="179"/>
      <c r="F309" s="87"/>
      <c r="G309" s="87"/>
      <c r="H309" s="185"/>
      <c r="I309" s="184"/>
      <c r="J309" s="184"/>
      <c r="K309" s="184"/>
      <c r="L309" s="296"/>
      <c r="N309" s="1053"/>
      <c r="O309" s="489"/>
      <c r="P309" s="489"/>
      <c r="T309" s="626"/>
      <c r="U309" s="489"/>
      <c r="V309" s="483"/>
      <c r="W309" s="627"/>
      <c r="X309" s="628"/>
      <c r="Y309" s="489"/>
      <c r="Z309" s="629"/>
      <c r="AA309" s="626"/>
      <c r="AB309" s="481"/>
      <c r="AC309" s="1388"/>
      <c r="AD309" s="482"/>
      <c r="AE309" s="482"/>
      <c r="AF309" s="482"/>
      <c r="AG309" s="482"/>
      <c r="AH309" s="482"/>
      <c r="AI309" s="482"/>
      <c r="AJ309" s="482"/>
      <c r="AK309" s="482"/>
      <c r="AL309" s="482"/>
      <c r="AM309" s="482"/>
      <c r="AN309" s="483"/>
      <c r="AO309" s="483"/>
      <c r="AP309" s="484"/>
      <c r="AQ309" s="484"/>
      <c r="AR309" s="629"/>
      <c r="AS309" s="629"/>
      <c r="AT309" s="629"/>
      <c r="AU309" s="629"/>
      <c r="AV309" s="629"/>
      <c r="AW309" s="630"/>
      <c r="AZ309" s="489"/>
      <c r="BA309" s="631"/>
      <c r="BB309" s="491"/>
      <c r="BC309" s="491"/>
      <c r="BD309" s="491"/>
      <c r="BE309" s="491"/>
      <c r="BF309" s="491"/>
      <c r="BG309" s="491"/>
      <c r="BH309" s="491"/>
      <c r="BI309" s="491"/>
      <c r="BJ309" s="491"/>
      <c r="BL309" s="491"/>
      <c r="BM309" s="491"/>
      <c r="BN309" s="491"/>
      <c r="BO309" s="491"/>
      <c r="BP309" s="622"/>
      <c r="BQ309" s="274"/>
    </row>
    <row r="310" spans="2:69">
      <c r="B310" s="96"/>
      <c r="C310" s="96"/>
      <c r="D310" s="184"/>
      <c r="E310" s="179"/>
      <c r="F310" s="87"/>
      <c r="G310" s="87"/>
      <c r="H310" s="185"/>
      <c r="I310" s="184"/>
      <c r="J310" s="184"/>
      <c r="K310" s="184"/>
      <c r="L310" s="296"/>
      <c r="N310" s="1053"/>
      <c r="O310" s="489"/>
      <c r="P310" s="489"/>
      <c r="T310" s="626"/>
      <c r="U310" s="489"/>
      <c r="V310" s="483"/>
      <c r="W310" s="627"/>
      <c r="X310" s="628"/>
      <c r="Y310" s="489"/>
      <c r="Z310" s="629"/>
      <c r="AA310" s="626"/>
      <c r="AB310" s="481"/>
      <c r="AC310" s="1388"/>
      <c r="AD310" s="482"/>
      <c r="AE310" s="482"/>
      <c r="AF310" s="482"/>
      <c r="AG310" s="482"/>
      <c r="AH310" s="482"/>
      <c r="AI310" s="482"/>
      <c r="AJ310" s="482"/>
      <c r="AK310" s="482"/>
      <c r="AL310" s="482"/>
      <c r="AM310" s="482"/>
      <c r="AN310" s="483"/>
      <c r="AO310" s="483"/>
      <c r="AP310" s="484"/>
      <c r="AQ310" s="484"/>
      <c r="AR310" s="629"/>
      <c r="AS310" s="629"/>
      <c r="AT310" s="629"/>
      <c r="AU310" s="629"/>
      <c r="AV310" s="629"/>
      <c r="AW310" s="630"/>
      <c r="AZ310" s="489"/>
      <c r="BA310" s="631"/>
      <c r="BB310" s="491"/>
      <c r="BC310" s="491"/>
      <c r="BD310" s="491"/>
      <c r="BE310" s="491"/>
      <c r="BF310" s="491"/>
      <c r="BG310" s="491"/>
      <c r="BH310" s="491"/>
      <c r="BI310" s="491"/>
      <c r="BJ310" s="491"/>
      <c r="BL310" s="491"/>
      <c r="BM310" s="491"/>
      <c r="BN310" s="491"/>
      <c r="BO310" s="491"/>
      <c r="BP310" s="622"/>
      <c r="BQ310" s="274"/>
    </row>
    <row r="311" spans="2:69">
      <c r="B311" s="96"/>
      <c r="C311" s="96"/>
      <c r="D311" s="184"/>
      <c r="E311" s="179"/>
      <c r="F311" s="87"/>
      <c r="G311" s="87"/>
      <c r="H311" s="185"/>
      <c r="I311" s="184"/>
      <c r="J311" s="184"/>
      <c r="K311" s="184"/>
      <c r="L311" s="296"/>
      <c r="N311" s="1053"/>
      <c r="O311" s="489"/>
      <c r="P311" s="489"/>
      <c r="T311" s="626"/>
      <c r="U311" s="489"/>
      <c r="V311" s="483"/>
      <c r="W311" s="627"/>
      <c r="X311" s="628"/>
      <c r="Y311" s="489"/>
      <c r="Z311" s="629"/>
      <c r="AA311" s="626"/>
      <c r="AB311" s="481"/>
      <c r="AC311" s="1388"/>
      <c r="AD311" s="482"/>
      <c r="AE311" s="482"/>
      <c r="AF311" s="482"/>
      <c r="AG311" s="482"/>
      <c r="AH311" s="482"/>
      <c r="AI311" s="482"/>
      <c r="AJ311" s="482"/>
      <c r="AK311" s="482"/>
      <c r="AL311" s="482"/>
      <c r="AM311" s="482"/>
      <c r="AN311" s="483"/>
      <c r="AO311" s="483"/>
      <c r="AP311" s="484"/>
      <c r="AQ311" s="484"/>
      <c r="AR311" s="629"/>
      <c r="AS311" s="629"/>
      <c r="AT311" s="629"/>
      <c r="AU311" s="629"/>
      <c r="AV311" s="629"/>
      <c r="AW311" s="630"/>
      <c r="AZ311" s="489"/>
      <c r="BA311" s="631"/>
      <c r="BB311" s="491"/>
      <c r="BC311" s="491"/>
      <c r="BD311" s="491"/>
      <c r="BE311" s="491"/>
      <c r="BF311" s="491"/>
      <c r="BG311" s="491"/>
      <c r="BH311" s="491"/>
      <c r="BI311" s="491"/>
      <c r="BJ311" s="491"/>
      <c r="BL311" s="491"/>
      <c r="BM311" s="491"/>
      <c r="BN311" s="491"/>
      <c r="BO311" s="491"/>
      <c r="BP311" s="622"/>
      <c r="BQ311" s="274"/>
    </row>
    <row r="312" spans="2:69">
      <c r="B312" s="96"/>
      <c r="C312" s="96"/>
      <c r="D312" s="184"/>
      <c r="E312" s="179"/>
      <c r="F312" s="87"/>
      <c r="G312" s="87"/>
      <c r="H312" s="185"/>
      <c r="I312" s="184"/>
      <c r="J312" s="184"/>
      <c r="K312" s="184"/>
      <c r="L312" s="296"/>
      <c r="N312" s="1053"/>
      <c r="O312" s="489"/>
      <c r="P312" s="489"/>
      <c r="T312" s="626"/>
      <c r="U312" s="489"/>
      <c r="V312" s="483"/>
      <c r="W312" s="627"/>
      <c r="X312" s="628"/>
      <c r="Y312" s="489"/>
      <c r="Z312" s="629"/>
      <c r="AA312" s="626"/>
      <c r="AB312" s="481"/>
      <c r="AC312" s="1388"/>
      <c r="AD312" s="482"/>
      <c r="AE312" s="482"/>
      <c r="AF312" s="482"/>
      <c r="AG312" s="482"/>
      <c r="AH312" s="482"/>
      <c r="AI312" s="482"/>
      <c r="AJ312" s="482"/>
      <c r="AK312" s="482"/>
      <c r="AL312" s="482"/>
      <c r="AM312" s="482"/>
      <c r="AN312" s="483"/>
      <c r="AO312" s="483"/>
      <c r="AP312" s="484"/>
      <c r="AQ312" s="484"/>
      <c r="AR312" s="629"/>
      <c r="AS312" s="629"/>
      <c r="AT312" s="629"/>
      <c r="AU312" s="629"/>
      <c r="AV312" s="629"/>
      <c r="AW312" s="630"/>
      <c r="AZ312" s="489"/>
      <c r="BA312" s="631"/>
      <c r="BB312" s="491"/>
      <c r="BC312" s="491"/>
      <c r="BD312" s="491"/>
      <c r="BE312" s="491"/>
      <c r="BF312" s="491"/>
      <c r="BG312" s="491"/>
      <c r="BH312" s="491"/>
      <c r="BI312" s="491"/>
      <c r="BJ312" s="491"/>
      <c r="BL312" s="491"/>
      <c r="BM312" s="491"/>
      <c r="BN312" s="491"/>
      <c r="BO312" s="491"/>
      <c r="BP312" s="622"/>
      <c r="BQ312" s="274"/>
    </row>
    <row r="313" spans="2:69">
      <c r="B313" s="96"/>
      <c r="C313" s="96"/>
      <c r="D313" s="184"/>
      <c r="E313" s="179"/>
      <c r="F313" s="87"/>
      <c r="G313" s="87"/>
      <c r="H313" s="185"/>
      <c r="I313" s="184"/>
      <c r="J313" s="184"/>
      <c r="K313" s="184"/>
      <c r="L313" s="296"/>
      <c r="N313" s="1053"/>
      <c r="O313" s="489"/>
      <c r="P313" s="489"/>
      <c r="T313" s="626"/>
      <c r="U313" s="489"/>
      <c r="V313" s="483"/>
      <c r="W313" s="627"/>
      <c r="X313" s="628"/>
      <c r="Y313" s="489"/>
      <c r="Z313" s="629"/>
      <c r="AA313" s="626"/>
      <c r="AB313" s="481"/>
      <c r="AC313" s="1388"/>
      <c r="AD313" s="482"/>
      <c r="AE313" s="482"/>
      <c r="AF313" s="482"/>
      <c r="AG313" s="482"/>
      <c r="AH313" s="482"/>
      <c r="AI313" s="482"/>
      <c r="AJ313" s="482"/>
      <c r="AK313" s="482"/>
      <c r="AL313" s="482"/>
      <c r="AM313" s="482"/>
      <c r="AN313" s="483"/>
      <c r="AO313" s="483"/>
      <c r="AP313" s="484"/>
      <c r="AQ313" s="484"/>
      <c r="AR313" s="629"/>
      <c r="AS313" s="629"/>
      <c r="AT313" s="629"/>
      <c r="AU313" s="629"/>
      <c r="AV313" s="629"/>
      <c r="AW313" s="630"/>
      <c r="AZ313" s="489"/>
      <c r="BA313" s="631"/>
      <c r="BB313" s="491"/>
      <c r="BC313" s="491"/>
      <c r="BD313" s="491"/>
      <c r="BE313" s="491"/>
      <c r="BF313" s="491"/>
      <c r="BG313" s="491"/>
      <c r="BH313" s="491"/>
      <c r="BI313" s="491"/>
      <c r="BJ313" s="491"/>
      <c r="BL313" s="491"/>
      <c r="BM313" s="491"/>
      <c r="BN313" s="491"/>
      <c r="BO313" s="491"/>
      <c r="BP313" s="622"/>
      <c r="BQ313" s="274"/>
    </row>
    <row r="314" spans="2:69">
      <c r="B314" s="96"/>
      <c r="C314" s="96"/>
      <c r="D314" s="184"/>
      <c r="E314" s="179"/>
      <c r="F314" s="87"/>
      <c r="G314" s="87"/>
      <c r="H314" s="185"/>
      <c r="I314" s="184"/>
      <c r="J314" s="184"/>
      <c r="K314" s="184"/>
      <c r="L314" s="296"/>
      <c r="N314" s="1053"/>
      <c r="O314" s="489"/>
      <c r="P314" s="489"/>
      <c r="T314" s="626"/>
      <c r="U314" s="489"/>
      <c r="V314" s="483"/>
      <c r="W314" s="627"/>
      <c r="X314" s="628"/>
      <c r="Y314" s="489"/>
      <c r="Z314" s="629"/>
      <c r="AA314" s="626"/>
      <c r="AB314" s="481"/>
      <c r="AC314" s="1388"/>
      <c r="AD314" s="482"/>
      <c r="AE314" s="482"/>
      <c r="AF314" s="482"/>
      <c r="AG314" s="482"/>
      <c r="AH314" s="482"/>
      <c r="AI314" s="482"/>
      <c r="AJ314" s="482"/>
      <c r="AK314" s="482"/>
      <c r="AL314" s="482"/>
      <c r="AM314" s="482"/>
      <c r="AN314" s="483"/>
      <c r="AO314" s="483"/>
      <c r="AP314" s="484"/>
      <c r="AQ314" s="484"/>
      <c r="AR314" s="629"/>
      <c r="AS314" s="629"/>
      <c r="AT314" s="629"/>
      <c r="AU314" s="629"/>
      <c r="AV314" s="629"/>
      <c r="AW314" s="630"/>
      <c r="AZ314" s="489"/>
      <c r="BA314" s="631"/>
      <c r="BB314" s="491"/>
      <c r="BC314" s="491"/>
      <c r="BD314" s="491"/>
      <c r="BE314" s="491"/>
      <c r="BF314" s="491"/>
      <c r="BG314" s="491"/>
      <c r="BH314" s="491"/>
      <c r="BI314" s="491"/>
      <c r="BJ314" s="491"/>
      <c r="BL314" s="491"/>
      <c r="BM314" s="491"/>
      <c r="BN314" s="491"/>
      <c r="BO314" s="491"/>
      <c r="BP314" s="622"/>
      <c r="BQ314" s="274"/>
    </row>
    <row r="315" spans="2:69">
      <c r="B315" s="96"/>
      <c r="C315" s="96"/>
      <c r="D315" s="184"/>
      <c r="E315" s="179"/>
      <c r="F315" s="87"/>
      <c r="G315" s="87"/>
      <c r="H315" s="185"/>
      <c r="I315" s="184"/>
      <c r="J315" s="184"/>
      <c r="K315" s="184"/>
      <c r="L315" s="296"/>
      <c r="N315" s="1053"/>
      <c r="O315" s="489"/>
      <c r="P315" s="489"/>
      <c r="T315" s="626"/>
      <c r="U315" s="489"/>
      <c r="V315" s="483"/>
      <c r="W315" s="627"/>
      <c r="X315" s="628"/>
      <c r="Y315" s="489"/>
      <c r="Z315" s="629"/>
      <c r="AA315" s="626"/>
      <c r="AB315" s="481"/>
      <c r="AC315" s="1388"/>
      <c r="AD315" s="482"/>
      <c r="AE315" s="482"/>
      <c r="AF315" s="482"/>
      <c r="AG315" s="482"/>
      <c r="AH315" s="482"/>
      <c r="AI315" s="482"/>
      <c r="AJ315" s="482"/>
      <c r="AK315" s="482"/>
      <c r="AL315" s="482"/>
      <c r="AM315" s="482"/>
      <c r="AN315" s="483"/>
      <c r="AO315" s="483"/>
      <c r="AP315" s="484"/>
      <c r="AQ315" s="484"/>
      <c r="AR315" s="629"/>
      <c r="AS315" s="629"/>
      <c r="AT315" s="629"/>
      <c r="AU315" s="629"/>
      <c r="AV315" s="629"/>
      <c r="AW315" s="630"/>
      <c r="AZ315" s="489"/>
      <c r="BA315" s="631"/>
      <c r="BB315" s="491"/>
      <c r="BC315" s="491"/>
      <c r="BD315" s="491"/>
      <c r="BE315" s="491"/>
      <c r="BF315" s="491"/>
      <c r="BG315" s="491"/>
      <c r="BH315" s="491"/>
      <c r="BI315" s="491"/>
      <c r="BJ315" s="491"/>
      <c r="BL315" s="491"/>
      <c r="BM315" s="491"/>
      <c r="BN315" s="491"/>
      <c r="BO315" s="491"/>
      <c r="BP315" s="622"/>
      <c r="BQ315" s="274"/>
    </row>
    <row r="316" spans="2:69">
      <c r="B316" s="96"/>
      <c r="C316" s="96"/>
      <c r="D316" s="184"/>
      <c r="E316" s="179"/>
      <c r="F316" s="87"/>
      <c r="G316" s="87"/>
      <c r="H316" s="185"/>
      <c r="I316" s="184"/>
      <c r="J316" s="184"/>
      <c r="K316" s="184"/>
      <c r="L316" s="296"/>
      <c r="N316" s="1053"/>
      <c r="O316" s="489"/>
      <c r="P316" s="489"/>
      <c r="T316" s="626"/>
      <c r="U316" s="489"/>
      <c r="V316" s="483"/>
      <c r="W316" s="627"/>
      <c r="X316" s="628"/>
      <c r="Y316" s="489"/>
      <c r="Z316" s="629"/>
      <c r="AA316" s="626"/>
      <c r="AB316" s="481"/>
      <c r="AC316" s="1388"/>
      <c r="AD316" s="482"/>
      <c r="AE316" s="482"/>
      <c r="AF316" s="482"/>
      <c r="AG316" s="482"/>
      <c r="AH316" s="482"/>
      <c r="AI316" s="482"/>
      <c r="AJ316" s="482"/>
      <c r="AK316" s="482"/>
      <c r="AL316" s="482"/>
      <c r="AM316" s="482"/>
      <c r="AN316" s="483"/>
      <c r="AO316" s="483"/>
      <c r="AP316" s="484"/>
      <c r="AQ316" s="484"/>
      <c r="AR316" s="629"/>
      <c r="AS316" s="629"/>
      <c r="AT316" s="629"/>
      <c r="AU316" s="629"/>
      <c r="AV316" s="629"/>
      <c r="AW316" s="630"/>
      <c r="AZ316" s="489"/>
      <c r="BA316" s="631"/>
      <c r="BB316" s="491"/>
      <c r="BC316" s="491"/>
      <c r="BD316" s="491"/>
      <c r="BE316" s="491"/>
      <c r="BF316" s="491"/>
      <c r="BG316" s="491"/>
      <c r="BH316" s="491"/>
      <c r="BI316" s="491"/>
      <c r="BJ316" s="491"/>
      <c r="BL316" s="491"/>
      <c r="BM316" s="491"/>
      <c r="BN316" s="491"/>
      <c r="BO316" s="491"/>
      <c r="BP316" s="622"/>
      <c r="BQ316" s="274"/>
    </row>
    <row r="317" spans="2:69">
      <c r="B317" s="96"/>
      <c r="C317" s="96"/>
      <c r="D317" s="184"/>
      <c r="E317" s="179"/>
      <c r="F317" s="87"/>
      <c r="G317" s="87"/>
      <c r="H317" s="185"/>
      <c r="I317" s="184"/>
      <c r="J317" s="184"/>
      <c r="K317" s="184"/>
      <c r="L317" s="296"/>
      <c r="N317" s="1053"/>
      <c r="O317" s="489"/>
      <c r="P317" s="489"/>
      <c r="T317" s="626"/>
      <c r="U317" s="489"/>
      <c r="V317" s="483"/>
      <c r="W317" s="627"/>
      <c r="X317" s="628"/>
      <c r="Y317" s="489"/>
      <c r="Z317" s="629"/>
      <c r="AA317" s="626"/>
      <c r="AB317" s="481"/>
      <c r="AC317" s="1388"/>
      <c r="AD317" s="482"/>
      <c r="AE317" s="482"/>
      <c r="AF317" s="482"/>
      <c r="AG317" s="482"/>
      <c r="AH317" s="482"/>
      <c r="AI317" s="482"/>
      <c r="AJ317" s="482"/>
      <c r="AK317" s="482"/>
      <c r="AL317" s="482"/>
      <c r="AM317" s="482"/>
      <c r="AN317" s="483"/>
      <c r="AO317" s="483"/>
      <c r="AP317" s="484"/>
      <c r="AQ317" s="484"/>
      <c r="AR317" s="629"/>
      <c r="AS317" s="629"/>
      <c r="AT317" s="629"/>
      <c r="AU317" s="629"/>
      <c r="AV317" s="629"/>
      <c r="AW317" s="630"/>
      <c r="AZ317" s="489"/>
      <c r="BA317" s="631"/>
      <c r="BB317" s="491"/>
      <c r="BC317" s="491"/>
      <c r="BD317" s="491"/>
      <c r="BE317" s="491"/>
      <c r="BF317" s="491"/>
      <c r="BG317" s="491"/>
      <c r="BH317" s="491"/>
      <c r="BI317" s="491"/>
      <c r="BJ317" s="491"/>
      <c r="BL317" s="491"/>
      <c r="BM317" s="491"/>
      <c r="BN317" s="491"/>
      <c r="BO317" s="491"/>
      <c r="BP317" s="622"/>
      <c r="BQ317" s="274"/>
    </row>
    <row r="318" spans="2:69">
      <c r="B318" s="96"/>
      <c r="C318" s="96"/>
      <c r="D318" s="184"/>
      <c r="E318" s="179"/>
      <c r="F318" s="87"/>
      <c r="G318" s="87"/>
      <c r="H318" s="185"/>
      <c r="I318" s="184"/>
      <c r="J318" s="184"/>
      <c r="K318" s="184"/>
      <c r="L318" s="296"/>
      <c r="N318" s="1053"/>
      <c r="O318" s="489"/>
      <c r="P318" s="489"/>
      <c r="T318" s="626"/>
      <c r="U318" s="489"/>
      <c r="V318" s="483"/>
      <c r="W318" s="627"/>
      <c r="X318" s="628"/>
      <c r="Y318" s="489"/>
      <c r="Z318" s="629"/>
      <c r="AA318" s="626"/>
      <c r="AB318" s="481"/>
      <c r="AC318" s="1388"/>
      <c r="AD318" s="482"/>
      <c r="AE318" s="482"/>
      <c r="AF318" s="482"/>
      <c r="AG318" s="482"/>
      <c r="AH318" s="482"/>
      <c r="AI318" s="482"/>
      <c r="AJ318" s="482"/>
      <c r="AK318" s="482"/>
      <c r="AL318" s="482"/>
      <c r="AM318" s="482"/>
      <c r="AN318" s="483"/>
      <c r="AO318" s="483"/>
      <c r="AP318" s="484"/>
      <c r="AQ318" s="484"/>
      <c r="AR318" s="629"/>
      <c r="AS318" s="629"/>
      <c r="AT318" s="629"/>
      <c r="AU318" s="629"/>
      <c r="AV318" s="629"/>
      <c r="AW318" s="630"/>
      <c r="AZ318" s="489"/>
      <c r="BA318" s="631"/>
      <c r="BB318" s="491"/>
      <c r="BC318" s="491"/>
      <c r="BD318" s="491"/>
      <c r="BE318" s="491"/>
      <c r="BF318" s="491"/>
      <c r="BG318" s="491"/>
      <c r="BH318" s="491"/>
      <c r="BI318" s="491"/>
      <c r="BJ318" s="491"/>
      <c r="BL318" s="491"/>
      <c r="BM318" s="491"/>
      <c r="BN318" s="491"/>
      <c r="BO318" s="491"/>
      <c r="BP318" s="622"/>
      <c r="BQ318" s="274"/>
    </row>
    <row r="319" spans="2:69">
      <c r="B319" s="96"/>
      <c r="C319" s="96"/>
      <c r="D319" s="184"/>
      <c r="E319" s="179"/>
      <c r="F319" s="87"/>
      <c r="G319" s="87"/>
      <c r="H319" s="185"/>
      <c r="I319" s="184"/>
      <c r="J319" s="184"/>
      <c r="K319" s="184"/>
      <c r="L319" s="296"/>
      <c r="N319" s="1053"/>
      <c r="O319" s="489"/>
      <c r="P319" s="489"/>
      <c r="T319" s="626"/>
      <c r="U319" s="489"/>
      <c r="V319" s="483"/>
      <c r="W319" s="627"/>
      <c r="X319" s="628"/>
      <c r="Y319" s="489"/>
      <c r="Z319" s="629"/>
      <c r="AA319" s="626"/>
      <c r="AB319" s="481"/>
      <c r="AC319" s="1388"/>
      <c r="AD319" s="482"/>
      <c r="AE319" s="482"/>
      <c r="AF319" s="482"/>
      <c r="AG319" s="482"/>
      <c r="AH319" s="482"/>
      <c r="AI319" s="482"/>
      <c r="AJ319" s="482"/>
      <c r="AK319" s="482"/>
      <c r="AL319" s="482"/>
      <c r="AM319" s="482"/>
      <c r="AN319" s="483"/>
      <c r="AO319" s="483"/>
      <c r="AP319" s="484"/>
      <c r="AQ319" s="484"/>
      <c r="AR319" s="629"/>
      <c r="AS319" s="629"/>
      <c r="AT319" s="629"/>
      <c r="AU319" s="629"/>
      <c r="AV319" s="629"/>
      <c r="AW319" s="630"/>
      <c r="AZ319" s="489"/>
      <c r="BA319" s="631"/>
      <c r="BB319" s="491"/>
      <c r="BC319" s="491"/>
      <c r="BD319" s="491"/>
      <c r="BE319" s="491"/>
      <c r="BF319" s="491"/>
      <c r="BG319" s="491"/>
      <c r="BH319" s="491"/>
      <c r="BI319" s="491"/>
      <c r="BJ319" s="491"/>
      <c r="BL319" s="491"/>
      <c r="BM319" s="491"/>
      <c r="BN319" s="491"/>
      <c r="BO319" s="491"/>
      <c r="BP319" s="622"/>
      <c r="BQ319" s="274"/>
    </row>
    <row r="320" spans="2:69">
      <c r="B320" s="96"/>
      <c r="C320" s="96"/>
      <c r="D320" s="184"/>
      <c r="E320" s="179"/>
      <c r="F320" s="87"/>
      <c r="G320" s="87"/>
      <c r="H320" s="185"/>
      <c r="I320" s="184"/>
      <c r="J320" s="184"/>
      <c r="K320" s="184"/>
      <c r="L320" s="296"/>
      <c r="N320" s="1053"/>
      <c r="O320" s="489"/>
      <c r="P320" s="489"/>
      <c r="T320" s="626"/>
      <c r="U320" s="489"/>
      <c r="V320" s="483"/>
      <c r="W320" s="627"/>
      <c r="X320" s="628"/>
      <c r="Y320" s="489"/>
      <c r="Z320" s="629"/>
      <c r="AA320" s="626"/>
      <c r="AB320" s="481"/>
      <c r="AC320" s="1388"/>
      <c r="AD320" s="482"/>
      <c r="AE320" s="482"/>
      <c r="AF320" s="482"/>
      <c r="AG320" s="482"/>
      <c r="AH320" s="482"/>
      <c r="AI320" s="482"/>
      <c r="AJ320" s="482"/>
      <c r="AK320" s="482"/>
      <c r="AL320" s="482"/>
      <c r="AM320" s="482"/>
      <c r="AN320" s="483"/>
      <c r="AO320" s="483"/>
      <c r="AP320" s="484"/>
      <c r="AQ320" s="484"/>
      <c r="AR320" s="629"/>
      <c r="AS320" s="629"/>
      <c r="AT320" s="629"/>
      <c r="AU320" s="629"/>
      <c r="AV320" s="629"/>
      <c r="AW320" s="630"/>
      <c r="AZ320" s="489"/>
      <c r="BA320" s="631"/>
      <c r="BB320" s="491"/>
      <c r="BC320" s="491"/>
      <c r="BD320" s="491"/>
      <c r="BE320" s="491"/>
      <c r="BF320" s="491"/>
      <c r="BG320" s="491"/>
      <c r="BH320" s="491"/>
      <c r="BI320" s="491"/>
      <c r="BJ320" s="491"/>
      <c r="BL320" s="491"/>
      <c r="BM320" s="491"/>
      <c r="BN320" s="491"/>
      <c r="BO320" s="491"/>
      <c r="BP320" s="622"/>
      <c r="BQ320" s="274"/>
    </row>
    <row r="321" spans="2:69">
      <c r="B321" s="96"/>
      <c r="C321" s="96"/>
      <c r="D321" s="184"/>
      <c r="E321" s="179"/>
      <c r="F321" s="87"/>
      <c r="G321" s="87"/>
      <c r="H321" s="185"/>
      <c r="I321" s="184"/>
      <c r="J321" s="184"/>
      <c r="K321" s="184"/>
      <c r="L321" s="296"/>
      <c r="N321" s="1053"/>
      <c r="O321" s="489"/>
      <c r="P321" s="489"/>
      <c r="T321" s="626"/>
      <c r="U321" s="489"/>
      <c r="V321" s="483"/>
      <c r="W321" s="627"/>
      <c r="X321" s="628"/>
      <c r="Y321" s="489"/>
      <c r="Z321" s="629"/>
      <c r="AA321" s="626"/>
      <c r="AB321" s="481"/>
      <c r="AC321" s="1388"/>
      <c r="AD321" s="482"/>
      <c r="AE321" s="482"/>
      <c r="AF321" s="482"/>
      <c r="AG321" s="482"/>
      <c r="AH321" s="482"/>
      <c r="AI321" s="482"/>
      <c r="AJ321" s="482"/>
      <c r="AK321" s="482"/>
      <c r="AL321" s="482"/>
      <c r="AM321" s="482"/>
      <c r="AN321" s="483"/>
      <c r="AO321" s="483"/>
      <c r="AP321" s="484"/>
      <c r="AQ321" s="484"/>
      <c r="AR321" s="629"/>
      <c r="AS321" s="629"/>
      <c r="AT321" s="629"/>
      <c r="AU321" s="629"/>
      <c r="AV321" s="629"/>
      <c r="AW321" s="630"/>
      <c r="AZ321" s="489"/>
      <c r="BA321" s="631"/>
      <c r="BB321" s="491"/>
      <c r="BC321" s="491"/>
      <c r="BD321" s="491"/>
      <c r="BE321" s="491"/>
      <c r="BF321" s="491"/>
      <c r="BG321" s="491"/>
      <c r="BH321" s="491"/>
      <c r="BI321" s="491"/>
      <c r="BJ321" s="491"/>
      <c r="BL321" s="491"/>
      <c r="BM321" s="491"/>
      <c r="BN321" s="491"/>
      <c r="BO321" s="491"/>
      <c r="BP321" s="622"/>
      <c r="BQ321" s="274"/>
    </row>
    <row r="322" spans="2:69">
      <c r="B322" s="96"/>
      <c r="C322" s="96"/>
      <c r="D322" s="184"/>
      <c r="E322" s="179"/>
      <c r="F322" s="87"/>
      <c r="G322" s="87"/>
      <c r="H322" s="185"/>
      <c r="I322" s="184"/>
      <c r="J322" s="184"/>
      <c r="K322" s="184"/>
      <c r="L322" s="296"/>
      <c r="N322" s="1053"/>
      <c r="O322" s="489"/>
      <c r="P322" s="489"/>
      <c r="T322" s="626"/>
      <c r="U322" s="489"/>
      <c r="V322" s="483"/>
      <c r="W322" s="627"/>
      <c r="X322" s="628"/>
      <c r="Y322" s="489"/>
      <c r="Z322" s="629"/>
      <c r="AA322" s="626"/>
      <c r="AB322" s="481"/>
      <c r="AC322" s="1388"/>
      <c r="AD322" s="482"/>
      <c r="AE322" s="482"/>
      <c r="AF322" s="482"/>
      <c r="AG322" s="482"/>
      <c r="AH322" s="482"/>
      <c r="AI322" s="482"/>
      <c r="AJ322" s="482"/>
      <c r="AK322" s="482"/>
      <c r="AL322" s="482"/>
      <c r="AM322" s="482"/>
      <c r="AN322" s="483"/>
      <c r="AO322" s="483"/>
      <c r="AP322" s="484"/>
      <c r="AQ322" s="484"/>
      <c r="AR322" s="629"/>
      <c r="AS322" s="629"/>
      <c r="AT322" s="629"/>
      <c r="AU322" s="629"/>
      <c r="AV322" s="629"/>
      <c r="AW322" s="630"/>
      <c r="AZ322" s="489"/>
      <c r="BA322" s="631"/>
      <c r="BB322" s="491"/>
      <c r="BC322" s="491"/>
      <c r="BD322" s="491"/>
      <c r="BE322" s="491"/>
      <c r="BF322" s="491"/>
      <c r="BG322" s="491"/>
      <c r="BH322" s="491"/>
      <c r="BI322" s="491"/>
      <c r="BJ322" s="491"/>
      <c r="BL322" s="491"/>
      <c r="BM322" s="491"/>
      <c r="BN322" s="491"/>
      <c r="BO322" s="491"/>
      <c r="BP322" s="622"/>
      <c r="BQ322" s="274"/>
    </row>
    <row r="323" spans="2:69">
      <c r="B323" s="96"/>
      <c r="C323" s="96"/>
      <c r="D323" s="184"/>
      <c r="E323" s="179"/>
      <c r="F323" s="87"/>
      <c r="G323" s="87"/>
      <c r="H323" s="185"/>
      <c r="I323" s="184"/>
      <c r="J323" s="184"/>
      <c r="K323" s="184"/>
      <c r="L323" s="296"/>
      <c r="N323" s="1053"/>
      <c r="O323" s="489"/>
      <c r="P323" s="489"/>
      <c r="T323" s="626"/>
      <c r="U323" s="489"/>
      <c r="V323" s="483"/>
      <c r="W323" s="627"/>
      <c r="X323" s="628"/>
      <c r="Y323" s="489"/>
      <c r="Z323" s="629"/>
      <c r="AA323" s="626"/>
      <c r="AB323" s="481"/>
      <c r="AC323" s="1388"/>
      <c r="AD323" s="482"/>
      <c r="AE323" s="482"/>
      <c r="AF323" s="482"/>
      <c r="AG323" s="482"/>
      <c r="AH323" s="482"/>
      <c r="AI323" s="482"/>
      <c r="AJ323" s="482"/>
      <c r="AK323" s="482"/>
      <c r="AL323" s="482"/>
      <c r="AM323" s="482"/>
      <c r="AN323" s="483"/>
      <c r="AO323" s="483"/>
      <c r="AP323" s="484"/>
      <c r="AQ323" s="484"/>
      <c r="AR323" s="629"/>
      <c r="AS323" s="629"/>
      <c r="AT323" s="629"/>
      <c r="AU323" s="629"/>
      <c r="AV323" s="629"/>
      <c r="AW323" s="630"/>
      <c r="AZ323" s="489"/>
      <c r="BA323" s="631"/>
      <c r="BB323" s="491"/>
      <c r="BC323" s="491"/>
      <c r="BD323" s="491"/>
      <c r="BE323" s="491"/>
      <c r="BF323" s="491"/>
      <c r="BG323" s="491"/>
      <c r="BH323" s="491"/>
      <c r="BI323" s="491"/>
      <c r="BJ323" s="491"/>
      <c r="BL323" s="491"/>
      <c r="BM323" s="491"/>
      <c r="BN323" s="491"/>
      <c r="BO323" s="491"/>
      <c r="BP323" s="622"/>
      <c r="BQ323" s="274"/>
    </row>
    <row r="324" spans="2:69">
      <c r="B324" s="96"/>
      <c r="C324" s="96"/>
      <c r="D324" s="184"/>
      <c r="E324" s="179"/>
      <c r="F324" s="87"/>
      <c r="G324" s="87"/>
      <c r="H324" s="185"/>
      <c r="I324" s="184"/>
      <c r="J324" s="184"/>
      <c r="K324" s="184"/>
      <c r="L324" s="296"/>
      <c r="N324" s="1053"/>
      <c r="O324" s="489"/>
      <c r="P324" s="489"/>
      <c r="T324" s="626"/>
      <c r="U324" s="489"/>
      <c r="V324" s="483"/>
      <c r="W324" s="627"/>
      <c r="X324" s="628"/>
      <c r="Y324" s="489"/>
      <c r="Z324" s="629"/>
      <c r="AA324" s="626"/>
      <c r="AB324" s="481"/>
      <c r="AC324" s="1388"/>
      <c r="AD324" s="482"/>
      <c r="AE324" s="482"/>
      <c r="AF324" s="482"/>
      <c r="AG324" s="482"/>
      <c r="AH324" s="482"/>
      <c r="AI324" s="482"/>
      <c r="AJ324" s="482"/>
      <c r="AK324" s="482"/>
      <c r="AL324" s="482"/>
      <c r="AM324" s="482"/>
      <c r="AN324" s="483"/>
      <c r="AO324" s="483"/>
      <c r="AP324" s="484"/>
      <c r="AQ324" s="484"/>
      <c r="AR324" s="629"/>
      <c r="AS324" s="629"/>
      <c r="AT324" s="629"/>
      <c r="AU324" s="629"/>
      <c r="AV324" s="629"/>
      <c r="AW324" s="630"/>
      <c r="AZ324" s="489"/>
      <c r="BA324" s="631"/>
      <c r="BB324" s="491"/>
      <c r="BC324" s="491"/>
      <c r="BD324" s="491"/>
      <c r="BE324" s="491"/>
      <c r="BF324" s="491"/>
      <c r="BG324" s="491"/>
      <c r="BH324" s="491"/>
      <c r="BI324" s="491"/>
      <c r="BJ324" s="491"/>
      <c r="BL324" s="491"/>
      <c r="BM324" s="491"/>
      <c r="BN324" s="491"/>
      <c r="BO324" s="491"/>
      <c r="BP324" s="622"/>
      <c r="BQ324" s="274"/>
    </row>
    <row r="325" spans="2:69">
      <c r="B325" s="96"/>
      <c r="C325" s="96"/>
      <c r="D325" s="184"/>
      <c r="E325" s="179"/>
      <c r="F325" s="87"/>
      <c r="G325" s="87"/>
      <c r="H325" s="185"/>
      <c r="I325" s="184"/>
      <c r="J325" s="184"/>
      <c r="K325" s="184"/>
      <c r="L325" s="296"/>
      <c r="N325" s="1053"/>
      <c r="O325" s="489"/>
      <c r="P325" s="489"/>
      <c r="T325" s="626"/>
      <c r="U325" s="489"/>
      <c r="V325" s="483"/>
      <c r="W325" s="627"/>
      <c r="X325" s="628"/>
      <c r="Y325" s="489"/>
      <c r="Z325" s="629"/>
      <c r="AA325" s="626"/>
      <c r="AB325" s="481"/>
      <c r="AC325" s="1388"/>
      <c r="AD325" s="482"/>
      <c r="AE325" s="482"/>
      <c r="AF325" s="482"/>
      <c r="AG325" s="482"/>
      <c r="AH325" s="482"/>
      <c r="AI325" s="482"/>
      <c r="AJ325" s="482"/>
      <c r="AK325" s="482"/>
      <c r="AL325" s="482"/>
      <c r="AM325" s="482"/>
      <c r="AN325" s="483"/>
      <c r="AO325" s="483"/>
      <c r="AP325" s="484"/>
      <c r="AQ325" s="484"/>
      <c r="AR325" s="629"/>
      <c r="AS325" s="629"/>
      <c r="AT325" s="629"/>
      <c r="AU325" s="629"/>
      <c r="AV325" s="629"/>
      <c r="AW325" s="630"/>
      <c r="AZ325" s="489"/>
      <c r="BA325" s="631"/>
      <c r="BB325" s="491"/>
      <c r="BC325" s="491"/>
      <c r="BD325" s="491"/>
      <c r="BE325" s="491"/>
      <c r="BF325" s="491"/>
      <c r="BG325" s="491"/>
      <c r="BH325" s="491"/>
      <c r="BI325" s="491"/>
      <c r="BJ325" s="491"/>
      <c r="BL325" s="491"/>
      <c r="BM325" s="491"/>
      <c r="BN325" s="491"/>
      <c r="BO325" s="491"/>
      <c r="BP325" s="622"/>
      <c r="BQ325" s="274"/>
    </row>
    <row r="326" spans="2:69">
      <c r="B326" s="96"/>
      <c r="C326" s="96"/>
      <c r="D326" s="184"/>
      <c r="E326" s="179"/>
      <c r="F326" s="87"/>
      <c r="G326" s="87"/>
      <c r="H326" s="185"/>
      <c r="I326" s="184"/>
      <c r="J326" s="184"/>
      <c r="K326" s="184"/>
      <c r="L326" s="296"/>
      <c r="N326" s="1053"/>
      <c r="O326" s="489"/>
      <c r="P326" s="489"/>
      <c r="T326" s="626"/>
      <c r="U326" s="489"/>
      <c r="V326" s="483"/>
      <c r="W326" s="627"/>
      <c r="X326" s="628"/>
      <c r="Y326" s="489"/>
      <c r="Z326" s="629"/>
      <c r="AA326" s="626"/>
      <c r="AB326" s="481"/>
      <c r="AC326" s="1388"/>
      <c r="AD326" s="482"/>
      <c r="AE326" s="482"/>
      <c r="AF326" s="482"/>
      <c r="AG326" s="482"/>
      <c r="AH326" s="482"/>
      <c r="AI326" s="482"/>
      <c r="AJ326" s="482"/>
      <c r="AK326" s="482"/>
      <c r="AL326" s="482"/>
      <c r="AM326" s="482"/>
      <c r="AN326" s="483"/>
      <c r="AO326" s="483"/>
      <c r="AP326" s="484"/>
      <c r="AQ326" s="484"/>
      <c r="AR326" s="629"/>
      <c r="AS326" s="629"/>
      <c r="AT326" s="629"/>
      <c r="AU326" s="629"/>
      <c r="AV326" s="629"/>
      <c r="AW326" s="630"/>
      <c r="AZ326" s="489"/>
      <c r="BA326" s="631"/>
      <c r="BB326" s="491"/>
      <c r="BC326" s="491"/>
      <c r="BD326" s="491"/>
      <c r="BE326" s="491"/>
      <c r="BF326" s="491"/>
      <c r="BG326" s="491"/>
      <c r="BH326" s="491"/>
      <c r="BI326" s="491"/>
      <c r="BJ326" s="491"/>
      <c r="BL326" s="491"/>
      <c r="BM326" s="491"/>
      <c r="BN326" s="491"/>
      <c r="BO326" s="491"/>
      <c r="BP326" s="622"/>
      <c r="BQ326" s="274"/>
    </row>
    <row r="327" spans="2:69">
      <c r="B327" s="96"/>
      <c r="C327" s="96"/>
      <c r="D327" s="184"/>
      <c r="E327" s="179"/>
      <c r="F327" s="87"/>
      <c r="G327" s="87"/>
      <c r="H327" s="185"/>
      <c r="I327" s="184"/>
      <c r="J327" s="184"/>
      <c r="K327" s="184"/>
      <c r="L327" s="296"/>
      <c r="N327" s="1053"/>
      <c r="O327" s="489"/>
      <c r="P327" s="489"/>
      <c r="T327" s="626"/>
      <c r="U327" s="489"/>
      <c r="V327" s="483"/>
      <c r="W327" s="627"/>
      <c r="X327" s="628"/>
      <c r="Y327" s="489"/>
      <c r="Z327" s="629"/>
      <c r="AA327" s="626"/>
      <c r="AB327" s="481"/>
      <c r="AC327" s="1388"/>
      <c r="AD327" s="482"/>
      <c r="AE327" s="482"/>
      <c r="AF327" s="482"/>
      <c r="AG327" s="482"/>
      <c r="AH327" s="482"/>
      <c r="AI327" s="482"/>
      <c r="AJ327" s="482"/>
      <c r="AK327" s="482"/>
      <c r="AL327" s="482"/>
      <c r="AM327" s="482"/>
      <c r="AN327" s="483"/>
      <c r="AO327" s="483"/>
      <c r="AP327" s="484"/>
      <c r="AQ327" s="484"/>
      <c r="AR327" s="629"/>
      <c r="AS327" s="629"/>
      <c r="AT327" s="629"/>
      <c r="AU327" s="629"/>
      <c r="AV327" s="629"/>
      <c r="AW327" s="630"/>
      <c r="AZ327" s="489"/>
      <c r="BA327" s="631"/>
      <c r="BB327" s="491"/>
      <c r="BC327" s="491"/>
      <c r="BD327" s="491"/>
      <c r="BE327" s="491"/>
      <c r="BF327" s="491"/>
      <c r="BG327" s="491"/>
      <c r="BH327" s="491"/>
      <c r="BI327" s="491"/>
      <c r="BJ327" s="491"/>
      <c r="BL327" s="491"/>
      <c r="BM327" s="491"/>
      <c r="BN327" s="491"/>
      <c r="BO327" s="491"/>
      <c r="BP327" s="622"/>
      <c r="BQ327" s="274"/>
    </row>
    <row r="328" spans="2:69">
      <c r="B328" s="96"/>
      <c r="C328" s="96"/>
      <c r="D328" s="184"/>
      <c r="E328" s="179"/>
      <c r="F328" s="87"/>
      <c r="G328" s="87"/>
      <c r="H328" s="185"/>
      <c r="I328" s="184"/>
      <c r="J328" s="184"/>
      <c r="K328" s="184"/>
      <c r="L328" s="296"/>
      <c r="N328" s="1053"/>
      <c r="O328" s="489"/>
      <c r="P328" s="489"/>
      <c r="T328" s="626"/>
      <c r="U328" s="489"/>
      <c r="V328" s="483"/>
      <c r="W328" s="627"/>
      <c r="X328" s="628"/>
      <c r="Y328" s="489"/>
      <c r="Z328" s="629"/>
      <c r="AA328" s="626"/>
      <c r="AB328" s="481"/>
      <c r="AC328" s="1388"/>
      <c r="AD328" s="482"/>
      <c r="AE328" s="482"/>
      <c r="AF328" s="482"/>
      <c r="AG328" s="482"/>
      <c r="AH328" s="482"/>
      <c r="AI328" s="482"/>
      <c r="AJ328" s="482"/>
      <c r="AK328" s="482"/>
      <c r="AL328" s="482"/>
      <c r="AM328" s="482"/>
      <c r="AN328" s="483"/>
      <c r="AO328" s="483"/>
      <c r="AP328" s="484"/>
      <c r="AQ328" s="484"/>
      <c r="AR328" s="629"/>
      <c r="AS328" s="629"/>
      <c r="AT328" s="629"/>
      <c r="AU328" s="629"/>
      <c r="AV328" s="629"/>
      <c r="AW328" s="630"/>
      <c r="AZ328" s="489"/>
      <c r="BA328" s="631"/>
      <c r="BB328" s="491"/>
      <c r="BC328" s="491"/>
      <c r="BD328" s="491"/>
      <c r="BE328" s="491"/>
      <c r="BF328" s="491"/>
      <c r="BG328" s="491"/>
      <c r="BH328" s="491"/>
      <c r="BI328" s="491"/>
      <c r="BJ328" s="491"/>
      <c r="BL328" s="491"/>
      <c r="BM328" s="491"/>
      <c r="BN328" s="491"/>
      <c r="BO328" s="491"/>
      <c r="BP328" s="622"/>
      <c r="BQ328" s="274"/>
    </row>
    <row r="329" spans="2:69">
      <c r="B329" s="96"/>
      <c r="C329" s="96"/>
      <c r="D329" s="184"/>
      <c r="E329" s="179"/>
      <c r="F329" s="87"/>
      <c r="G329" s="87"/>
      <c r="H329" s="185"/>
      <c r="I329" s="184"/>
      <c r="J329" s="184"/>
      <c r="K329" s="184"/>
      <c r="L329" s="296"/>
      <c r="N329" s="1053"/>
      <c r="O329" s="489"/>
      <c r="P329" s="489"/>
      <c r="T329" s="626"/>
      <c r="U329" s="489"/>
      <c r="V329" s="483"/>
      <c r="W329" s="627"/>
      <c r="X329" s="628"/>
      <c r="Y329" s="489"/>
      <c r="Z329" s="629"/>
      <c r="AA329" s="626"/>
      <c r="AB329" s="481"/>
      <c r="AC329" s="1388"/>
      <c r="AD329" s="482"/>
      <c r="AE329" s="482"/>
      <c r="AF329" s="482"/>
      <c r="AG329" s="482"/>
      <c r="AH329" s="482"/>
      <c r="AI329" s="482"/>
      <c r="AJ329" s="482"/>
      <c r="AK329" s="482"/>
      <c r="AL329" s="482"/>
      <c r="AM329" s="482"/>
      <c r="AN329" s="483"/>
      <c r="AO329" s="483"/>
      <c r="AP329" s="484"/>
      <c r="AQ329" s="484"/>
      <c r="AR329" s="629"/>
      <c r="AS329" s="629"/>
      <c r="AT329" s="629"/>
      <c r="AU329" s="629"/>
      <c r="AV329" s="629"/>
      <c r="AW329" s="630"/>
      <c r="AZ329" s="489"/>
      <c r="BA329" s="631"/>
      <c r="BB329" s="491"/>
      <c r="BC329" s="491"/>
      <c r="BD329" s="491"/>
      <c r="BE329" s="491"/>
      <c r="BF329" s="491"/>
      <c r="BG329" s="491"/>
      <c r="BH329" s="491"/>
      <c r="BI329" s="491"/>
      <c r="BJ329" s="491"/>
      <c r="BL329" s="491"/>
      <c r="BM329" s="491"/>
      <c r="BN329" s="491"/>
      <c r="BO329" s="491"/>
      <c r="BP329" s="622"/>
      <c r="BQ329" s="274"/>
    </row>
    <row r="330" spans="2:69">
      <c r="B330" s="96"/>
      <c r="C330" s="96"/>
      <c r="D330" s="184"/>
      <c r="E330" s="179"/>
      <c r="F330" s="87"/>
      <c r="G330" s="87"/>
      <c r="H330" s="185"/>
      <c r="I330" s="184"/>
      <c r="J330" s="184"/>
      <c r="K330" s="184"/>
      <c r="L330" s="296"/>
      <c r="N330" s="1053"/>
      <c r="O330" s="489"/>
      <c r="P330" s="489"/>
      <c r="T330" s="626"/>
      <c r="U330" s="489"/>
      <c r="V330" s="483"/>
      <c r="W330" s="627"/>
      <c r="X330" s="628"/>
      <c r="Y330" s="489"/>
      <c r="Z330" s="629"/>
      <c r="AA330" s="626"/>
      <c r="AB330" s="481"/>
      <c r="AC330" s="1388"/>
      <c r="AD330" s="482"/>
      <c r="AE330" s="482"/>
      <c r="AF330" s="482"/>
      <c r="AG330" s="482"/>
      <c r="AH330" s="482"/>
      <c r="AI330" s="482"/>
      <c r="AJ330" s="482"/>
      <c r="AK330" s="482"/>
      <c r="AL330" s="482"/>
      <c r="AM330" s="482"/>
      <c r="AN330" s="483"/>
      <c r="AO330" s="483"/>
      <c r="AP330" s="484"/>
      <c r="AQ330" s="484"/>
      <c r="AR330" s="629"/>
      <c r="AS330" s="629"/>
      <c r="AT330" s="629"/>
      <c r="AU330" s="629"/>
      <c r="AV330" s="629"/>
      <c r="AW330" s="630"/>
      <c r="AZ330" s="489"/>
      <c r="BA330" s="631"/>
      <c r="BB330" s="491"/>
      <c r="BC330" s="491"/>
      <c r="BD330" s="491"/>
      <c r="BE330" s="491"/>
      <c r="BF330" s="491"/>
      <c r="BG330" s="491"/>
      <c r="BH330" s="491"/>
      <c r="BI330" s="491"/>
      <c r="BJ330" s="491"/>
      <c r="BL330" s="491"/>
      <c r="BM330" s="491"/>
      <c r="BN330" s="491"/>
      <c r="BO330" s="491"/>
      <c r="BP330" s="622"/>
      <c r="BQ330" s="274"/>
    </row>
    <row r="331" spans="2:69">
      <c r="B331" s="96"/>
      <c r="C331" s="96"/>
      <c r="D331" s="184"/>
      <c r="E331" s="179"/>
      <c r="F331" s="87"/>
      <c r="G331" s="87"/>
      <c r="H331" s="185"/>
      <c r="I331" s="184"/>
      <c r="J331" s="184"/>
      <c r="K331" s="184"/>
      <c r="L331" s="296"/>
      <c r="N331" s="1053"/>
      <c r="O331" s="489"/>
      <c r="P331" s="489"/>
      <c r="T331" s="626"/>
      <c r="U331" s="489"/>
      <c r="V331" s="483"/>
      <c r="W331" s="627"/>
      <c r="X331" s="628"/>
      <c r="Y331" s="489"/>
      <c r="Z331" s="629"/>
      <c r="AA331" s="626"/>
      <c r="AB331" s="481"/>
      <c r="AC331" s="1388"/>
      <c r="AD331" s="482"/>
      <c r="AE331" s="482"/>
      <c r="AF331" s="482"/>
      <c r="AG331" s="482"/>
      <c r="AH331" s="482"/>
      <c r="AI331" s="482"/>
      <c r="AJ331" s="482"/>
      <c r="AK331" s="482"/>
      <c r="AL331" s="482"/>
      <c r="AM331" s="482"/>
      <c r="AN331" s="483"/>
      <c r="AO331" s="483"/>
      <c r="AP331" s="484"/>
      <c r="AQ331" s="484"/>
      <c r="AR331" s="629"/>
      <c r="AS331" s="629"/>
      <c r="AT331" s="629"/>
      <c r="AU331" s="629"/>
      <c r="AV331" s="629"/>
      <c r="AW331" s="630"/>
      <c r="AZ331" s="489"/>
      <c r="BA331" s="631"/>
      <c r="BB331" s="491"/>
      <c r="BC331" s="491"/>
      <c r="BD331" s="491"/>
      <c r="BE331" s="491"/>
      <c r="BF331" s="491"/>
      <c r="BG331" s="491"/>
      <c r="BH331" s="491"/>
      <c r="BI331" s="491"/>
      <c r="BJ331" s="491"/>
      <c r="BL331" s="491"/>
      <c r="BM331" s="491"/>
      <c r="BN331" s="491"/>
      <c r="BO331" s="491"/>
      <c r="BP331" s="622"/>
      <c r="BQ331" s="274"/>
    </row>
    <row r="332" spans="2:69">
      <c r="B332" s="96"/>
      <c r="C332" s="96"/>
      <c r="D332" s="184"/>
      <c r="E332" s="179"/>
      <c r="F332" s="87"/>
      <c r="G332" s="87"/>
      <c r="H332" s="185"/>
      <c r="I332" s="184"/>
      <c r="J332" s="184"/>
      <c r="K332" s="184"/>
      <c r="L332" s="296"/>
      <c r="N332" s="1053"/>
      <c r="O332" s="489"/>
      <c r="P332" s="489"/>
      <c r="T332" s="626"/>
      <c r="U332" s="489"/>
      <c r="V332" s="483"/>
      <c r="W332" s="627"/>
      <c r="X332" s="628"/>
      <c r="Y332" s="489"/>
      <c r="Z332" s="629"/>
      <c r="AA332" s="626"/>
      <c r="AB332" s="481"/>
      <c r="AC332" s="1388"/>
      <c r="AD332" s="482"/>
      <c r="AE332" s="482"/>
      <c r="AF332" s="482"/>
      <c r="AG332" s="482"/>
      <c r="AH332" s="482"/>
      <c r="AI332" s="482"/>
      <c r="AJ332" s="482"/>
      <c r="AK332" s="482"/>
      <c r="AL332" s="482"/>
      <c r="AM332" s="482"/>
      <c r="AN332" s="483"/>
      <c r="AO332" s="483"/>
      <c r="AP332" s="484"/>
      <c r="AQ332" s="484"/>
      <c r="AR332" s="629"/>
      <c r="AS332" s="629"/>
      <c r="AT332" s="629"/>
      <c r="AU332" s="629"/>
      <c r="AV332" s="629"/>
      <c r="AW332" s="630"/>
      <c r="AZ332" s="489"/>
      <c r="BA332" s="631"/>
      <c r="BB332" s="491"/>
      <c r="BC332" s="491"/>
      <c r="BD332" s="491"/>
      <c r="BE332" s="491"/>
      <c r="BF332" s="491"/>
      <c r="BG332" s="491"/>
      <c r="BH332" s="491"/>
      <c r="BI332" s="491"/>
      <c r="BJ332" s="491"/>
      <c r="BL332" s="491"/>
      <c r="BM332" s="491"/>
      <c r="BN332" s="491"/>
      <c r="BO332" s="491"/>
      <c r="BP332" s="622"/>
      <c r="BQ332" s="274"/>
    </row>
    <row r="333" spans="2:69">
      <c r="B333" s="96"/>
      <c r="C333" s="96"/>
      <c r="D333" s="184"/>
      <c r="E333" s="179"/>
      <c r="F333" s="87"/>
      <c r="G333" s="87"/>
      <c r="H333" s="185"/>
      <c r="I333" s="184"/>
      <c r="J333" s="184"/>
      <c r="K333" s="184"/>
      <c r="L333" s="296"/>
      <c r="N333" s="1053"/>
      <c r="O333" s="489"/>
      <c r="P333" s="489"/>
      <c r="T333" s="626"/>
      <c r="U333" s="489"/>
      <c r="V333" s="483"/>
      <c r="W333" s="627"/>
      <c r="X333" s="628"/>
      <c r="Y333" s="489"/>
      <c r="Z333" s="629"/>
      <c r="AA333" s="626"/>
      <c r="AB333" s="481"/>
      <c r="AC333" s="1388"/>
      <c r="AD333" s="482"/>
      <c r="AE333" s="482"/>
      <c r="AF333" s="482"/>
      <c r="AG333" s="482"/>
      <c r="AH333" s="482"/>
      <c r="AI333" s="482"/>
      <c r="AJ333" s="482"/>
      <c r="AK333" s="482"/>
      <c r="AL333" s="482"/>
      <c r="AM333" s="482"/>
      <c r="AN333" s="483"/>
      <c r="AO333" s="483"/>
      <c r="AP333" s="484"/>
      <c r="AQ333" s="484"/>
      <c r="AR333" s="629"/>
      <c r="AS333" s="629"/>
      <c r="AT333" s="629"/>
      <c r="AU333" s="629"/>
      <c r="AV333" s="629"/>
      <c r="AW333" s="630"/>
      <c r="AZ333" s="489"/>
      <c r="BA333" s="631"/>
      <c r="BB333" s="491"/>
      <c r="BC333" s="491"/>
      <c r="BD333" s="491"/>
      <c r="BE333" s="491"/>
      <c r="BF333" s="491"/>
      <c r="BG333" s="491"/>
      <c r="BH333" s="491"/>
      <c r="BI333" s="491"/>
      <c r="BJ333" s="491"/>
      <c r="BL333" s="491"/>
      <c r="BM333" s="491"/>
      <c r="BN333" s="491"/>
      <c r="BO333" s="491"/>
      <c r="BP333" s="622"/>
      <c r="BQ333" s="274"/>
    </row>
    <row r="334" spans="2:69">
      <c r="B334" s="96"/>
      <c r="C334" s="96"/>
      <c r="D334" s="184"/>
      <c r="E334" s="179"/>
      <c r="F334" s="87"/>
      <c r="G334" s="87"/>
      <c r="H334" s="185"/>
      <c r="I334" s="184"/>
      <c r="J334" s="184"/>
      <c r="K334" s="184"/>
      <c r="L334" s="296"/>
      <c r="N334" s="1053"/>
      <c r="O334" s="489"/>
      <c r="P334" s="489"/>
      <c r="T334" s="626"/>
      <c r="U334" s="489"/>
      <c r="V334" s="483"/>
      <c r="W334" s="627"/>
      <c r="X334" s="628"/>
      <c r="Y334" s="489"/>
      <c r="Z334" s="629"/>
      <c r="AA334" s="626"/>
      <c r="AB334" s="481"/>
      <c r="AC334" s="1388"/>
      <c r="AD334" s="482"/>
      <c r="AE334" s="482"/>
      <c r="AF334" s="482"/>
      <c r="AG334" s="482"/>
      <c r="AH334" s="482"/>
      <c r="AI334" s="482"/>
      <c r="AJ334" s="482"/>
      <c r="AK334" s="482"/>
      <c r="AL334" s="482"/>
      <c r="AM334" s="482"/>
      <c r="AN334" s="483"/>
      <c r="AO334" s="483"/>
      <c r="AP334" s="484"/>
      <c r="AQ334" s="484"/>
      <c r="AR334" s="629"/>
      <c r="AS334" s="629"/>
      <c r="AT334" s="629"/>
      <c r="AU334" s="629"/>
      <c r="AV334" s="629"/>
      <c r="AW334" s="630"/>
      <c r="AZ334" s="489"/>
      <c r="BA334" s="631"/>
      <c r="BB334" s="491"/>
      <c r="BC334" s="491"/>
      <c r="BD334" s="491"/>
      <c r="BE334" s="491"/>
      <c r="BF334" s="491"/>
      <c r="BG334" s="491"/>
      <c r="BH334" s="491"/>
      <c r="BI334" s="491"/>
      <c r="BJ334" s="491"/>
      <c r="BL334" s="491"/>
      <c r="BM334" s="491"/>
      <c r="BN334" s="491"/>
      <c r="BO334" s="491"/>
      <c r="BP334" s="622"/>
      <c r="BQ334" s="274"/>
    </row>
    <row r="335" spans="2:69">
      <c r="B335" s="96"/>
      <c r="C335" s="96"/>
      <c r="D335" s="184"/>
      <c r="E335" s="179"/>
      <c r="F335" s="87"/>
      <c r="G335" s="87"/>
      <c r="H335" s="185"/>
      <c r="I335" s="184"/>
      <c r="J335" s="184"/>
      <c r="K335" s="184"/>
      <c r="L335" s="296"/>
      <c r="N335" s="1053"/>
      <c r="O335" s="489"/>
      <c r="P335" s="489"/>
      <c r="T335" s="626"/>
      <c r="U335" s="489"/>
      <c r="V335" s="483"/>
      <c r="W335" s="627"/>
      <c r="X335" s="628"/>
      <c r="Y335" s="489"/>
      <c r="Z335" s="629"/>
      <c r="AA335" s="626"/>
      <c r="AB335" s="481"/>
      <c r="AC335" s="1388"/>
      <c r="AD335" s="482"/>
      <c r="AE335" s="482"/>
      <c r="AF335" s="482"/>
      <c r="AG335" s="482"/>
      <c r="AH335" s="482"/>
      <c r="AI335" s="482"/>
      <c r="AJ335" s="482"/>
      <c r="AK335" s="482"/>
      <c r="AL335" s="482"/>
      <c r="AM335" s="482"/>
      <c r="AN335" s="483"/>
      <c r="AO335" s="483"/>
      <c r="AP335" s="484"/>
      <c r="AQ335" s="484"/>
      <c r="AR335" s="629"/>
      <c r="AS335" s="629"/>
      <c r="AT335" s="629"/>
      <c r="AU335" s="629"/>
      <c r="AV335" s="629"/>
      <c r="AW335" s="630"/>
      <c r="AZ335" s="489"/>
      <c r="BA335" s="631"/>
      <c r="BB335" s="491"/>
      <c r="BC335" s="491"/>
      <c r="BD335" s="491"/>
      <c r="BE335" s="491"/>
      <c r="BF335" s="491"/>
      <c r="BG335" s="491"/>
      <c r="BH335" s="491"/>
      <c r="BI335" s="491"/>
      <c r="BJ335" s="491"/>
      <c r="BL335" s="491"/>
      <c r="BM335" s="491"/>
      <c r="BN335" s="491"/>
      <c r="BO335" s="491"/>
      <c r="BP335" s="622"/>
      <c r="BQ335" s="274"/>
    </row>
    <row r="336" spans="2:69">
      <c r="B336" s="96"/>
      <c r="C336" s="96"/>
      <c r="D336" s="184"/>
      <c r="E336" s="179"/>
      <c r="F336" s="87"/>
      <c r="G336" s="87"/>
      <c r="H336" s="185"/>
      <c r="I336" s="184"/>
      <c r="J336" s="184"/>
      <c r="K336" s="184"/>
      <c r="L336" s="296"/>
      <c r="N336" s="1053"/>
      <c r="O336" s="489"/>
      <c r="P336" s="489"/>
      <c r="T336" s="626"/>
      <c r="U336" s="489"/>
      <c r="V336" s="483"/>
      <c r="W336" s="627"/>
      <c r="X336" s="628"/>
      <c r="Y336" s="489"/>
      <c r="Z336" s="629"/>
      <c r="AA336" s="626"/>
      <c r="AB336" s="481"/>
      <c r="AC336" s="1388"/>
      <c r="AD336" s="482"/>
      <c r="AE336" s="482"/>
      <c r="AF336" s="482"/>
      <c r="AG336" s="482"/>
      <c r="AH336" s="482"/>
      <c r="AI336" s="482"/>
      <c r="AJ336" s="482"/>
      <c r="AK336" s="482"/>
      <c r="AL336" s="482"/>
      <c r="AM336" s="482"/>
      <c r="AN336" s="483"/>
      <c r="AO336" s="483"/>
      <c r="AP336" s="484"/>
      <c r="AQ336" s="484"/>
      <c r="AR336" s="629"/>
      <c r="AS336" s="629"/>
      <c r="AT336" s="629"/>
      <c r="AU336" s="629"/>
      <c r="AV336" s="629"/>
      <c r="AW336" s="630"/>
      <c r="AZ336" s="489"/>
      <c r="BA336" s="631"/>
      <c r="BB336" s="491"/>
      <c r="BC336" s="491"/>
      <c r="BD336" s="491"/>
      <c r="BE336" s="491"/>
      <c r="BF336" s="491"/>
      <c r="BG336" s="491"/>
      <c r="BH336" s="491"/>
      <c r="BI336" s="491"/>
      <c r="BJ336" s="491"/>
      <c r="BL336" s="491"/>
      <c r="BM336" s="491"/>
      <c r="BN336" s="491"/>
      <c r="BO336" s="491"/>
      <c r="BP336" s="622"/>
      <c r="BQ336" s="274"/>
    </row>
    <row r="337" spans="2:69">
      <c r="B337" s="96"/>
      <c r="C337" s="96"/>
      <c r="D337" s="184"/>
      <c r="E337" s="179"/>
      <c r="F337" s="87"/>
      <c r="G337" s="87"/>
      <c r="H337" s="185"/>
      <c r="I337" s="184"/>
      <c r="J337" s="184"/>
      <c r="K337" s="184"/>
      <c r="L337" s="296"/>
      <c r="N337" s="1053"/>
      <c r="O337" s="489"/>
      <c r="P337" s="489"/>
      <c r="T337" s="626"/>
      <c r="U337" s="489"/>
      <c r="V337" s="483"/>
      <c r="W337" s="627"/>
      <c r="X337" s="628"/>
      <c r="Y337" s="489"/>
      <c r="Z337" s="629"/>
      <c r="AA337" s="626"/>
      <c r="AB337" s="481"/>
      <c r="AC337" s="1388"/>
      <c r="AD337" s="482"/>
      <c r="AE337" s="482"/>
      <c r="AF337" s="482"/>
      <c r="AG337" s="482"/>
      <c r="AH337" s="482"/>
      <c r="AI337" s="482"/>
      <c r="AJ337" s="482"/>
      <c r="AK337" s="482"/>
      <c r="AL337" s="482"/>
      <c r="AM337" s="482"/>
      <c r="AN337" s="483"/>
      <c r="AO337" s="483"/>
      <c r="AP337" s="484"/>
      <c r="AQ337" s="484"/>
      <c r="AR337" s="629"/>
      <c r="AS337" s="629"/>
      <c r="AT337" s="629"/>
      <c r="AU337" s="629"/>
      <c r="AV337" s="629"/>
      <c r="AW337" s="630"/>
      <c r="AZ337" s="489"/>
      <c r="BA337" s="631"/>
      <c r="BB337" s="491"/>
      <c r="BC337" s="491"/>
      <c r="BD337" s="491"/>
      <c r="BE337" s="491"/>
      <c r="BF337" s="491"/>
      <c r="BG337" s="491"/>
      <c r="BH337" s="491"/>
      <c r="BI337" s="491"/>
      <c r="BJ337" s="491"/>
      <c r="BL337" s="491"/>
      <c r="BM337" s="491"/>
      <c r="BN337" s="491"/>
      <c r="BO337" s="491"/>
      <c r="BP337" s="622"/>
      <c r="BQ337" s="274"/>
    </row>
    <row r="338" spans="2:69">
      <c r="B338" s="96"/>
      <c r="C338" s="96"/>
      <c r="D338" s="184"/>
      <c r="E338" s="179"/>
      <c r="F338" s="87"/>
      <c r="G338" s="87"/>
      <c r="H338" s="185"/>
      <c r="I338" s="184"/>
      <c r="J338" s="184"/>
      <c r="K338" s="184"/>
      <c r="L338" s="296"/>
      <c r="N338" s="1053"/>
      <c r="O338" s="489"/>
      <c r="P338" s="489"/>
      <c r="T338" s="626"/>
      <c r="U338" s="489"/>
      <c r="V338" s="483"/>
      <c r="W338" s="627"/>
      <c r="X338" s="628"/>
      <c r="Y338" s="489"/>
      <c r="Z338" s="629"/>
      <c r="AA338" s="626"/>
      <c r="AB338" s="481"/>
      <c r="AC338" s="1388"/>
      <c r="AD338" s="482"/>
      <c r="AE338" s="482"/>
      <c r="AF338" s="482"/>
      <c r="AG338" s="482"/>
      <c r="AH338" s="482"/>
      <c r="AI338" s="482"/>
      <c r="AJ338" s="482"/>
      <c r="AK338" s="482"/>
      <c r="AL338" s="482"/>
      <c r="AM338" s="482"/>
      <c r="AN338" s="483"/>
      <c r="AO338" s="483"/>
      <c r="AP338" s="484"/>
      <c r="AQ338" s="484"/>
      <c r="AR338" s="629"/>
      <c r="AS338" s="629"/>
      <c r="AT338" s="629"/>
      <c r="AU338" s="629"/>
      <c r="AV338" s="629"/>
      <c r="AW338" s="630"/>
      <c r="AZ338" s="489"/>
      <c r="BA338" s="631"/>
      <c r="BB338" s="491"/>
      <c r="BC338" s="491"/>
      <c r="BD338" s="491"/>
      <c r="BE338" s="491"/>
      <c r="BF338" s="491"/>
      <c r="BG338" s="491"/>
      <c r="BH338" s="491"/>
      <c r="BI338" s="491"/>
      <c r="BJ338" s="491"/>
      <c r="BL338" s="491"/>
      <c r="BM338" s="491"/>
      <c r="BN338" s="491"/>
      <c r="BO338" s="491"/>
      <c r="BP338" s="622"/>
      <c r="BQ338" s="274"/>
    </row>
    <row r="339" spans="2:69">
      <c r="B339" s="96"/>
      <c r="C339" s="96"/>
      <c r="D339" s="184"/>
      <c r="E339" s="179"/>
      <c r="F339" s="87"/>
      <c r="G339" s="87"/>
      <c r="H339" s="185"/>
      <c r="I339" s="184"/>
      <c r="J339" s="184"/>
      <c r="K339" s="184"/>
      <c r="L339" s="296"/>
      <c r="N339" s="1053"/>
      <c r="O339" s="489"/>
      <c r="P339" s="489"/>
      <c r="T339" s="626"/>
      <c r="U339" s="489"/>
      <c r="V339" s="483"/>
      <c r="W339" s="627"/>
      <c r="X339" s="628"/>
      <c r="Y339" s="489"/>
      <c r="Z339" s="629"/>
      <c r="AA339" s="626"/>
      <c r="AB339" s="481"/>
      <c r="AC339" s="1388"/>
      <c r="AD339" s="482"/>
      <c r="AE339" s="482"/>
      <c r="AF339" s="482"/>
      <c r="AG339" s="482"/>
      <c r="AH339" s="482"/>
      <c r="AI339" s="482"/>
      <c r="AJ339" s="482"/>
      <c r="AK339" s="482"/>
      <c r="AL339" s="482"/>
      <c r="AM339" s="482"/>
      <c r="AN339" s="483"/>
      <c r="AO339" s="483"/>
      <c r="AP339" s="484"/>
      <c r="AQ339" s="484"/>
      <c r="AR339" s="629"/>
      <c r="AS339" s="629"/>
      <c r="AT339" s="629"/>
      <c r="AU339" s="629"/>
      <c r="AV339" s="629"/>
      <c r="AW339" s="630"/>
      <c r="AZ339" s="489"/>
      <c r="BA339" s="631"/>
      <c r="BB339" s="491"/>
      <c r="BC339" s="491"/>
      <c r="BD339" s="491"/>
      <c r="BE339" s="491"/>
      <c r="BF339" s="491"/>
      <c r="BG339" s="491"/>
      <c r="BH339" s="491"/>
      <c r="BI339" s="491"/>
      <c r="BJ339" s="491"/>
      <c r="BL339" s="491"/>
      <c r="BM339" s="491"/>
      <c r="BN339" s="491"/>
      <c r="BO339" s="491"/>
      <c r="BP339" s="622"/>
      <c r="BQ339" s="274"/>
    </row>
    <row r="340" spans="2:69">
      <c r="B340" s="96"/>
      <c r="C340" s="96"/>
      <c r="D340" s="184"/>
      <c r="E340" s="179"/>
      <c r="F340" s="87"/>
      <c r="G340" s="87"/>
      <c r="H340" s="185"/>
      <c r="I340" s="184"/>
      <c r="J340" s="184"/>
      <c r="K340" s="184"/>
      <c r="L340" s="296"/>
      <c r="N340" s="1053"/>
      <c r="O340" s="489"/>
      <c r="P340" s="489"/>
      <c r="T340" s="626"/>
      <c r="U340" s="489"/>
      <c r="V340" s="483"/>
      <c r="W340" s="627"/>
      <c r="X340" s="628"/>
      <c r="Y340" s="489"/>
      <c r="Z340" s="629"/>
      <c r="AA340" s="626"/>
      <c r="AB340" s="481"/>
      <c r="AC340" s="1388"/>
      <c r="AD340" s="482"/>
      <c r="AE340" s="482"/>
      <c r="AF340" s="482"/>
      <c r="AG340" s="482"/>
      <c r="AH340" s="482"/>
      <c r="AI340" s="482"/>
      <c r="AJ340" s="482"/>
      <c r="AK340" s="482"/>
      <c r="AL340" s="482"/>
      <c r="AM340" s="482"/>
      <c r="AN340" s="483"/>
      <c r="AO340" s="483"/>
      <c r="AP340" s="484"/>
      <c r="AQ340" s="484"/>
      <c r="AR340" s="629"/>
      <c r="AS340" s="629"/>
      <c r="AT340" s="629"/>
      <c r="AU340" s="629"/>
      <c r="AV340" s="629"/>
      <c r="AW340" s="630"/>
      <c r="AZ340" s="489"/>
      <c r="BA340" s="631"/>
      <c r="BB340" s="491"/>
      <c r="BC340" s="491"/>
      <c r="BD340" s="491"/>
      <c r="BE340" s="491"/>
      <c r="BF340" s="491"/>
      <c r="BG340" s="491"/>
      <c r="BH340" s="491"/>
      <c r="BI340" s="491"/>
      <c r="BJ340" s="491"/>
      <c r="BL340" s="491"/>
      <c r="BM340" s="491"/>
      <c r="BN340" s="491"/>
      <c r="BO340" s="491"/>
      <c r="BP340" s="622"/>
      <c r="BQ340" s="274"/>
    </row>
    <row r="341" spans="2:69">
      <c r="B341" s="96"/>
      <c r="C341" s="96"/>
      <c r="D341" s="184"/>
      <c r="E341" s="179"/>
      <c r="F341" s="87"/>
      <c r="G341" s="87"/>
      <c r="H341" s="185"/>
      <c r="I341" s="184"/>
      <c r="J341" s="184"/>
      <c r="K341" s="184"/>
      <c r="L341" s="296"/>
      <c r="N341" s="1053"/>
      <c r="O341" s="489"/>
      <c r="P341" s="489"/>
      <c r="T341" s="626"/>
      <c r="U341" s="489"/>
      <c r="V341" s="483"/>
      <c r="W341" s="627"/>
      <c r="X341" s="628"/>
      <c r="Y341" s="489"/>
      <c r="Z341" s="629"/>
      <c r="AA341" s="626"/>
      <c r="AB341" s="481"/>
      <c r="AC341" s="1388"/>
      <c r="AD341" s="482"/>
      <c r="AE341" s="482"/>
      <c r="AF341" s="482"/>
      <c r="AG341" s="482"/>
      <c r="AH341" s="482"/>
      <c r="AI341" s="482"/>
      <c r="AJ341" s="482"/>
      <c r="AK341" s="482"/>
      <c r="AL341" s="482"/>
      <c r="AM341" s="482"/>
      <c r="AN341" s="483"/>
      <c r="AO341" s="483"/>
      <c r="AP341" s="484"/>
      <c r="AQ341" s="484"/>
      <c r="AR341" s="629"/>
      <c r="AS341" s="629"/>
      <c r="AT341" s="629"/>
      <c r="AU341" s="629"/>
      <c r="AV341" s="629"/>
      <c r="AW341" s="630"/>
      <c r="AZ341" s="489"/>
      <c r="BA341" s="631"/>
      <c r="BB341" s="491"/>
      <c r="BC341" s="491"/>
      <c r="BD341" s="491"/>
      <c r="BE341" s="491"/>
      <c r="BF341" s="491"/>
      <c r="BG341" s="491"/>
      <c r="BH341" s="491"/>
      <c r="BI341" s="491"/>
      <c r="BJ341" s="491"/>
      <c r="BL341" s="491"/>
      <c r="BM341" s="491"/>
      <c r="BN341" s="491"/>
      <c r="BO341" s="491"/>
      <c r="BP341" s="622"/>
      <c r="BQ341" s="274"/>
    </row>
    <row r="342" spans="2:69">
      <c r="B342" s="96"/>
      <c r="C342" s="96"/>
      <c r="D342" s="184"/>
      <c r="E342" s="179"/>
      <c r="F342" s="87"/>
      <c r="G342" s="87"/>
      <c r="H342" s="185"/>
      <c r="I342" s="184"/>
      <c r="J342" s="184"/>
      <c r="K342" s="184"/>
      <c r="L342" s="296"/>
      <c r="N342" s="1053"/>
      <c r="O342" s="489"/>
      <c r="P342" s="489"/>
      <c r="T342" s="626"/>
      <c r="U342" s="489"/>
      <c r="V342" s="483"/>
      <c r="W342" s="627"/>
      <c r="X342" s="628"/>
      <c r="Y342" s="489"/>
      <c r="Z342" s="629"/>
      <c r="AA342" s="626"/>
      <c r="AB342" s="481"/>
      <c r="AC342" s="1388"/>
      <c r="AD342" s="482"/>
      <c r="AE342" s="482"/>
      <c r="AF342" s="482"/>
      <c r="AG342" s="482"/>
      <c r="AH342" s="482"/>
      <c r="AI342" s="482"/>
      <c r="AJ342" s="482"/>
      <c r="AK342" s="482"/>
      <c r="AL342" s="482"/>
      <c r="AM342" s="482"/>
      <c r="AN342" s="483"/>
      <c r="AO342" s="483"/>
      <c r="AP342" s="484"/>
      <c r="AQ342" s="484"/>
      <c r="AR342" s="629"/>
      <c r="AS342" s="629"/>
      <c r="AT342" s="629"/>
      <c r="AU342" s="629"/>
      <c r="AV342" s="629"/>
      <c r="AW342" s="630"/>
      <c r="AZ342" s="489"/>
      <c r="BA342" s="631"/>
      <c r="BB342" s="491"/>
      <c r="BC342" s="491"/>
      <c r="BD342" s="491"/>
      <c r="BE342" s="491"/>
      <c r="BF342" s="491"/>
      <c r="BG342" s="491"/>
      <c r="BH342" s="491"/>
      <c r="BI342" s="491"/>
      <c r="BJ342" s="491"/>
      <c r="BL342" s="491"/>
      <c r="BM342" s="491"/>
      <c r="BN342" s="491"/>
      <c r="BO342" s="491"/>
      <c r="BP342" s="622"/>
      <c r="BQ342" s="274"/>
    </row>
    <row r="343" spans="2:69">
      <c r="B343" s="96"/>
      <c r="C343" s="96"/>
      <c r="D343" s="184"/>
      <c r="E343" s="179"/>
      <c r="F343" s="87"/>
      <c r="G343" s="87"/>
      <c r="H343" s="185"/>
      <c r="I343" s="184"/>
      <c r="J343" s="184"/>
      <c r="K343" s="184"/>
      <c r="L343" s="296"/>
      <c r="N343" s="1053"/>
      <c r="O343" s="489"/>
      <c r="P343" s="489"/>
      <c r="T343" s="626"/>
      <c r="U343" s="489"/>
      <c r="V343" s="483"/>
      <c r="W343" s="627"/>
      <c r="X343" s="628"/>
      <c r="Y343" s="489"/>
      <c r="Z343" s="629"/>
      <c r="AA343" s="626"/>
      <c r="AB343" s="481"/>
      <c r="AC343" s="1388"/>
      <c r="AD343" s="482"/>
      <c r="AE343" s="482"/>
      <c r="AF343" s="482"/>
      <c r="AG343" s="482"/>
      <c r="AH343" s="482"/>
      <c r="AI343" s="482"/>
      <c r="AJ343" s="482"/>
      <c r="AK343" s="482"/>
      <c r="AL343" s="482"/>
      <c r="AM343" s="482"/>
      <c r="AN343" s="483"/>
      <c r="AO343" s="483"/>
      <c r="AP343" s="484"/>
      <c r="AQ343" s="484"/>
      <c r="AR343" s="629"/>
      <c r="AS343" s="629"/>
      <c r="AT343" s="629"/>
      <c r="AU343" s="629"/>
      <c r="AV343" s="629"/>
      <c r="AW343" s="630"/>
      <c r="AZ343" s="489"/>
      <c r="BA343" s="631"/>
      <c r="BB343" s="491"/>
      <c r="BC343" s="491"/>
      <c r="BD343" s="491"/>
      <c r="BE343" s="491"/>
      <c r="BF343" s="491"/>
      <c r="BG343" s="491"/>
      <c r="BH343" s="491"/>
      <c r="BI343" s="491"/>
      <c r="BJ343" s="491"/>
      <c r="BL343" s="491"/>
      <c r="BM343" s="491"/>
      <c r="BN343" s="491"/>
      <c r="BO343" s="491"/>
      <c r="BP343" s="622"/>
      <c r="BQ343" s="274"/>
    </row>
    <row r="344" spans="2:69">
      <c r="B344" s="96"/>
      <c r="C344" s="96"/>
      <c r="D344" s="184"/>
      <c r="E344" s="179"/>
      <c r="F344" s="87"/>
      <c r="G344" s="87"/>
      <c r="H344" s="185"/>
      <c r="I344" s="184"/>
      <c r="J344" s="184"/>
      <c r="K344" s="184"/>
      <c r="L344" s="296"/>
      <c r="N344" s="1053"/>
      <c r="O344" s="489"/>
      <c r="P344" s="489"/>
      <c r="T344" s="626"/>
      <c r="U344" s="489"/>
      <c r="V344" s="483"/>
      <c r="W344" s="627"/>
      <c r="X344" s="628"/>
      <c r="Y344" s="489"/>
      <c r="Z344" s="629"/>
      <c r="AA344" s="626"/>
      <c r="AB344" s="481"/>
      <c r="AC344" s="1388"/>
      <c r="AD344" s="482"/>
      <c r="AE344" s="482"/>
      <c r="AF344" s="482"/>
      <c r="AG344" s="482"/>
      <c r="AH344" s="482"/>
      <c r="AI344" s="482"/>
      <c r="AJ344" s="482"/>
      <c r="AK344" s="482"/>
      <c r="AL344" s="482"/>
      <c r="AM344" s="482"/>
      <c r="AN344" s="483"/>
      <c r="AO344" s="483"/>
      <c r="AP344" s="484"/>
      <c r="AQ344" s="484"/>
      <c r="AR344" s="629"/>
      <c r="AS344" s="629"/>
      <c r="AT344" s="629"/>
      <c r="AU344" s="629"/>
      <c r="AV344" s="629"/>
      <c r="AW344" s="630"/>
      <c r="AZ344" s="489"/>
      <c r="BA344" s="631"/>
      <c r="BB344" s="491"/>
      <c r="BC344" s="491"/>
      <c r="BD344" s="491"/>
      <c r="BE344" s="491"/>
      <c r="BF344" s="491"/>
      <c r="BG344" s="491"/>
      <c r="BH344" s="491"/>
      <c r="BI344" s="491"/>
      <c r="BJ344" s="491"/>
      <c r="BL344" s="491"/>
      <c r="BM344" s="491"/>
      <c r="BN344" s="491"/>
      <c r="BO344" s="491"/>
      <c r="BP344" s="622"/>
      <c r="BQ344" s="274"/>
    </row>
    <row r="345" spans="2:69">
      <c r="B345" s="96"/>
      <c r="C345" s="96"/>
      <c r="D345" s="184"/>
      <c r="E345" s="179"/>
      <c r="F345" s="87"/>
      <c r="G345" s="87"/>
      <c r="H345" s="185"/>
      <c r="I345" s="184"/>
      <c r="J345" s="184"/>
      <c r="K345" s="184"/>
      <c r="L345" s="296"/>
      <c r="N345" s="1053"/>
      <c r="O345" s="489"/>
      <c r="P345" s="489"/>
      <c r="T345" s="626"/>
      <c r="U345" s="489"/>
      <c r="V345" s="483"/>
      <c r="W345" s="627"/>
      <c r="X345" s="628"/>
      <c r="Y345" s="489"/>
      <c r="Z345" s="629"/>
      <c r="AA345" s="626"/>
      <c r="AB345" s="481"/>
      <c r="AC345" s="1388"/>
      <c r="AD345" s="482"/>
      <c r="AE345" s="482"/>
      <c r="AF345" s="482"/>
      <c r="AG345" s="482"/>
      <c r="AH345" s="482"/>
      <c r="AI345" s="482"/>
      <c r="AJ345" s="482"/>
      <c r="AK345" s="482"/>
      <c r="AL345" s="482"/>
      <c r="AM345" s="482"/>
      <c r="AN345" s="483"/>
      <c r="AO345" s="483"/>
      <c r="AP345" s="484"/>
      <c r="AQ345" s="484"/>
      <c r="AR345" s="629"/>
      <c r="AS345" s="629"/>
      <c r="AT345" s="629"/>
      <c r="AU345" s="629"/>
      <c r="AV345" s="629"/>
      <c r="AW345" s="630"/>
      <c r="AZ345" s="489"/>
      <c r="BA345" s="631"/>
      <c r="BB345" s="491"/>
      <c r="BC345" s="491"/>
      <c r="BD345" s="491"/>
      <c r="BE345" s="491"/>
      <c r="BF345" s="491"/>
      <c r="BG345" s="491"/>
      <c r="BH345" s="491"/>
      <c r="BI345" s="491"/>
      <c r="BJ345" s="491"/>
      <c r="BL345" s="491"/>
      <c r="BM345" s="491"/>
      <c r="BN345" s="491"/>
      <c r="BO345" s="491"/>
      <c r="BP345" s="622"/>
      <c r="BQ345" s="274"/>
    </row>
    <row r="346" spans="2:69">
      <c r="B346" s="96"/>
      <c r="C346" s="96"/>
      <c r="D346" s="184"/>
      <c r="E346" s="179"/>
      <c r="F346" s="87"/>
      <c r="G346" s="87"/>
      <c r="H346" s="185"/>
      <c r="I346" s="184"/>
      <c r="J346" s="184"/>
      <c r="K346" s="184"/>
      <c r="L346" s="296"/>
      <c r="N346" s="1053"/>
      <c r="O346" s="489"/>
      <c r="P346" s="489"/>
      <c r="T346" s="626"/>
      <c r="U346" s="489"/>
      <c r="V346" s="483"/>
      <c r="W346" s="627"/>
      <c r="X346" s="628"/>
      <c r="Y346" s="489"/>
      <c r="Z346" s="629"/>
      <c r="AA346" s="626"/>
      <c r="AB346" s="481"/>
      <c r="AC346" s="1388"/>
      <c r="AD346" s="482"/>
      <c r="AE346" s="482"/>
      <c r="AF346" s="482"/>
      <c r="AG346" s="482"/>
      <c r="AH346" s="482"/>
      <c r="AI346" s="482"/>
      <c r="AJ346" s="482"/>
      <c r="AK346" s="482"/>
      <c r="AL346" s="482"/>
      <c r="AM346" s="482"/>
      <c r="AN346" s="483"/>
      <c r="AO346" s="483"/>
      <c r="AP346" s="484"/>
      <c r="AQ346" s="484"/>
      <c r="AR346" s="629"/>
      <c r="AS346" s="629"/>
      <c r="AT346" s="629"/>
      <c r="AU346" s="629"/>
      <c r="AV346" s="629"/>
      <c r="AW346" s="630"/>
      <c r="AZ346" s="489"/>
      <c r="BA346" s="631"/>
      <c r="BB346" s="491"/>
      <c r="BC346" s="491"/>
      <c r="BD346" s="491"/>
      <c r="BE346" s="491"/>
      <c r="BF346" s="491"/>
      <c r="BG346" s="491"/>
      <c r="BH346" s="491"/>
      <c r="BI346" s="491"/>
      <c r="BJ346" s="491"/>
      <c r="BL346" s="491"/>
      <c r="BM346" s="491"/>
      <c r="BN346" s="491"/>
      <c r="BO346" s="491"/>
      <c r="BP346" s="622"/>
      <c r="BQ346" s="274"/>
    </row>
    <row r="347" spans="2:69">
      <c r="B347" s="96"/>
      <c r="C347" s="96"/>
      <c r="D347" s="184"/>
      <c r="E347" s="179"/>
      <c r="F347" s="87"/>
      <c r="G347" s="87"/>
      <c r="H347" s="185"/>
      <c r="I347" s="184"/>
      <c r="J347" s="184"/>
      <c r="K347" s="184"/>
      <c r="L347" s="296"/>
      <c r="N347" s="1053"/>
      <c r="O347" s="489"/>
      <c r="P347" s="489"/>
      <c r="T347" s="626"/>
      <c r="U347" s="489"/>
      <c r="V347" s="483"/>
      <c r="W347" s="627"/>
      <c r="X347" s="628"/>
      <c r="Y347" s="489"/>
      <c r="Z347" s="629"/>
      <c r="AA347" s="626"/>
      <c r="AB347" s="481"/>
      <c r="AC347" s="1388"/>
      <c r="AD347" s="482"/>
      <c r="AE347" s="482"/>
      <c r="AF347" s="482"/>
      <c r="AG347" s="482"/>
      <c r="AH347" s="482"/>
      <c r="AI347" s="482"/>
      <c r="AJ347" s="482"/>
      <c r="AK347" s="482"/>
      <c r="AL347" s="482"/>
      <c r="AM347" s="482"/>
      <c r="AN347" s="483"/>
      <c r="AO347" s="483"/>
      <c r="AP347" s="484"/>
      <c r="AQ347" s="484"/>
      <c r="AR347" s="629"/>
      <c r="AS347" s="629"/>
      <c r="AT347" s="629"/>
      <c r="AU347" s="629"/>
      <c r="AV347" s="629"/>
      <c r="AW347" s="630"/>
      <c r="AZ347" s="489"/>
      <c r="BA347" s="631"/>
      <c r="BB347" s="491"/>
      <c r="BC347" s="491"/>
      <c r="BD347" s="491"/>
      <c r="BE347" s="491"/>
      <c r="BF347" s="491"/>
      <c r="BG347" s="491"/>
      <c r="BH347" s="491"/>
      <c r="BI347" s="491"/>
      <c r="BJ347" s="491"/>
      <c r="BL347" s="491"/>
      <c r="BM347" s="491"/>
      <c r="BN347" s="491"/>
      <c r="BO347" s="491"/>
      <c r="BP347" s="622"/>
      <c r="BQ347" s="274"/>
    </row>
    <row r="348" spans="2:69">
      <c r="B348" s="96"/>
      <c r="C348" s="96"/>
      <c r="D348" s="184"/>
      <c r="E348" s="179"/>
      <c r="F348" s="87"/>
      <c r="G348" s="87"/>
      <c r="H348" s="185"/>
      <c r="I348" s="184"/>
      <c r="J348" s="184"/>
      <c r="K348" s="184"/>
      <c r="L348" s="296"/>
      <c r="N348" s="1053"/>
      <c r="O348" s="489"/>
      <c r="P348" s="489"/>
      <c r="T348" s="626"/>
      <c r="U348" s="489"/>
      <c r="V348" s="483"/>
      <c r="W348" s="627"/>
      <c r="X348" s="628"/>
      <c r="Y348" s="489"/>
      <c r="Z348" s="629"/>
      <c r="AA348" s="626"/>
      <c r="AB348" s="481"/>
      <c r="AC348" s="1388"/>
      <c r="AD348" s="482"/>
      <c r="AE348" s="482"/>
      <c r="AF348" s="482"/>
      <c r="AG348" s="482"/>
      <c r="AH348" s="482"/>
      <c r="AI348" s="482"/>
      <c r="AJ348" s="482"/>
      <c r="AK348" s="482"/>
      <c r="AL348" s="482"/>
      <c r="AM348" s="482"/>
      <c r="AN348" s="483"/>
      <c r="AO348" s="483"/>
      <c r="AP348" s="484"/>
      <c r="AQ348" s="484"/>
      <c r="AR348" s="629"/>
      <c r="AS348" s="629"/>
      <c r="AT348" s="629"/>
      <c r="AU348" s="629"/>
      <c r="AV348" s="629"/>
      <c r="AW348" s="630"/>
      <c r="AZ348" s="489"/>
      <c r="BA348" s="631"/>
      <c r="BB348" s="491"/>
      <c r="BC348" s="491"/>
      <c r="BD348" s="491"/>
      <c r="BE348" s="491"/>
      <c r="BF348" s="491"/>
      <c r="BG348" s="491"/>
      <c r="BH348" s="491"/>
      <c r="BI348" s="491"/>
      <c r="BJ348" s="491"/>
      <c r="BL348" s="491"/>
      <c r="BM348" s="491"/>
      <c r="BN348" s="491"/>
      <c r="BO348" s="491"/>
      <c r="BP348" s="622"/>
      <c r="BQ348" s="274"/>
    </row>
    <row r="349" spans="2:69">
      <c r="B349" s="96"/>
      <c r="C349" s="96"/>
      <c r="D349" s="184"/>
      <c r="E349" s="179"/>
      <c r="F349" s="87"/>
      <c r="G349" s="87"/>
      <c r="H349" s="185"/>
      <c r="I349" s="184"/>
      <c r="J349" s="184"/>
      <c r="K349" s="184"/>
      <c r="L349" s="296"/>
      <c r="N349" s="1053"/>
      <c r="O349" s="489"/>
      <c r="P349" s="489"/>
      <c r="T349" s="626"/>
      <c r="U349" s="489"/>
      <c r="V349" s="483"/>
      <c r="W349" s="627"/>
      <c r="X349" s="628"/>
      <c r="Y349" s="489"/>
      <c r="Z349" s="629"/>
      <c r="AA349" s="626"/>
      <c r="AB349" s="481"/>
      <c r="AC349" s="1388"/>
      <c r="AD349" s="482"/>
      <c r="AE349" s="482"/>
      <c r="AF349" s="482"/>
      <c r="AG349" s="482"/>
      <c r="AH349" s="482"/>
      <c r="AI349" s="482"/>
      <c r="AJ349" s="482"/>
      <c r="AK349" s="482"/>
      <c r="AL349" s="482"/>
      <c r="AM349" s="482"/>
      <c r="AN349" s="483"/>
      <c r="AO349" s="483"/>
      <c r="AP349" s="484"/>
      <c r="AQ349" s="484"/>
      <c r="AR349" s="629"/>
      <c r="AS349" s="629"/>
      <c r="AT349" s="629"/>
      <c r="AU349" s="629"/>
      <c r="AV349" s="629"/>
      <c r="AW349" s="630"/>
      <c r="AZ349" s="489"/>
      <c r="BA349" s="631"/>
      <c r="BB349" s="491"/>
      <c r="BC349" s="491"/>
      <c r="BD349" s="491"/>
      <c r="BE349" s="491"/>
      <c r="BF349" s="491"/>
      <c r="BG349" s="491"/>
      <c r="BH349" s="491"/>
      <c r="BI349" s="491"/>
      <c r="BJ349" s="491"/>
      <c r="BL349" s="491"/>
      <c r="BM349" s="491"/>
      <c r="BN349" s="491"/>
      <c r="BO349" s="491"/>
      <c r="BP349" s="622"/>
      <c r="BQ349" s="274"/>
    </row>
    <row r="350" spans="2:69">
      <c r="B350" s="96"/>
      <c r="C350" s="96"/>
      <c r="D350" s="184"/>
      <c r="E350" s="179"/>
      <c r="F350" s="87"/>
      <c r="G350" s="87"/>
      <c r="H350" s="185"/>
      <c r="I350" s="184"/>
      <c r="J350" s="184"/>
      <c r="K350" s="184"/>
      <c r="L350" s="296"/>
      <c r="N350" s="1053"/>
      <c r="O350" s="489"/>
      <c r="P350" s="489"/>
      <c r="T350" s="626"/>
      <c r="U350" s="489"/>
      <c r="V350" s="483"/>
      <c r="W350" s="627"/>
      <c r="X350" s="628"/>
      <c r="Y350" s="489"/>
      <c r="Z350" s="629"/>
      <c r="AA350" s="626"/>
      <c r="AB350" s="481"/>
      <c r="AC350" s="1388"/>
      <c r="AD350" s="482"/>
      <c r="AE350" s="482"/>
      <c r="AF350" s="482"/>
      <c r="AG350" s="482"/>
      <c r="AH350" s="482"/>
      <c r="AI350" s="482"/>
      <c r="AJ350" s="482"/>
      <c r="AK350" s="482"/>
      <c r="AL350" s="482"/>
      <c r="AM350" s="482"/>
      <c r="AN350" s="483"/>
      <c r="AO350" s="483"/>
      <c r="AP350" s="484"/>
      <c r="AQ350" s="484"/>
      <c r="AR350" s="629"/>
      <c r="AS350" s="629"/>
      <c r="AT350" s="629"/>
      <c r="AU350" s="629"/>
      <c r="AV350" s="629"/>
      <c r="AW350" s="630"/>
      <c r="AZ350" s="489"/>
      <c r="BA350" s="631"/>
      <c r="BB350" s="491"/>
      <c r="BC350" s="491"/>
      <c r="BD350" s="491"/>
      <c r="BE350" s="491"/>
      <c r="BF350" s="491"/>
      <c r="BG350" s="491"/>
      <c r="BH350" s="491"/>
      <c r="BI350" s="491"/>
      <c r="BJ350" s="491"/>
      <c r="BL350" s="491"/>
      <c r="BM350" s="491"/>
      <c r="BN350" s="491"/>
      <c r="BO350" s="491"/>
      <c r="BP350" s="622"/>
      <c r="BQ350" s="274"/>
    </row>
    <row r="351" spans="2:69">
      <c r="B351" s="96"/>
      <c r="C351" s="96"/>
      <c r="D351" s="184"/>
      <c r="E351" s="179"/>
      <c r="F351" s="87"/>
      <c r="G351" s="87"/>
      <c r="H351" s="185"/>
      <c r="I351" s="184"/>
      <c r="J351" s="184"/>
      <c r="K351" s="184"/>
      <c r="L351" s="296"/>
      <c r="N351" s="1053"/>
      <c r="O351" s="489"/>
      <c r="P351" s="489"/>
      <c r="T351" s="626"/>
      <c r="U351" s="489"/>
      <c r="V351" s="483"/>
      <c r="W351" s="627"/>
      <c r="X351" s="628"/>
      <c r="Y351" s="489"/>
      <c r="Z351" s="629"/>
      <c r="AA351" s="626"/>
      <c r="AB351" s="481"/>
      <c r="AC351" s="1388"/>
      <c r="AD351" s="482"/>
      <c r="AE351" s="482"/>
      <c r="AF351" s="482"/>
      <c r="AG351" s="482"/>
      <c r="AH351" s="482"/>
      <c r="AI351" s="482"/>
      <c r="AJ351" s="482"/>
      <c r="AK351" s="482"/>
      <c r="AL351" s="482"/>
      <c r="AM351" s="482"/>
      <c r="AN351" s="483"/>
      <c r="AO351" s="483"/>
      <c r="AP351" s="484"/>
      <c r="AQ351" s="484"/>
      <c r="AR351" s="629"/>
      <c r="AS351" s="629"/>
      <c r="AT351" s="629"/>
      <c r="AU351" s="629"/>
      <c r="AV351" s="629"/>
      <c r="AW351" s="630"/>
      <c r="AZ351" s="489"/>
      <c r="BA351" s="631"/>
      <c r="BB351" s="491"/>
      <c r="BC351" s="491"/>
      <c r="BD351" s="491"/>
      <c r="BE351" s="491"/>
      <c r="BF351" s="491"/>
      <c r="BG351" s="491"/>
      <c r="BH351" s="491"/>
      <c r="BI351" s="491"/>
      <c r="BJ351" s="491"/>
      <c r="BL351" s="491"/>
      <c r="BM351" s="491"/>
      <c r="BN351" s="491"/>
      <c r="BO351" s="491"/>
      <c r="BP351" s="622"/>
      <c r="BQ351" s="274"/>
    </row>
    <row r="352" spans="2:69">
      <c r="B352" s="96"/>
      <c r="C352" s="96"/>
      <c r="D352" s="184"/>
      <c r="E352" s="179"/>
      <c r="F352" s="87"/>
      <c r="G352" s="87"/>
      <c r="H352" s="185"/>
      <c r="I352" s="184"/>
      <c r="J352" s="184"/>
      <c r="K352" s="184"/>
      <c r="L352" s="296"/>
      <c r="N352" s="1053"/>
      <c r="O352" s="489"/>
      <c r="P352" s="489"/>
      <c r="T352" s="626"/>
      <c r="U352" s="489"/>
      <c r="V352" s="483"/>
      <c r="W352" s="627"/>
      <c r="X352" s="628"/>
      <c r="Y352" s="489"/>
      <c r="Z352" s="629"/>
      <c r="AA352" s="626"/>
      <c r="AB352" s="481"/>
      <c r="AC352" s="1388"/>
      <c r="AD352" s="482"/>
      <c r="AE352" s="482"/>
      <c r="AF352" s="482"/>
      <c r="AG352" s="482"/>
      <c r="AH352" s="482"/>
      <c r="AI352" s="482"/>
      <c r="AJ352" s="482"/>
      <c r="AK352" s="482"/>
      <c r="AL352" s="482"/>
      <c r="AM352" s="482"/>
      <c r="AN352" s="483"/>
      <c r="AO352" s="483"/>
      <c r="AP352" s="484"/>
      <c r="AQ352" s="484"/>
      <c r="AR352" s="629"/>
      <c r="AS352" s="629"/>
      <c r="AT352" s="629"/>
      <c r="AU352" s="629"/>
      <c r="AV352" s="629"/>
      <c r="AW352" s="630"/>
      <c r="AZ352" s="489"/>
      <c r="BA352" s="631"/>
      <c r="BB352" s="491"/>
      <c r="BC352" s="491"/>
      <c r="BD352" s="491"/>
      <c r="BE352" s="491"/>
      <c r="BF352" s="491"/>
      <c r="BG352" s="491"/>
      <c r="BH352" s="491"/>
      <c r="BI352" s="491"/>
      <c r="BJ352" s="491"/>
      <c r="BL352" s="491"/>
      <c r="BM352" s="491"/>
      <c r="BN352" s="491"/>
      <c r="BO352" s="491"/>
      <c r="BP352" s="622"/>
      <c r="BQ352" s="274"/>
    </row>
    <row r="353" spans="2:69">
      <c r="B353" s="96"/>
      <c r="C353" s="96"/>
      <c r="D353" s="184"/>
      <c r="E353" s="179"/>
      <c r="F353" s="87"/>
      <c r="G353" s="87"/>
      <c r="H353" s="185"/>
      <c r="I353" s="184"/>
      <c r="J353" s="184"/>
      <c r="K353" s="184"/>
      <c r="L353" s="296"/>
      <c r="N353" s="1053"/>
      <c r="O353" s="489"/>
      <c r="P353" s="489"/>
      <c r="T353" s="626"/>
      <c r="U353" s="489"/>
      <c r="V353" s="483"/>
      <c r="W353" s="627"/>
      <c r="X353" s="628"/>
      <c r="Y353" s="489"/>
      <c r="Z353" s="629"/>
      <c r="AA353" s="626"/>
      <c r="AB353" s="481"/>
      <c r="AC353" s="1388"/>
      <c r="AD353" s="482"/>
      <c r="AE353" s="482"/>
      <c r="AF353" s="482"/>
      <c r="AG353" s="482"/>
      <c r="AH353" s="482"/>
      <c r="AI353" s="482"/>
      <c r="AJ353" s="482"/>
      <c r="AK353" s="482"/>
      <c r="AL353" s="482"/>
      <c r="AM353" s="482"/>
      <c r="AN353" s="483"/>
      <c r="AO353" s="483"/>
      <c r="AP353" s="484"/>
      <c r="AQ353" s="484"/>
      <c r="AR353" s="629"/>
      <c r="AS353" s="629"/>
      <c r="AT353" s="629"/>
      <c r="AU353" s="629"/>
      <c r="AV353" s="629"/>
      <c r="AW353" s="630"/>
      <c r="AZ353" s="489"/>
      <c r="BA353" s="631"/>
      <c r="BB353" s="491"/>
      <c r="BC353" s="491"/>
      <c r="BD353" s="491"/>
      <c r="BE353" s="491"/>
      <c r="BF353" s="491"/>
      <c r="BG353" s="491"/>
      <c r="BH353" s="491"/>
      <c r="BI353" s="491"/>
      <c r="BJ353" s="491"/>
      <c r="BL353" s="491"/>
      <c r="BM353" s="491"/>
      <c r="BN353" s="491"/>
      <c r="BO353" s="491"/>
      <c r="BP353" s="622"/>
      <c r="BQ353" s="274"/>
    </row>
    <row r="354" spans="2:69">
      <c r="B354" s="96"/>
      <c r="C354" s="96"/>
      <c r="D354" s="184"/>
      <c r="E354" s="179"/>
      <c r="F354" s="87"/>
      <c r="G354" s="87"/>
      <c r="H354" s="185"/>
      <c r="I354" s="184"/>
      <c r="J354" s="184"/>
      <c r="K354" s="184"/>
      <c r="L354" s="296"/>
      <c r="N354" s="1053"/>
      <c r="O354" s="489"/>
      <c r="P354" s="489"/>
      <c r="T354" s="626"/>
      <c r="U354" s="489"/>
      <c r="V354" s="483"/>
      <c r="W354" s="627"/>
      <c r="X354" s="628"/>
      <c r="Y354" s="489"/>
      <c r="Z354" s="629"/>
      <c r="AA354" s="626"/>
      <c r="AB354" s="481"/>
      <c r="AC354" s="1388"/>
      <c r="AD354" s="482"/>
      <c r="AE354" s="482"/>
      <c r="AF354" s="482"/>
      <c r="AG354" s="482"/>
      <c r="AH354" s="482"/>
      <c r="AI354" s="482"/>
      <c r="AJ354" s="482"/>
      <c r="AK354" s="482"/>
      <c r="AL354" s="482"/>
      <c r="AM354" s="482"/>
      <c r="AN354" s="483"/>
      <c r="AO354" s="483"/>
      <c r="AP354" s="484"/>
      <c r="AQ354" s="484"/>
      <c r="AR354" s="629"/>
      <c r="AS354" s="629"/>
      <c r="AT354" s="629"/>
      <c r="AU354" s="629"/>
      <c r="AV354" s="629"/>
      <c r="AW354" s="630"/>
      <c r="AZ354" s="489"/>
      <c r="BA354" s="631"/>
      <c r="BB354" s="491"/>
      <c r="BC354" s="491"/>
      <c r="BD354" s="491"/>
      <c r="BE354" s="491"/>
      <c r="BF354" s="491"/>
      <c r="BG354" s="491"/>
      <c r="BH354" s="491"/>
      <c r="BI354" s="491"/>
      <c r="BJ354" s="491"/>
      <c r="BL354" s="491"/>
      <c r="BM354" s="491"/>
      <c r="BN354" s="491"/>
      <c r="BO354" s="491"/>
      <c r="BP354" s="622"/>
      <c r="BQ354" s="274"/>
    </row>
    <row r="355" spans="2:69">
      <c r="B355" s="96"/>
      <c r="C355" s="96"/>
      <c r="D355" s="184"/>
      <c r="E355" s="179"/>
      <c r="F355" s="87"/>
      <c r="G355" s="87"/>
      <c r="H355" s="185"/>
      <c r="I355" s="184"/>
      <c r="J355" s="184"/>
      <c r="K355" s="184"/>
      <c r="L355" s="296"/>
      <c r="N355" s="1053"/>
      <c r="O355" s="489"/>
      <c r="P355" s="489"/>
      <c r="T355" s="626"/>
      <c r="U355" s="489"/>
      <c r="V355" s="483"/>
      <c r="W355" s="627"/>
      <c r="X355" s="628"/>
      <c r="Y355" s="489"/>
      <c r="Z355" s="629"/>
      <c r="AA355" s="626"/>
      <c r="AB355" s="481"/>
      <c r="AC355" s="1388"/>
      <c r="AD355" s="482"/>
      <c r="AE355" s="482"/>
      <c r="AF355" s="482"/>
      <c r="AG355" s="482"/>
      <c r="AH355" s="482"/>
      <c r="AI355" s="482"/>
      <c r="AJ355" s="482"/>
      <c r="AK355" s="482"/>
      <c r="AL355" s="482"/>
      <c r="AM355" s="482"/>
      <c r="AN355" s="483"/>
      <c r="AO355" s="483"/>
      <c r="AP355" s="484"/>
      <c r="AQ355" s="484"/>
      <c r="AR355" s="629"/>
      <c r="AS355" s="629"/>
      <c r="AT355" s="629"/>
      <c r="AU355" s="629"/>
      <c r="AV355" s="629"/>
      <c r="AW355" s="630"/>
      <c r="AZ355" s="489"/>
      <c r="BA355" s="631"/>
      <c r="BB355" s="491"/>
      <c r="BC355" s="491"/>
      <c r="BD355" s="491"/>
      <c r="BE355" s="491"/>
      <c r="BF355" s="491"/>
      <c r="BG355" s="491"/>
      <c r="BH355" s="491"/>
      <c r="BI355" s="491"/>
      <c r="BJ355" s="491"/>
      <c r="BL355" s="491"/>
      <c r="BM355" s="491"/>
      <c r="BN355" s="491"/>
      <c r="BO355" s="491"/>
      <c r="BP355" s="622"/>
      <c r="BQ355" s="274"/>
    </row>
    <row r="356" spans="2:69">
      <c r="L356" s="296"/>
    </row>
  </sheetData>
  <sheetProtection algorithmName="SHA-512" hashValue="k9m9ln+RVSi2CUQfX0lR4qUKnvgJ53dIeawdCXCkvfMPnYjjq2bDIF2LkHkcbEsH3tKUbwOze6ybzYg4TNBoXg==" saltValue="Cy15ZTFtrWFj9UaZtNFxbg==" spinCount="100000" sheet="1" objects="1" scenarios="1"/>
  <protectedRanges>
    <protectedRange sqref="O32:P34" name="Range3"/>
    <protectedRange sqref="E16 T39 W39:W40 Z39:Z40 N54:N355" name="Range1"/>
    <protectedRange sqref="O35" name="Range2"/>
  </protectedRanges>
  <mergeCells count="17">
    <mergeCell ref="AN53:AO53"/>
    <mergeCell ref="AP53:AQ53"/>
    <mergeCell ref="AR53:AS53"/>
    <mergeCell ref="AR52:AT52"/>
    <mergeCell ref="AU52:AW52"/>
    <mergeCell ref="AU53:AV53"/>
    <mergeCell ref="B8:M8"/>
    <mergeCell ref="N22:S22"/>
    <mergeCell ref="BA49:BP49"/>
    <mergeCell ref="B11:D11"/>
    <mergeCell ref="AN22:AO22"/>
    <mergeCell ref="AP22:AQ22"/>
    <mergeCell ref="Q41:Z41"/>
    <mergeCell ref="AR21:AT21"/>
    <mergeCell ref="AU21:AW21"/>
    <mergeCell ref="AR22:AS22"/>
    <mergeCell ref="AU22:AV22"/>
  </mergeCells>
  <phoneticPr fontId="0" type="noConversion"/>
  <conditionalFormatting sqref="U38">
    <cfRule type="cellIs" dxfId="8" priority="1" stopIfTrue="1" operator="equal">
      <formula>"Spacing must be arranged in increasing order by row then column"</formula>
    </cfRule>
  </conditionalFormatting>
  <conditionalFormatting sqref="G24 H51">
    <cfRule type="cellIs" dxfId="7" priority="2" stopIfTrue="1" operator="equal">
      <formula>"OK"</formula>
    </cfRule>
  </conditionalFormatting>
  <conditionalFormatting sqref="J52">
    <cfRule type="cellIs" dxfId="6" priority="3" stopIfTrue="1" operator="equal">
      <formula>"Increase Cap Section - Max Vn Required is greater than 0.25 f'cbvdv"</formula>
    </cfRule>
  </conditionalFormatting>
  <conditionalFormatting sqref="W40">
    <cfRule type="expression" dxfId="5" priority="4" stopIfTrue="1">
      <formula>$T$39=1</formula>
    </cfRule>
  </conditionalFormatting>
  <conditionalFormatting sqref="Z39">
    <cfRule type="expression" dxfId="4" priority="5" stopIfTrue="1">
      <formula>$T$39&lt;3</formula>
    </cfRule>
  </conditionalFormatting>
  <conditionalFormatting sqref="Z40">
    <cfRule type="expression" dxfId="3" priority="6" stopIfTrue="1">
      <formula>$T$39&lt;4</formula>
    </cfRule>
  </conditionalFormatting>
  <dataValidations disablePrompts="1" count="2">
    <dataValidation type="list" allowBlank="1" showInputMessage="1" showErrorMessage="1" prompt="Default values should not need to be modified" sqref="W39:W40 Z39:Z40" xr:uid="{00000000-0002-0000-1100-000000000000}">
      <formula1>"3,4,5,6,7,8,9,10,11,12"</formula1>
    </dataValidation>
    <dataValidation type="list" allowBlank="1" showInputMessage="1" showErrorMessage="1" sqref="T39" xr:uid="{00000000-0002-0000-1100-000001000000}">
      <formula1>"1,2,3,4"</formula1>
    </dataValidation>
  </dataValidations>
  <pageMargins left="0.75" right="0.375" top="0.25" bottom="0.375" header="0.75" footer="0.25"/>
  <pageSetup orientation="portrait" blackAndWhite="1" r:id="rId1"/>
  <headerFooter alignWithMargins="0">
    <oddHeader>&amp;L&amp;6
&amp;Z&amp;F&amp;R&amp;P                                &amp;N</oddHeader>
    <oddFooter>&amp;L&amp;D   &amp;T&amp;C&amp;8Rev. 8.0</oddFooter>
  </headerFooter>
  <rowBreaks count="1" manualBreakCount="1">
    <brk id="48" min="1"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33107" r:id="rId4" name="Drop Down 339">
              <controlPr defaultSize="0" autoLine="0" autoPict="0" macro="[0]!StirrupArrangement">
                <anchor moveWithCells="1" sizeWithCells="1">
                  <from>
                    <xdr:col>14</xdr:col>
                    <xdr:colOff>57150</xdr:colOff>
                    <xdr:row>32</xdr:row>
                    <xdr:rowOff>76200</xdr:rowOff>
                  </from>
                  <to>
                    <xdr:col>15</xdr:col>
                    <xdr:colOff>142875</xdr:colOff>
                    <xdr:row>33</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indexed="16"/>
  </sheetPr>
  <dimension ref="A1:BU190"/>
  <sheetViews>
    <sheetView showGridLines="0" view="pageBreakPreview" topLeftCell="A7" zoomScaleSheetLayoutView="85" workbookViewId="0">
      <selection activeCell="G33" sqref="G33"/>
    </sheetView>
  </sheetViews>
  <sheetFormatPr defaultColWidth="9.140625" defaultRowHeight="12.75"/>
  <cols>
    <col min="1" max="1" width="24.7109375" style="337" customWidth="1"/>
    <col min="2" max="2" width="7.5703125" style="37" customWidth="1"/>
    <col min="3" max="3" width="7.7109375" style="75" customWidth="1"/>
    <col min="4" max="6" width="8.7109375" style="37" customWidth="1"/>
    <col min="7" max="7" width="8.28515625" style="37" customWidth="1"/>
    <col min="8" max="8" width="7.85546875" style="75" customWidth="1"/>
    <col min="9" max="9" width="9.7109375" style="37" customWidth="1"/>
    <col min="10" max="12" width="9.5703125" style="37" customWidth="1"/>
    <col min="13" max="27" width="9.140625" style="400"/>
    <col min="28" max="28" width="11" style="400" bestFit="1" customWidth="1"/>
    <col min="29" max="29" width="6.140625" style="400" bestFit="1" customWidth="1"/>
    <col min="30" max="30" width="6.85546875" style="400" bestFit="1" customWidth="1"/>
    <col min="31" max="31" width="7.140625" style="400" bestFit="1" customWidth="1"/>
    <col min="32" max="32" width="11.28515625" style="400" bestFit="1" customWidth="1"/>
    <col min="33" max="34" width="11.5703125" style="400" bestFit="1" customWidth="1"/>
    <col min="35" max="35" width="11.85546875" style="400" bestFit="1" customWidth="1"/>
    <col min="36" max="36" width="10.5703125" style="400" bestFit="1" customWidth="1"/>
    <col min="37" max="38" width="10.85546875" style="400" bestFit="1" customWidth="1"/>
    <col min="39" max="39" width="11.140625" style="400" bestFit="1" customWidth="1"/>
    <col min="40" max="41" width="8.42578125" style="400" bestFit="1" customWidth="1"/>
    <col min="42" max="42" width="6" style="400" bestFit="1" customWidth="1"/>
    <col min="43" max="45" width="5" style="400" bestFit="1" customWidth="1"/>
    <col min="46" max="46" width="12" style="400" bestFit="1" customWidth="1"/>
    <col min="47" max="47" width="5" style="400" bestFit="1" customWidth="1"/>
    <col min="48" max="48" width="4" style="400" bestFit="1" customWidth="1"/>
    <col min="49" max="49" width="12" style="400" bestFit="1" customWidth="1"/>
    <col min="50" max="73" width="9.140625" style="400"/>
    <col min="74" max="16384" width="9.140625" style="37"/>
  </cols>
  <sheetData>
    <row r="1" spans="1:73" customFormat="1">
      <c r="A1" s="337"/>
      <c r="M1" s="337"/>
      <c r="N1" s="337"/>
      <c r="O1" s="337"/>
      <c r="P1" s="337"/>
      <c r="Q1" s="337"/>
      <c r="R1" s="337"/>
      <c r="S1" s="337"/>
      <c r="T1" s="337"/>
      <c r="U1" s="337"/>
      <c r="V1" s="337"/>
      <c r="W1" s="337"/>
      <c r="X1" s="337"/>
      <c r="Y1" s="337"/>
      <c r="Z1" s="337"/>
      <c r="AA1" s="337"/>
      <c r="AB1" s="337"/>
      <c r="AC1" s="337"/>
      <c r="AD1" s="337"/>
      <c r="AE1" s="337"/>
      <c r="AF1" s="337"/>
      <c r="AG1" s="337"/>
      <c r="AH1" s="337"/>
      <c r="AI1" s="337"/>
      <c r="AJ1" s="337"/>
      <c r="AK1" s="337"/>
      <c r="AL1" s="337"/>
      <c r="AM1" s="337"/>
      <c r="AN1" s="337"/>
      <c r="AO1" s="337"/>
      <c r="AP1" s="337"/>
      <c r="AQ1" s="337"/>
      <c r="AR1" s="337"/>
      <c r="AS1" s="337"/>
      <c r="AT1" s="337"/>
      <c r="AU1" s="337"/>
      <c r="AV1" s="337"/>
      <c r="AW1" s="337"/>
      <c r="AX1" s="337"/>
      <c r="AY1" s="337"/>
      <c r="AZ1" s="337"/>
      <c r="BA1" s="337"/>
      <c r="BB1" s="337"/>
      <c r="BC1" s="337"/>
      <c r="BD1" s="337"/>
      <c r="BE1" s="337"/>
      <c r="BF1" s="337"/>
      <c r="BG1" s="337"/>
      <c r="BH1" s="337"/>
      <c r="BI1" s="337"/>
      <c r="BJ1" s="337"/>
      <c r="BK1" s="337"/>
      <c r="BL1" s="337"/>
      <c r="BM1" s="337"/>
      <c r="BN1" s="337"/>
      <c r="BO1" s="337"/>
      <c r="BP1" s="337"/>
      <c r="BQ1" s="337"/>
      <c r="BR1" s="337"/>
      <c r="BS1" s="337"/>
      <c r="BT1" s="337"/>
      <c r="BU1" s="337"/>
    </row>
    <row r="2" spans="1:73" customFormat="1">
      <c r="A2" s="337"/>
      <c r="M2" s="337"/>
      <c r="N2" s="337"/>
      <c r="O2" s="337"/>
      <c r="P2" s="337"/>
      <c r="Q2" s="337"/>
      <c r="R2" s="337"/>
      <c r="S2" s="337"/>
      <c r="T2" s="337"/>
      <c r="U2" s="337"/>
      <c r="V2" s="337"/>
      <c r="W2" s="337"/>
      <c r="X2" s="337"/>
      <c r="Y2" s="337"/>
      <c r="Z2" s="337"/>
      <c r="AA2" s="337"/>
      <c r="AB2" s="337"/>
      <c r="AC2" s="337"/>
      <c r="AD2" s="337"/>
      <c r="AE2" s="337"/>
      <c r="AF2" s="337"/>
      <c r="AG2" s="337"/>
      <c r="AH2" s="337"/>
      <c r="AI2" s="337"/>
      <c r="AJ2" s="337"/>
      <c r="AK2" s="337"/>
      <c r="AL2" s="337"/>
      <c r="AM2" s="337"/>
      <c r="AN2" s="337"/>
      <c r="AO2" s="337"/>
      <c r="AP2" s="337"/>
      <c r="AQ2" s="337"/>
      <c r="AR2" s="337"/>
      <c r="AS2" s="337"/>
      <c r="AT2" s="337"/>
      <c r="AU2" s="337"/>
      <c r="AV2" s="337"/>
      <c r="AW2" s="337"/>
      <c r="AX2" s="337"/>
      <c r="AY2" s="337"/>
      <c r="AZ2" s="337"/>
      <c r="BA2" s="337"/>
      <c r="BB2" s="337"/>
      <c r="BC2" s="337"/>
      <c r="BD2" s="337"/>
      <c r="BE2" s="337"/>
      <c r="BF2" s="337"/>
      <c r="BG2" s="337"/>
      <c r="BH2" s="337"/>
      <c r="BI2" s="337"/>
      <c r="BJ2" s="337"/>
      <c r="BK2" s="337"/>
      <c r="BL2" s="337"/>
      <c r="BM2" s="337"/>
      <c r="BN2" s="337"/>
      <c r="BO2" s="337"/>
      <c r="BP2" s="337"/>
      <c r="BQ2" s="337"/>
      <c r="BR2" s="337"/>
      <c r="BS2" s="337"/>
      <c r="BT2" s="337"/>
      <c r="BU2" s="337"/>
    </row>
    <row r="3" spans="1:73" customFormat="1">
      <c r="A3" s="337"/>
      <c r="M3" s="337"/>
      <c r="N3" s="337"/>
      <c r="O3" s="337"/>
      <c r="P3" s="337"/>
      <c r="Q3" s="337"/>
      <c r="R3" s="337"/>
      <c r="S3" s="337"/>
      <c r="T3" s="337"/>
      <c r="U3" s="337"/>
      <c r="V3" s="337"/>
      <c r="W3" s="337"/>
      <c r="X3" s="337"/>
      <c r="Y3" s="337"/>
      <c r="Z3" s="337"/>
      <c r="AA3" s="337"/>
      <c r="AB3" s="337"/>
      <c r="AC3" s="337"/>
      <c r="AD3" s="337"/>
      <c r="AE3" s="337"/>
      <c r="AF3" s="337"/>
      <c r="AG3" s="337"/>
      <c r="AH3" s="337"/>
      <c r="AI3" s="337"/>
      <c r="AJ3" s="337"/>
      <c r="AK3" s="337"/>
      <c r="AL3" s="337"/>
      <c r="AM3" s="337"/>
      <c r="AN3" s="337"/>
      <c r="AO3" s="337"/>
      <c r="AP3" s="337"/>
      <c r="AQ3" s="337"/>
      <c r="AR3" s="337"/>
      <c r="AS3" s="337"/>
      <c r="AT3" s="337"/>
      <c r="AU3" s="337"/>
      <c r="AV3" s="337"/>
      <c r="AW3" s="337"/>
      <c r="AX3" s="337"/>
      <c r="AY3" s="337"/>
      <c r="AZ3" s="337"/>
      <c r="BA3" s="337"/>
      <c r="BB3" s="337"/>
      <c r="BC3" s="337"/>
      <c r="BD3" s="337"/>
      <c r="BE3" s="337"/>
      <c r="BF3" s="337"/>
      <c r="BG3" s="337"/>
      <c r="BH3" s="337"/>
      <c r="BI3" s="337"/>
      <c r="BJ3" s="337"/>
      <c r="BK3" s="337"/>
      <c r="BL3" s="337"/>
      <c r="BM3" s="337"/>
      <c r="BN3" s="337"/>
      <c r="BO3" s="337"/>
      <c r="BP3" s="337"/>
      <c r="BQ3" s="337"/>
      <c r="BR3" s="337"/>
      <c r="BS3" s="337"/>
      <c r="BT3" s="337"/>
      <c r="BU3" s="337"/>
    </row>
    <row r="4" spans="1:73" customFormat="1">
      <c r="A4" s="337"/>
      <c r="M4" s="337"/>
      <c r="N4" s="337"/>
      <c r="O4" s="337"/>
      <c r="P4" s="337"/>
      <c r="Q4" s="337"/>
      <c r="R4" s="337"/>
      <c r="S4" s="337"/>
      <c r="T4" s="337"/>
      <c r="U4" s="337"/>
      <c r="V4" s="337"/>
      <c r="W4" s="337"/>
      <c r="X4" s="337"/>
      <c r="Y4" s="337"/>
      <c r="Z4" s="337"/>
      <c r="AA4" s="337"/>
      <c r="AB4" s="337"/>
      <c r="AC4" s="337"/>
      <c r="AD4" s="337"/>
      <c r="AE4" s="337"/>
      <c r="AF4" s="337"/>
      <c r="AG4" s="337"/>
      <c r="AH4" s="337"/>
      <c r="AI4" s="337"/>
      <c r="AJ4" s="337"/>
      <c r="AK4" s="337"/>
      <c r="AL4" s="337"/>
      <c r="AM4" s="337"/>
      <c r="AN4" s="337"/>
      <c r="AO4" s="337"/>
      <c r="AP4" s="337"/>
      <c r="AQ4" s="337"/>
      <c r="AR4" s="337"/>
      <c r="AS4" s="337"/>
      <c r="AT4" s="337"/>
      <c r="AU4" s="337"/>
      <c r="AV4" s="337"/>
      <c r="AW4" s="337"/>
      <c r="AX4" s="337"/>
      <c r="AY4" s="337"/>
      <c r="AZ4" s="337"/>
      <c r="BA4" s="337"/>
      <c r="BB4" s="337"/>
      <c r="BC4" s="337"/>
      <c r="BD4" s="337"/>
      <c r="BE4" s="337"/>
      <c r="BF4" s="337"/>
      <c r="BG4" s="337"/>
      <c r="BH4" s="337"/>
      <c r="BI4" s="337"/>
      <c r="BJ4" s="337"/>
      <c r="BK4" s="337"/>
      <c r="BL4" s="337"/>
      <c r="BM4" s="337"/>
      <c r="BN4" s="337"/>
      <c r="BO4" s="337"/>
      <c r="BP4" s="337"/>
      <c r="BQ4" s="337"/>
      <c r="BR4" s="337"/>
      <c r="BS4" s="337"/>
      <c r="BT4" s="337"/>
      <c r="BU4" s="337"/>
    </row>
    <row r="5" spans="1:73" customFormat="1">
      <c r="A5" s="337"/>
      <c r="M5" s="337"/>
      <c r="N5" s="337"/>
      <c r="O5" s="337"/>
      <c r="P5" s="337"/>
      <c r="Q5" s="337"/>
      <c r="R5" s="337"/>
      <c r="S5" s="337"/>
      <c r="T5" s="337"/>
      <c r="U5" s="337"/>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337"/>
      <c r="BJ5" s="337"/>
      <c r="BK5" s="337"/>
      <c r="BL5" s="337"/>
      <c r="BM5" s="337"/>
      <c r="BN5" s="337"/>
      <c r="BO5" s="337"/>
      <c r="BP5" s="337"/>
      <c r="BQ5" s="337"/>
      <c r="BR5" s="337"/>
      <c r="BS5" s="337"/>
      <c r="BT5" s="337"/>
      <c r="BU5" s="337"/>
    </row>
    <row r="6" spans="1:73" customFormat="1">
      <c r="A6" s="337"/>
      <c r="M6" s="337"/>
      <c r="N6" s="337"/>
      <c r="O6" s="337"/>
      <c r="P6" s="337"/>
      <c r="Q6" s="337"/>
      <c r="R6" s="337"/>
      <c r="S6" s="337"/>
      <c r="T6" s="337"/>
      <c r="U6" s="337"/>
      <c r="V6" s="337"/>
      <c r="W6" s="337"/>
      <c r="X6" s="337"/>
      <c r="Y6" s="337"/>
      <c r="Z6" s="337"/>
      <c r="AA6" s="337"/>
      <c r="AB6" s="337"/>
      <c r="AC6" s="337"/>
      <c r="AD6" s="337"/>
      <c r="AE6" s="337"/>
      <c r="AF6" s="337"/>
      <c r="AG6" s="337"/>
      <c r="AH6" s="337"/>
      <c r="AI6" s="337"/>
      <c r="AJ6" s="337"/>
      <c r="AK6" s="337"/>
      <c r="AL6" s="337"/>
      <c r="AM6" s="337"/>
      <c r="AN6" s="337"/>
      <c r="AO6" s="337"/>
      <c r="AP6" s="337"/>
      <c r="AQ6" s="337"/>
      <c r="AR6" s="337"/>
      <c r="AS6" s="337"/>
      <c r="AT6" s="337"/>
      <c r="AU6" s="337"/>
      <c r="AV6" s="337"/>
      <c r="AW6" s="337"/>
      <c r="AX6" s="337"/>
      <c r="AY6" s="337"/>
      <c r="AZ6" s="337"/>
      <c r="BA6" s="337"/>
      <c r="BB6" s="337"/>
      <c r="BC6" s="337"/>
      <c r="BD6" s="337"/>
      <c r="BE6" s="337"/>
      <c r="BF6" s="337"/>
      <c r="BG6" s="337"/>
      <c r="BH6" s="337"/>
      <c r="BI6" s="337"/>
      <c r="BJ6" s="337"/>
      <c r="BK6" s="337"/>
      <c r="BL6" s="337"/>
      <c r="BM6" s="337"/>
      <c r="BN6" s="337"/>
      <c r="BO6" s="337"/>
      <c r="BP6" s="337"/>
      <c r="BQ6" s="337"/>
      <c r="BR6" s="337"/>
      <c r="BS6" s="337"/>
      <c r="BT6" s="337"/>
      <c r="BU6" s="337"/>
    </row>
    <row r="7" spans="1:73" customFormat="1">
      <c r="A7" s="337"/>
      <c r="M7" s="337"/>
      <c r="N7" s="337"/>
      <c r="O7" s="337"/>
      <c r="P7" s="337"/>
      <c r="Q7" s="337"/>
      <c r="R7" s="337"/>
      <c r="S7" s="337"/>
      <c r="T7" s="337"/>
      <c r="U7" s="337"/>
      <c r="V7" s="337"/>
      <c r="W7" s="337"/>
      <c r="X7" s="337"/>
      <c r="Y7" s="337"/>
      <c r="Z7" s="337"/>
      <c r="AA7" s="337"/>
      <c r="AB7" s="337"/>
      <c r="AC7" s="337"/>
      <c r="AD7" s="337"/>
      <c r="AE7" s="337"/>
      <c r="AF7" s="337"/>
      <c r="AG7" s="337"/>
      <c r="AH7" s="337"/>
      <c r="AI7" s="337"/>
      <c r="AJ7" s="337"/>
      <c r="AK7" s="337"/>
      <c r="AL7" s="337"/>
      <c r="AM7" s="337"/>
      <c r="AN7" s="337"/>
      <c r="AO7" s="337"/>
      <c r="AP7" s="337"/>
      <c r="AQ7" s="337"/>
      <c r="AR7" s="337"/>
      <c r="AS7" s="337"/>
      <c r="AT7" s="337"/>
      <c r="AU7" s="337"/>
      <c r="AV7" s="337"/>
      <c r="AW7" s="337"/>
      <c r="AX7" s="337"/>
      <c r="AY7" s="337"/>
      <c r="AZ7" s="337"/>
      <c r="BA7" s="337"/>
      <c r="BB7" s="337"/>
      <c r="BC7" s="337"/>
      <c r="BD7" s="337"/>
      <c r="BE7" s="337"/>
      <c r="BF7" s="337"/>
      <c r="BG7" s="337"/>
      <c r="BH7" s="337"/>
      <c r="BI7" s="337"/>
      <c r="BJ7" s="337"/>
      <c r="BK7" s="337"/>
      <c r="BL7" s="337"/>
      <c r="BM7" s="337"/>
      <c r="BN7" s="337"/>
      <c r="BO7" s="337"/>
      <c r="BP7" s="337"/>
      <c r="BQ7" s="337"/>
      <c r="BR7" s="337"/>
      <c r="BS7" s="337"/>
      <c r="BT7" s="337"/>
      <c r="BU7" s="337"/>
    </row>
    <row r="8" spans="1:73" ht="15.75" customHeight="1" thickBot="1">
      <c r="B8" s="1618" t="s">
        <v>581</v>
      </c>
      <c r="C8" s="1618"/>
      <c r="D8" s="1618"/>
      <c r="E8" s="1618"/>
      <c r="F8" s="1618"/>
      <c r="G8" s="1618"/>
      <c r="H8" s="1618"/>
      <c r="I8" s="1618"/>
      <c r="J8" s="1618"/>
      <c r="K8" s="1618"/>
      <c r="L8" s="1618"/>
    </row>
    <row r="9" spans="1:73" ht="13.5" thickTop="1"/>
    <row r="10" spans="1:73">
      <c r="B10" s="190"/>
    </row>
    <row r="11" spans="1:73">
      <c r="B11" s="1682" t="s">
        <v>582</v>
      </c>
      <c r="C11" s="1682"/>
      <c r="D11" s="1682"/>
      <c r="E11" s="288">
        <f>'Cap Analysis'!D105</f>
        <v>1530.6484346283069</v>
      </c>
      <c r="F11" s="61" t="s">
        <v>341</v>
      </c>
    </row>
    <row r="12" spans="1:73" ht="15">
      <c r="B12" s="61"/>
      <c r="C12" s="39"/>
      <c r="D12" s="39" t="s">
        <v>590</v>
      </c>
      <c r="E12" s="288">
        <f>MAX(ABS(VLOOKUP(E11,'Cap Analysis'!G99:I100,3,FALSE)),E11*dv/12)</f>
        <v>17266.739549830236</v>
      </c>
      <c r="F12" s="61" t="s">
        <v>400</v>
      </c>
      <c r="G12" s="1332" t="s">
        <v>1540</v>
      </c>
      <c r="K12" s="43"/>
      <c r="L12" s="68"/>
    </row>
    <row r="13" spans="1:73">
      <c r="B13" s="43"/>
      <c r="D13" s="64" t="s">
        <v>601</v>
      </c>
      <c r="E13" s="37">
        <v>0.9</v>
      </c>
      <c r="G13" s="175"/>
    </row>
    <row r="14" spans="1:73" ht="15.75">
      <c r="B14" s="43"/>
      <c r="D14" s="39" t="s">
        <v>588</v>
      </c>
      <c r="E14" s="87">
        <f>MAX(MAX('Bars A'!F13-'Bars A'!D21/2,'Bars A'!F13*0.9),0.72*capheight)</f>
        <v>54.399847494553377</v>
      </c>
      <c r="F14" s="37" t="s">
        <v>155</v>
      </c>
      <c r="G14" s="1333" t="str">
        <f>"Dist. to reinf = d-a/2 &gt; max of 0.9d-, 0.72h"</f>
        <v>Dist. to reinf = d-a/2 &gt; max of 0.9d-, 0.72h</v>
      </c>
      <c r="L14" s="1374" t="s">
        <v>1589</v>
      </c>
    </row>
    <row r="15" spans="1:73" ht="15.75">
      <c r="B15" s="43"/>
      <c r="D15" s="39" t="s">
        <v>587</v>
      </c>
      <c r="E15" s="37">
        <f>capstemWidth</f>
        <v>54</v>
      </c>
      <c r="F15" s="37" t="s">
        <v>155</v>
      </c>
      <c r="G15" s="182"/>
      <c r="L15" s="1374" t="s">
        <v>1589</v>
      </c>
    </row>
    <row r="16" spans="1:73" ht="15.75">
      <c r="B16" s="43"/>
      <c r="D16" s="75" t="s">
        <v>664</v>
      </c>
      <c r="E16" s="180">
        <v>36.4</v>
      </c>
      <c r="F16" s="61" t="s">
        <v>175</v>
      </c>
      <c r="G16" s="175" t="s">
        <v>592</v>
      </c>
    </row>
    <row r="17" spans="1:49" ht="17.25">
      <c r="B17" s="43"/>
      <c r="D17" s="172" t="s">
        <v>595</v>
      </c>
      <c r="E17" s="89">
        <f>1.3*VLOOKUP('Bars A'!F10,BarTable,4,FALSE)/12</f>
        <v>5.2173333333333334</v>
      </c>
      <c r="F17" s="42" t="s">
        <v>156</v>
      </c>
      <c r="G17" s="1036" t="str">
        <f>"{1.3 x "&amp;FIXED(VLOOKUP('Bars A'!F10,BarTable,4,FALSE)/12,3)&amp;" ft }"</f>
        <v>{1.3 x 4.013 ft }</v>
      </c>
      <c r="L17" s="977" t="s">
        <v>1590</v>
      </c>
    </row>
    <row r="18" spans="1:49">
      <c r="B18" s="43"/>
      <c r="D18" s="64" t="s">
        <v>597</v>
      </c>
      <c r="E18" s="37">
        <f>INDEX('Cap Analysis'!D76:D77,MATCH(E11,'Cap Analysis'!G99:G100),1)</f>
        <v>21</v>
      </c>
      <c r="F18" s="173" t="s">
        <v>156</v>
      </c>
    </row>
    <row r="19" spans="1:49" ht="18.75" customHeight="1">
      <c r="B19" s="43"/>
      <c r="D19" s="96" t="s">
        <v>599</v>
      </c>
      <c r="E19" s="87">
        <f>IF(E18&gt;E17,'Bars A'!I13,0.0000000001)</f>
        <v>12.504</v>
      </c>
      <c r="F19" s="174" t="s">
        <v>594</v>
      </c>
    </row>
    <row r="20" spans="1:49" ht="15.75">
      <c r="B20" s="43"/>
      <c r="D20" s="96" t="s">
        <v>598</v>
      </c>
      <c r="E20" s="37">
        <f>MIN(0.001,(E12*12/E14+0.5*E11*TAN(RADIANS(90-E16)))/(2*Es*E19))</f>
        <v>1E-3</v>
      </c>
      <c r="G20" s="177" t="s">
        <v>1591</v>
      </c>
    </row>
    <row r="21" spans="1:49" ht="15.75">
      <c r="B21" s="43"/>
      <c r="D21" s="96" t="s">
        <v>600</v>
      </c>
      <c r="E21" s="89">
        <f>E11/(E13*E15*E14)</f>
        <v>0.57895058917099751</v>
      </c>
      <c r="F21" s="95" t="s">
        <v>196</v>
      </c>
      <c r="G21" s="176" t="s">
        <v>1592</v>
      </c>
      <c r="AB21" s="475" t="s">
        <v>640</v>
      </c>
      <c r="AR21" s="1679" t="s">
        <v>658</v>
      </c>
      <c r="AS21" s="1679"/>
      <c r="AT21" s="1679"/>
      <c r="AU21" s="1679" t="s">
        <v>659</v>
      </c>
      <c r="AV21" s="1679"/>
      <c r="AW21" s="1680"/>
    </row>
    <row r="22" spans="1:49" ht="15.75">
      <c r="B22" s="43"/>
      <c r="D22" s="96" t="s">
        <v>618</v>
      </c>
      <c r="E22" s="89">
        <f>E21/fc</f>
        <v>0.16081960810305487</v>
      </c>
      <c r="U22" s="1375" t="s">
        <v>630</v>
      </c>
      <c r="V22" s="1375" t="s">
        <v>631</v>
      </c>
      <c r="W22" s="1375" t="s">
        <v>632</v>
      </c>
      <c r="X22" s="1375" t="s">
        <v>633</v>
      </c>
      <c r="Y22" s="1376" t="s">
        <v>634</v>
      </c>
      <c r="Z22" s="1375" t="s">
        <v>635</v>
      </c>
      <c r="AA22" s="1375"/>
      <c r="AB22" s="1375" t="s">
        <v>638</v>
      </c>
      <c r="AC22" s="1375" t="s">
        <v>639</v>
      </c>
      <c r="AD22" s="1375" t="s">
        <v>648</v>
      </c>
      <c r="AE22" s="1375" t="s">
        <v>649</v>
      </c>
      <c r="AF22" s="1375" t="s">
        <v>650</v>
      </c>
      <c r="AG22" s="1375" t="s">
        <v>651</v>
      </c>
      <c r="AH22" s="1375" t="s">
        <v>652</v>
      </c>
      <c r="AI22" s="1375" t="s">
        <v>653</v>
      </c>
      <c r="AJ22" s="1375" t="s">
        <v>660</v>
      </c>
      <c r="AK22" s="1375" t="s">
        <v>661</v>
      </c>
      <c r="AL22" s="1375" t="s">
        <v>662</v>
      </c>
      <c r="AM22" s="1375" t="s">
        <v>663</v>
      </c>
      <c r="AN22" s="1681" t="s">
        <v>654</v>
      </c>
      <c r="AO22" s="1681"/>
      <c r="AP22" s="1681" t="s">
        <v>655</v>
      </c>
      <c r="AQ22" s="1681"/>
      <c r="AR22" s="1681" t="s">
        <v>656</v>
      </c>
      <c r="AS22" s="1681"/>
      <c r="AT22" s="1375" t="s">
        <v>657</v>
      </c>
      <c r="AU22" s="1681" t="s">
        <v>656</v>
      </c>
      <c r="AV22" s="1681"/>
      <c r="AW22" s="1375" t="s">
        <v>657</v>
      </c>
    </row>
    <row r="23" spans="1:49">
      <c r="A23" s="400"/>
      <c r="B23" s="43"/>
      <c r="C23" s="87"/>
      <c r="D23" s="75" t="s">
        <v>591</v>
      </c>
      <c r="E23" s="87">
        <f>X23</f>
        <v>37.083607837938899</v>
      </c>
      <c r="F23" s="61" t="s">
        <v>175</v>
      </c>
      <c r="G23" s="176" t="s">
        <v>1595</v>
      </c>
      <c r="U23" s="1375">
        <f>MIN(0.001,MAX(0,(E12*12/$E$14+0.5*E11*TAN(RADIANS(90-E16)))/(2*Es*E19)))</f>
        <v>1E-3</v>
      </c>
      <c r="V23" s="1375">
        <f>E11/($E$13*$E$15*$E$14)</f>
        <v>0.57895058917099751</v>
      </c>
      <c r="W23" s="1375">
        <f>V23/fc</f>
        <v>0.16081960810305487</v>
      </c>
      <c r="X23" s="1375">
        <f>AT23</f>
        <v>37.083607837938899</v>
      </c>
      <c r="Y23" s="1375">
        <f>AW23</f>
        <v>2.0280658811053365</v>
      </c>
      <c r="Z23" s="1375">
        <f>0.0316*Y23*SQRT(fc)*$E$15*$E$14</f>
        <v>357.20031551709206</v>
      </c>
      <c r="AA23" s="1375"/>
      <c r="AB23" s="1376">
        <f>MATCH(U23,Reference!$S$7:$S$17,1)</f>
        <v>10</v>
      </c>
      <c r="AC23" s="1376">
        <f>12-MATCH(U23,Reference!$AD$6:$AD$16,-1)</f>
        <v>10</v>
      </c>
      <c r="AD23" s="1376">
        <f>MATCH(W23,Reference!$T$6:$AB$6,1)</f>
        <v>5</v>
      </c>
      <c r="AE23" s="1376">
        <f>10-MATCH(W23,Reference!$AD$18:$AL$18,-1)</f>
        <v>6</v>
      </c>
      <c r="AF23" s="1376">
        <f>INDEX(Reference!$T$7:$AB$17,AB23,AD23)</f>
        <v>37.299999999999997</v>
      </c>
      <c r="AG23" s="1376">
        <f>INDEX(Reference!$T$7:$AB$17,AB23,AE23)</f>
        <v>36.799999999999997</v>
      </c>
      <c r="AH23" s="1376">
        <f>INDEX(Reference!$T$7:$AB$17,AC23,AD23)</f>
        <v>37.299999999999997</v>
      </c>
      <c r="AI23" s="1376">
        <f>INDEX(Reference!$T$7:$AB$17,AC23,AE23)</f>
        <v>36.799999999999997</v>
      </c>
      <c r="AJ23" s="1376">
        <f>INDEX(Reference!$T$23:$AB$33,AB23,AD23)</f>
        <v>2.08</v>
      </c>
      <c r="AK23" s="1376">
        <f>INDEX(Reference!$T$23:$AB$33,AB23,AE23)</f>
        <v>1.96</v>
      </c>
      <c r="AL23" s="1376">
        <f>INDEX(Reference!$T$23:$AB$33,AC23,AD23)</f>
        <v>2.08</v>
      </c>
      <c r="AM23" s="1376">
        <f>INDEX(Reference!$T$23:$AB$33,AC23,AE23)</f>
        <v>1.96</v>
      </c>
      <c r="AN23" s="1377">
        <f>INDEX(Reference!$S$7:$S$17,AB23,1)</f>
        <v>1E-3</v>
      </c>
      <c r="AO23" s="1377">
        <f>INDEX(Reference!$S$7:$S$17,AC23,1)</f>
        <v>1E-3</v>
      </c>
      <c r="AP23" s="1378">
        <f>INDEX(Reference!$T$6:$AB$6,1,AD23)</f>
        <v>0.15</v>
      </c>
      <c r="AQ23" s="1378">
        <f>INDEX(Reference!$T$6:$AB$6,1,AE23)</f>
        <v>0.17499999999999999</v>
      </c>
      <c r="AR23" s="1379">
        <f>AF23+(U23-AN23)*(AH23-AF23)/IF((AO23-AN23)=0,1,(AO23-AN23))</f>
        <v>37.299999999999997</v>
      </c>
      <c r="AS23" s="1379">
        <f>AG23+(U23-AN23)*(AI23-AG23)/IF((AO23-AN23)=0,1,(AO23-AN23))</f>
        <v>36.799999999999997</v>
      </c>
      <c r="AT23" s="1379">
        <f>AR23+(W23-AP23)*(AS23-AR23)/IF((AQ23-AP23)=0,1,(AQ23-AP23))</f>
        <v>37.083607837938899</v>
      </c>
      <c r="AU23" s="1379">
        <f>AJ23+(U23-AN23)*(AL23-AJ23)/IF((AO23-AN23)=0,1,(AO23-AN23))</f>
        <v>2.08</v>
      </c>
      <c r="AV23" s="1379">
        <f>AK23+(U23-AN23)*(AM23-AK23)/IF((AO23-AN23)=0,1,(AO23-AN23))</f>
        <v>1.96</v>
      </c>
      <c r="AW23" s="1379">
        <f>AU23+(W23-AP23)*(AV23-AU23)/IF((AQ23-AP23)=0,1,(AQ23-AP23))</f>
        <v>2.0280658811053365</v>
      </c>
    </row>
    <row r="24" spans="1:49" ht="15.75">
      <c r="A24" s="474"/>
      <c r="B24" s="43"/>
      <c r="C24" s="87"/>
      <c r="D24" s="75" t="s">
        <v>665</v>
      </c>
      <c r="E24" s="181">
        <f>E23-E16</f>
        <v>0.68360783793890079</v>
      </c>
      <c r="F24" s="18"/>
      <c r="G24" s="192" t="str">
        <f>IF(ROUND(E24,2)=0,"OK","NG - Need to change θ(trial)")</f>
        <v>NG - Need to change θ(trial)</v>
      </c>
    </row>
    <row r="25" spans="1:49">
      <c r="B25" s="43"/>
      <c r="D25" s="64" t="s">
        <v>589</v>
      </c>
      <c r="E25" s="178">
        <f>Y23</f>
        <v>2.0280658811053365</v>
      </c>
      <c r="G25" s="176" t="s">
        <v>1595</v>
      </c>
    </row>
    <row r="26" spans="1:49" ht="15.75">
      <c r="B26" s="43"/>
      <c r="D26" s="75" t="s">
        <v>583</v>
      </c>
      <c r="E26" s="179">
        <f>0.0316*E25*SQRT(fc)*E15*E14</f>
        <v>357.20031551709206</v>
      </c>
      <c r="F26" s="37" t="s">
        <v>341</v>
      </c>
      <c r="G26" s="176" t="s">
        <v>1411</v>
      </c>
      <c r="L26" s="183" t="s">
        <v>1617</v>
      </c>
    </row>
    <row r="27" spans="1:49">
      <c r="B27" s="43"/>
      <c r="D27" s="96" t="s">
        <v>593</v>
      </c>
      <c r="E27" s="171" t="str">
        <f>BarSArrange &amp;" "&amp;BarS</f>
        <v>Single #5</v>
      </c>
    </row>
    <row r="28" spans="1:49" ht="17.25" customHeight="1">
      <c r="B28" s="43"/>
      <c r="D28" s="96" t="s">
        <v>620</v>
      </c>
      <c r="E28" s="89">
        <f>IF(BarSArrange="Single",1,IF(BarSArrange="Double",2,IF(BarSArrange="Triple",3)))*2*VLOOKUP(BarS,BarTable,3)</f>
        <v>0.61399999999999999</v>
      </c>
      <c r="F28" s="37" t="s">
        <v>594</v>
      </c>
      <c r="G28" s="176" t="str">
        <f>"{"&amp;IF(BarSArrange="Single",1,IF(BarSArrange="Double",2,IF(BarSArrange="Triple",3)))&amp;" x 2 legs x "&amp;VLOOKUP(BarS,BarTable,3)&amp;" sqin}"</f>
        <v>{1 x 2 legs x 0.307 sqin}</v>
      </c>
    </row>
    <row r="29" spans="1:49" ht="15.75">
      <c r="B29" s="43"/>
      <c r="D29" s="75" t="s">
        <v>619</v>
      </c>
      <c r="E29" s="184">
        <f>E28*fy*E14*TAN(RADIANS(90-E23))</f>
        <v>2651.4588636140334</v>
      </c>
      <c r="F29" s="37" t="s">
        <v>403</v>
      </c>
      <c r="G29" s="91" t="s">
        <v>1596</v>
      </c>
    </row>
    <row r="30" spans="1:49" ht="15.75">
      <c r="B30" s="43"/>
      <c r="D30" s="75" t="s">
        <v>621</v>
      </c>
      <c r="E30" s="171" t="s">
        <v>717</v>
      </c>
      <c r="L30" s="183" t="s">
        <v>1597</v>
      </c>
    </row>
    <row r="31" spans="1:49" ht="15.75">
      <c r="B31" s="43"/>
      <c r="D31" s="39" t="s">
        <v>622</v>
      </c>
      <c r="E31" s="184">
        <f>0.25*fc*E15*E14</f>
        <v>2643.8325882352942</v>
      </c>
      <c r="F31" s="37" t="s">
        <v>341</v>
      </c>
      <c r="L31" s="68"/>
    </row>
    <row r="32" spans="1:49">
      <c r="B32" s="43"/>
      <c r="C32" s="171" t="s">
        <v>668</v>
      </c>
      <c r="G32" s="91"/>
    </row>
    <row r="33" spans="1:12" ht="12.75" customHeight="1">
      <c r="B33" s="43"/>
      <c r="D33" s="75" t="s">
        <v>667</v>
      </c>
      <c r="E33" s="193">
        <f>MIN(12,IF(E21&lt;0.125*fc,MIN(24,0.8*dv),MIN(12,0.4*dv)))</f>
        <v>12</v>
      </c>
      <c r="F33" s="95" t="s">
        <v>155</v>
      </c>
      <c r="G33" s="176" t="str">
        <f>"{"&amp;IF(E21&lt;0.125*fc,"0.8dv ≤ 24.0 in - AASHTO LRFD 5.7.2.6","0.4dv ≤ 12.0 in - AASHTO LRFD 5.7.2.6")&amp;"; 12'' Max - TxDOT LRFD BDM}"</f>
        <v>{0.4dv ≤ 12.0 in - AASHTO LRFD 5.7.2.6; 12'' Max - TxDOT LRFD BDM}</v>
      </c>
    </row>
    <row r="34" spans="1:12" ht="12.75" customHeight="1">
      <c r="A34" s="400"/>
      <c r="B34" s="43"/>
      <c r="D34" s="75" t="s">
        <v>667</v>
      </c>
      <c r="E34" s="179">
        <f>Av*fy/(0.0316*SQRT(fc)*bv)</f>
        <v>11.378565889260342</v>
      </c>
      <c r="F34" s="95" t="s">
        <v>155</v>
      </c>
      <c r="G34" s="176" t="s">
        <v>1598</v>
      </c>
    </row>
    <row r="35" spans="1:12">
      <c r="A35" s="400"/>
      <c r="B35" s="43"/>
      <c r="C35" s="171" t="s">
        <v>686</v>
      </c>
    </row>
    <row r="36" spans="1:12" ht="15.75">
      <c r="A36" s="400"/>
      <c r="B36" s="43"/>
      <c r="E36" s="187" t="s">
        <v>94</v>
      </c>
      <c r="F36" s="188" t="s">
        <v>623</v>
      </c>
      <c r="G36" s="188" t="s">
        <v>624</v>
      </c>
      <c r="H36" s="35" t="s">
        <v>625</v>
      </c>
      <c r="I36" s="71"/>
    </row>
    <row r="37" spans="1:12">
      <c r="A37" s="400"/>
      <c r="B37" s="43"/>
      <c r="E37" s="186">
        <v>4</v>
      </c>
      <c r="F37" s="185">
        <f>E29/4</f>
        <v>662.86471590350834</v>
      </c>
      <c r="G37" s="185">
        <f t="shared" ref="G37:G45" si="0">MIN(Vnmax,Vc+F37)</f>
        <v>1020.0650314206005</v>
      </c>
      <c r="H37" s="185">
        <f t="shared" ref="H37:H45" si="1">G37*$E$13</f>
        <v>918.05852827854039</v>
      </c>
      <c r="I37" s="71"/>
    </row>
    <row r="38" spans="1:12">
      <c r="A38" s="400"/>
      <c r="B38" s="43"/>
      <c r="E38" s="186">
        <v>5</v>
      </c>
      <c r="F38" s="185">
        <f>E29/5</f>
        <v>530.29177272280663</v>
      </c>
      <c r="G38" s="185">
        <f t="shared" si="0"/>
        <v>887.49208823989875</v>
      </c>
      <c r="H38" s="185">
        <f t="shared" si="1"/>
        <v>798.74287941590887</v>
      </c>
      <c r="I38" s="71"/>
    </row>
    <row r="39" spans="1:12">
      <c r="A39" s="400"/>
      <c r="B39" s="43"/>
      <c r="E39" s="186">
        <v>6</v>
      </c>
      <c r="F39" s="185">
        <f>E29/6</f>
        <v>441.90981060233889</v>
      </c>
      <c r="G39" s="185">
        <f t="shared" si="0"/>
        <v>799.11012611943102</v>
      </c>
      <c r="H39" s="185">
        <f t="shared" si="1"/>
        <v>719.19911350748794</v>
      </c>
      <c r="I39" s="71"/>
    </row>
    <row r="40" spans="1:12">
      <c r="A40" s="400"/>
      <c r="B40" s="43"/>
      <c r="E40" s="186">
        <v>7</v>
      </c>
      <c r="F40" s="185">
        <f>E29/7</f>
        <v>378.77983765914763</v>
      </c>
      <c r="G40" s="185">
        <f t="shared" si="0"/>
        <v>735.9801531762397</v>
      </c>
      <c r="H40" s="185">
        <f t="shared" si="1"/>
        <v>662.38213785861569</v>
      </c>
      <c r="I40" s="71"/>
    </row>
    <row r="41" spans="1:12">
      <c r="A41" s="400"/>
      <c r="B41" s="43"/>
      <c r="E41" s="186">
        <v>8</v>
      </c>
      <c r="F41" s="185">
        <f>E29/8</f>
        <v>331.43235795175417</v>
      </c>
      <c r="G41" s="185">
        <f t="shared" si="0"/>
        <v>688.63267346884618</v>
      </c>
      <c r="H41" s="185">
        <f t="shared" si="1"/>
        <v>619.76940612196154</v>
      </c>
      <c r="I41" s="71"/>
    </row>
    <row r="42" spans="1:12">
      <c r="A42" s="400"/>
      <c r="B42" s="43"/>
      <c r="C42" s="37"/>
      <c r="E42" s="186">
        <v>9</v>
      </c>
      <c r="F42" s="185">
        <f>E29/9</f>
        <v>294.60654040155924</v>
      </c>
      <c r="G42" s="185">
        <f t="shared" si="0"/>
        <v>651.80685591865131</v>
      </c>
      <c r="H42" s="185">
        <f t="shared" si="1"/>
        <v>586.62617032678622</v>
      </c>
      <c r="I42" s="71"/>
    </row>
    <row r="43" spans="1:12">
      <c r="A43" s="400"/>
      <c r="B43" s="43"/>
      <c r="C43" s="37"/>
      <c r="E43" s="186">
        <v>10</v>
      </c>
      <c r="F43" s="185">
        <f>E29/10</f>
        <v>265.14588636140331</v>
      </c>
      <c r="G43" s="185">
        <f t="shared" si="0"/>
        <v>622.34620187849532</v>
      </c>
      <c r="H43" s="185">
        <f t="shared" si="1"/>
        <v>560.11158169064583</v>
      </c>
      <c r="I43" s="71"/>
    </row>
    <row r="44" spans="1:12">
      <c r="A44" s="400"/>
      <c r="B44" s="43"/>
      <c r="C44" s="37"/>
      <c r="E44" s="186">
        <v>11</v>
      </c>
      <c r="F44" s="185">
        <f>E29/11</f>
        <v>241.04171487400302</v>
      </c>
      <c r="G44" s="185">
        <f t="shared" si="0"/>
        <v>598.24203039109511</v>
      </c>
      <c r="H44" s="185">
        <f t="shared" si="1"/>
        <v>538.41782735198558</v>
      </c>
      <c r="I44" s="71"/>
    </row>
    <row r="45" spans="1:12" ht="12" customHeight="1">
      <c r="A45" s="400"/>
      <c r="B45" s="43"/>
      <c r="E45" s="186">
        <v>12</v>
      </c>
      <c r="F45" s="185">
        <f>E29/12</f>
        <v>220.95490530116945</v>
      </c>
      <c r="G45" s="185">
        <f t="shared" si="0"/>
        <v>578.15522081826157</v>
      </c>
      <c r="H45" s="185">
        <f t="shared" si="1"/>
        <v>520.33969873643548</v>
      </c>
      <c r="I45" s="71"/>
    </row>
    <row r="46" spans="1:12">
      <c r="B46" s="96"/>
      <c r="F46" s="87"/>
      <c r="G46" s="87"/>
      <c r="H46" s="185"/>
      <c r="I46" s="184"/>
      <c r="J46" s="184"/>
      <c r="K46" s="184"/>
      <c r="L46" s="189"/>
    </row>
    <row r="47" spans="1:12">
      <c r="B47" s="96"/>
      <c r="C47" s="1262" t="s">
        <v>1599</v>
      </c>
      <c r="F47" s="87"/>
      <c r="G47" s="274" t="str">
        <f>IF(ISERROR(INDEX(E37:E45,MATCH(E11,H37:H45,-1),1)),"NG",INDEX(E37:E45,MATCH(E11,H37:H45,-1),1))</f>
        <v>NG</v>
      </c>
      <c r="H47" s="198" t="s">
        <v>536</v>
      </c>
      <c r="I47" s="192" t="str">
        <f>IF(AND(G47&gt;=4,G47&lt;&gt;"NG"),IF(ISERROR(G47-Stirrup*VLOOKUP(BarS,BarTable,2,FALSE)&gt;=3),"NG",IF(G47-Stirrup*VLOOKUP(BarS,BarTable,2,FALSE)&gt;=3,"OK","NG")),"NG")</f>
        <v>NG</v>
      </c>
      <c r="J47" s="184"/>
      <c r="K47" s="184"/>
      <c r="L47" s="189"/>
    </row>
    <row r="48" spans="1:12">
      <c r="B48" s="96"/>
      <c r="C48" s="197"/>
      <c r="F48" s="87"/>
      <c r="G48" s="87"/>
      <c r="H48" s="185"/>
      <c r="I48" s="184"/>
      <c r="J48" s="184"/>
      <c r="K48" s="184"/>
      <c r="L48" s="189"/>
    </row>
    <row r="49" spans="2:12">
      <c r="B49" s="487"/>
      <c r="C49" s="488"/>
      <c r="D49" s="400"/>
      <c r="E49" s="400"/>
      <c r="F49" s="489"/>
      <c r="G49" s="489"/>
      <c r="H49" s="490"/>
      <c r="I49" s="491"/>
      <c r="J49" s="491"/>
      <c r="K49" s="491"/>
      <c r="L49" s="492"/>
    </row>
    <row r="50" spans="2:12">
      <c r="B50" s="487"/>
      <c r="C50" s="488"/>
      <c r="D50" s="400"/>
      <c r="E50" s="400"/>
      <c r="F50" s="489"/>
      <c r="G50" s="489"/>
      <c r="H50" s="490"/>
      <c r="I50" s="491"/>
      <c r="J50" s="491"/>
      <c r="K50" s="491"/>
      <c r="L50" s="492"/>
    </row>
    <row r="51" spans="2:12">
      <c r="B51" s="487"/>
      <c r="C51" s="488"/>
      <c r="D51" s="400"/>
      <c r="E51" s="400"/>
      <c r="F51" s="489"/>
      <c r="G51" s="489"/>
      <c r="H51" s="490"/>
      <c r="I51" s="491"/>
      <c r="J51" s="491"/>
      <c r="K51" s="491"/>
      <c r="L51" s="492"/>
    </row>
    <row r="52" spans="2:12">
      <c r="B52" s="487"/>
      <c r="C52" s="488"/>
      <c r="D52" s="400"/>
      <c r="E52" s="400"/>
      <c r="F52" s="489"/>
      <c r="G52" s="489"/>
      <c r="H52" s="490"/>
      <c r="I52" s="491"/>
      <c r="J52" s="491"/>
      <c r="K52" s="491"/>
      <c r="L52" s="492"/>
    </row>
    <row r="53" spans="2:12">
      <c r="B53" s="487"/>
      <c r="C53" s="488"/>
      <c r="D53" s="400"/>
      <c r="E53" s="400"/>
      <c r="F53" s="489"/>
      <c r="G53" s="489"/>
      <c r="H53" s="490"/>
      <c r="I53" s="491"/>
      <c r="J53" s="491"/>
      <c r="K53" s="491"/>
      <c r="L53" s="492"/>
    </row>
    <row r="54" spans="2:12">
      <c r="B54" s="487"/>
      <c r="C54" s="488"/>
      <c r="D54" s="400"/>
      <c r="E54" s="400"/>
      <c r="F54" s="489"/>
      <c r="G54" s="489"/>
      <c r="H54" s="490"/>
      <c r="I54" s="491"/>
      <c r="J54" s="491"/>
      <c r="K54" s="491"/>
      <c r="L54" s="492"/>
    </row>
    <row r="55" spans="2:12">
      <c r="B55" s="487"/>
      <c r="C55" s="488"/>
      <c r="D55" s="400"/>
      <c r="E55" s="400"/>
      <c r="F55" s="489"/>
      <c r="G55" s="489"/>
      <c r="H55" s="490"/>
      <c r="I55" s="491"/>
      <c r="J55" s="491"/>
      <c r="K55" s="491"/>
      <c r="L55" s="492"/>
    </row>
    <row r="56" spans="2:12">
      <c r="B56" s="487"/>
      <c r="C56" s="488"/>
      <c r="D56" s="400"/>
      <c r="E56" s="400"/>
      <c r="F56" s="489"/>
      <c r="G56" s="489"/>
      <c r="H56" s="490"/>
      <c r="I56" s="491"/>
      <c r="J56" s="491"/>
      <c r="K56" s="491"/>
      <c r="L56" s="492"/>
    </row>
    <row r="57" spans="2:12">
      <c r="B57" s="487"/>
      <c r="C57" s="488"/>
      <c r="D57" s="400"/>
      <c r="E57" s="400"/>
      <c r="F57" s="489"/>
      <c r="G57" s="489"/>
      <c r="H57" s="490"/>
      <c r="I57" s="491"/>
      <c r="J57" s="491"/>
      <c r="K57" s="491"/>
      <c r="L57" s="492"/>
    </row>
    <row r="58" spans="2:12">
      <c r="B58" s="487"/>
      <c r="C58" s="488"/>
      <c r="D58" s="400"/>
      <c r="E58" s="400"/>
      <c r="F58" s="489"/>
      <c r="G58" s="489"/>
      <c r="H58" s="490"/>
      <c r="I58" s="491"/>
      <c r="J58" s="491"/>
      <c r="K58" s="491"/>
      <c r="L58" s="492"/>
    </row>
    <row r="59" spans="2:12">
      <c r="B59" s="487"/>
      <c r="C59" s="488"/>
      <c r="D59" s="400"/>
      <c r="E59" s="400"/>
      <c r="F59" s="489"/>
      <c r="G59" s="489"/>
      <c r="H59" s="490"/>
      <c r="I59" s="491"/>
      <c r="J59" s="491"/>
      <c r="K59" s="491"/>
      <c r="L59" s="492"/>
    </row>
    <row r="60" spans="2:12">
      <c r="B60" s="487"/>
      <c r="C60" s="488"/>
      <c r="D60" s="400"/>
      <c r="E60" s="400"/>
      <c r="F60" s="489"/>
      <c r="G60" s="489"/>
      <c r="H60" s="490"/>
      <c r="I60" s="491"/>
      <c r="J60" s="491"/>
      <c r="K60" s="491"/>
      <c r="L60" s="492"/>
    </row>
    <row r="61" spans="2:12">
      <c r="B61" s="487"/>
      <c r="C61" s="488"/>
      <c r="D61" s="400"/>
      <c r="E61" s="400"/>
      <c r="F61" s="489"/>
      <c r="G61" s="489"/>
      <c r="H61" s="490"/>
      <c r="I61" s="491"/>
      <c r="J61" s="491"/>
      <c r="K61" s="491"/>
      <c r="L61" s="492"/>
    </row>
    <row r="62" spans="2:12">
      <c r="B62" s="487"/>
      <c r="C62" s="488"/>
      <c r="D62" s="400"/>
      <c r="E62" s="400"/>
      <c r="F62" s="489"/>
      <c r="G62" s="489"/>
      <c r="H62" s="490"/>
      <c r="I62" s="491"/>
      <c r="J62" s="491"/>
      <c r="K62" s="491"/>
      <c r="L62" s="492"/>
    </row>
    <row r="63" spans="2:12">
      <c r="B63" s="487"/>
      <c r="C63" s="488"/>
      <c r="D63" s="400"/>
      <c r="E63" s="400"/>
      <c r="F63" s="489"/>
      <c r="G63" s="489"/>
      <c r="H63" s="490"/>
      <c r="I63" s="491"/>
      <c r="J63" s="491"/>
      <c r="K63" s="491"/>
      <c r="L63" s="492"/>
    </row>
    <row r="64" spans="2:12">
      <c r="B64" s="400"/>
      <c r="C64" s="487"/>
      <c r="D64" s="400"/>
      <c r="E64" s="400"/>
      <c r="F64" s="400"/>
      <c r="G64" s="400"/>
      <c r="H64" s="487"/>
      <c r="I64" s="400"/>
      <c r="J64" s="400"/>
      <c r="K64" s="400"/>
      <c r="L64" s="400"/>
    </row>
    <row r="65" spans="1:8" s="400" customFormat="1">
      <c r="A65" s="337"/>
      <c r="C65" s="487"/>
      <c r="H65" s="487"/>
    </row>
    <row r="66" spans="1:8" s="400" customFormat="1">
      <c r="A66" s="337"/>
      <c r="C66" s="487"/>
      <c r="H66" s="487"/>
    </row>
    <row r="67" spans="1:8" s="400" customFormat="1">
      <c r="A67" s="337"/>
      <c r="C67" s="487"/>
      <c r="H67" s="487"/>
    </row>
    <row r="68" spans="1:8" s="400" customFormat="1">
      <c r="A68" s="337"/>
      <c r="C68" s="487"/>
      <c r="H68" s="487"/>
    </row>
    <row r="69" spans="1:8" s="400" customFormat="1">
      <c r="A69" s="337"/>
      <c r="C69" s="487"/>
      <c r="H69" s="487"/>
    </row>
    <row r="70" spans="1:8" s="400" customFormat="1">
      <c r="A70" s="337"/>
      <c r="C70" s="487"/>
      <c r="H70" s="487"/>
    </row>
    <row r="71" spans="1:8" s="400" customFormat="1">
      <c r="A71" s="337"/>
      <c r="C71" s="487"/>
      <c r="H71" s="487"/>
    </row>
    <row r="72" spans="1:8" s="400" customFormat="1">
      <c r="A72" s="337"/>
      <c r="C72" s="487"/>
      <c r="H72" s="487"/>
    </row>
    <row r="73" spans="1:8" s="400" customFormat="1">
      <c r="A73" s="337"/>
      <c r="C73" s="487"/>
      <c r="H73" s="487"/>
    </row>
    <row r="74" spans="1:8" s="400" customFormat="1">
      <c r="A74" s="337"/>
      <c r="C74" s="487"/>
      <c r="H74" s="487"/>
    </row>
    <row r="75" spans="1:8" s="400" customFormat="1">
      <c r="A75" s="337"/>
      <c r="C75" s="487"/>
      <c r="H75" s="487"/>
    </row>
    <row r="76" spans="1:8" s="400" customFormat="1">
      <c r="A76" s="337"/>
      <c r="C76" s="487"/>
      <c r="H76" s="487"/>
    </row>
    <row r="77" spans="1:8" s="400" customFormat="1">
      <c r="A77" s="337"/>
      <c r="C77" s="487"/>
      <c r="H77" s="487"/>
    </row>
    <row r="78" spans="1:8" s="400" customFormat="1">
      <c r="A78" s="337"/>
      <c r="C78" s="487"/>
      <c r="H78" s="487"/>
    </row>
    <row r="79" spans="1:8" s="400" customFormat="1">
      <c r="A79" s="337"/>
      <c r="C79" s="487"/>
      <c r="H79" s="487"/>
    </row>
    <row r="80" spans="1:8" s="400" customFormat="1">
      <c r="A80" s="337"/>
      <c r="C80" s="487"/>
      <c r="H80" s="487"/>
    </row>
    <row r="81" spans="1:8" s="400" customFormat="1">
      <c r="A81" s="337"/>
      <c r="C81" s="487"/>
      <c r="H81" s="487"/>
    </row>
    <row r="82" spans="1:8" s="400" customFormat="1">
      <c r="A82" s="337"/>
      <c r="C82" s="487"/>
      <c r="H82" s="487"/>
    </row>
    <row r="83" spans="1:8" s="400" customFormat="1">
      <c r="A83" s="337"/>
      <c r="C83" s="487"/>
      <c r="H83" s="487"/>
    </row>
    <row r="84" spans="1:8" s="400" customFormat="1">
      <c r="A84" s="337"/>
      <c r="C84" s="487"/>
      <c r="H84" s="487"/>
    </row>
    <row r="85" spans="1:8" s="400" customFormat="1">
      <c r="A85" s="337"/>
      <c r="C85" s="487"/>
      <c r="H85" s="487"/>
    </row>
    <row r="86" spans="1:8" s="400" customFormat="1">
      <c r="A86" s="337"/>
      <c r="C86" s="487"/>
      <c r="H86" s="487"/>
    </row>
    <row r="87" spans="1:8" s="400" customFormat="1">
      <c r="A87" s="337"/>
      <c r="C87" s="487"/>
      <c r="H87" s="487"/>
    </row>
    <row r="88" spans="1:8" s="400" customFormat="1">
      <c r="A88" s="337"/>
      <c r="C88" s="487"/>
      <c r="H88" s="487"/>
    </row>
    <row r="89" spans="1:8" s="400" customFormat="1">
      <c r="A89" s="337"/>
      <c r="C89" s="487"/>
      <c r="H89" s="487"/>
    </row>
    <row r="90" spans="1:8" s="400" customFormat="1">
      <c r="A90" s="337"/>
      <c r="C90" s="487"/>
      <c r="H90" s="487"/>
    </row>
    <row r="91" spans="1:8" s="400" customFormat="1">
      <c r="A91" s="337"/>
      <c r="C91" s="487"/>
      <c r="H91" s="487"/>
    </row>
    <row r="92" spans="1:8" s="400" customFormat="1">
      <c r="A92" s="337"/>
      <c r="C92" s="487"/>
      <c r="H92" s="487"/>
    </row>
    <row r="93" spans="1:8" s="400" customFormat="1">
      <c r="A93" s="337"/>
      <c r="C93" s="487"/>
      <c r="H93" s="487"/>
    </row>
    <row r="94" spans="1:8" s="400" customFormat="1">
      <c r="A94" s="337"/>
      <c r="C94" s="487"/>
      <c r="H94" s="487"/>
    </row>
    <row r="95" spans="1:8" s="400" customFormat="1">
      <c r="A95" s="337"/>
      <c r="C95" s="487"/>
      <c r="H95" s="487"/>
    </row>
    <row r="96" spans="1:8" s="400" customFormat="1">
      <c r="A96" s="337"/>
      <c r="C96" s="487"/>
      <c r="H96" s="487"/>
    </row>
    <row r="97" spans="1:8" s="400" customFormat="1">
      <c r="A97" s="337"/>
      <c r="C97" s="487"/>
      <c r="H97" s="487"/>
    </row>
    <row r="98" spans="1:8" s="400" customFormat="1">
      <c r="A98" s="337"/>
      <c r="C98" s="487"/>
      <c r="H98" s="487"/>
    </row>
    <row r="99" spans="1:8" s="400" customFormat="1">
      <c r="A99" s="337"/>
      <c r="C99" s="487"/>
      <c r="H99" s="487"/>
    </row>
    <row r="100" spans="1:8" s="400" customFormat="1">
      <c r="A100" s="337"/>
      <c r="C100" s="487"/>
      <c r="H100" s="487"/>
    </row>
    <row r="101" spans="1:8" s="400" customFormat="1">
      <c r="A101" s="337"/>
      <c r="C101" s="487"/>
      <c r="H101" s="487"/>
    </row>
    <row r="102" spans="1:8" s="400" customFormat="1">
      <c r="A102" s="337"/>
      <c r="C102" s="487"/>
      <c r="H102" s="487"/>
    </row>
    <row r="103" spans="1:8" s="400" customFormat="1">
      <c r="A103" s="337"/>
      <c r="C103" s="487"/>
      <c r="H103" s="487"/>
    </row>
    <row r="104" spans="1:8" s="400" customFormat="1">
      <c r="A104" s="337"/>
      <c r="C104" s="487"/>
      <c r="H104" s="487"/>
    </row>
    <row r="105" spans="1:8" s="400" customFormat="1">
      <c r="A105" s="337"/>
      <c r="C105" s="487"/>
      <c r="H105" s="487"/>
    </row>
    <row r="106" spans="1:8" s="400" customFormat="1">
      <c r="A106" s="337"/>
      <c r="C106" s="487"/>
      <c r="H106" s="487"/>
    </row>
    <row r="107" spans="1:8" s="400" customFormat="1">
      <c r="A107" s="337"/>
      <c r="C107" s="487"/>
      <c r="H107" s="487"/>
    </row>
    <row r="108" spans="1:8" s="400" customFormat="1">
      <c r="A108" s="337"/>
      <c r="C108" s="487"/>
      <c r="H108" s="487"/>
    </row>
    <row r="109" spans="1:8" s="400" customFormat="1">
      <c r="A109" s="337"/>
      <c r="C109" s="487"/>
      <c r="H109" s="487"/>
    </row>
    <row r="110" spans="1:8" s="400" customFormat="1">
      <c r="A110" s="337"/>
      <c r="C110" s="487"/>
      <c r="H110" s="487"/>
    </row>
    <row r="111" spans="1:8" s="400" customFormat="1">
      <c r="A111" s="337"/>
      <c r="C111" s="487"/>
      <c r="H111" s="487"/>
    </row>
    <row r="112" spans="1:8" s="400" customFormat="1">
      <c r="A112" s="337"/>
      <c r="C112" s="487"/>
      <c r="H112" s="487"/>
    </row>
    <row r="113" spans="1:8" s="400" customFormat="1">
      <c r="A113" s="337"/>
      <c r="C113" s="487"/>
      <c r="H113" s="487"/>
    </row>
    <row r="114" spans="1:8" s="400" customFormat="1">
      <c r="A114" s="337"/>
      <c r="C114" s="487"/>
      <c r="H114" s="487"/>
    </row>
    <row r="115" spans="1:8" s="400" customFormat="1">
      <c r="A115" s="337"/>
      <c r="C115" s="487"/>
      <c r="H115" s="487"/>
    </row>
    <row r="116" spans="1:8" s="400" customFormat="1">
      <c r="A116" s="337"/>
      <c r="C116" s="487"/>
      <c r="H116" s="487"/>
    </row>
    <row r="117" spans="1:8" s="400" customFormat="1">
      <c r="A117" s="337"/>
      <c r="C117" s="487"/>
      <c r="H117" s="487"/>
    </row>
    <row r="118" spans="1:8" s="400" customFormat="1">
      <c r="A118" s="337"/>
      <c r="C118" s="487"/>
      <c r="H118" s="487"/>
    </row>
    <row r="119" spans="1:8" s="400" customFormat="1">
      <c r="A119" s="337"/>
      <c r="C119" s="487"/>
      <c r="H119" s="487"/>
    </row>
    <row r="120" spans="1:8" s="400" customFormat="1">
      <c r="A120" s="337"/>
      <c r="C120" s="487"/>
      <c r="H120" s="487"/>
    </row>
    <row r="121" spans="1:8" s="400" customFormat="1">
      <c r="A121" s="337"/>
      <c r="C121" s="487"/>
      <c r="H121" s="487"/>
    </row>
    <row r="122" spans="1:8" s="400" customFormat="1">
      <c r="A122" s="337"/>
      <c r="C122" s="487"/>
      <c r="H122" s="487"/>
    </row>
    <row r="123" spans="1:8" s="400" customFormat="1">
      <c r="A123" s="337"/>
      <c r="C123" s="487"/>
      <c r="H123" s="487"/>
    </row>
    <row r="124" spans="1:8" s="400" customFormat="1">
      <c r="A124" s="337"/>
      <c r="C124" s="487"/>
      <c r="H124" s="487"/>
    </row>
    <row r="125" spans="1:8" s="400" customFormat="1">
      <c r="A125" s="337"/>
      <c r="C125" s="487"/>
      <c r="H125" s="487"/>
    </row>
    <row r="126" spans="1:8" s="400" customFormat="1">
      <c r="A126" s="337"/>
      <c r="C126" s="487"/>
      <c r="H126" s="487"/>
    </row>
    <row r="127" spans="1:8" s="400" customFormat="1">
      <c r="A127" s="337"/>
      <c r="C127" s="487"/>
      <c r="H127" s="487"/>
    </row>
    <row r="128" spans="1:8" s="400" customFormat="1">
      <c r="A128" s="337"/>
      <c r="C128" s="487"/>
      <c r="H128" s="487"/>
    </row>
    <row r="129" spans="1:8" s="400" customFormat="1">
      <c r="A129" s="337"/>
      <c r="C129" s="487"/>
      <c r="H129" s="487"/>
    </row>
    <row r="130" spans="1:8" s="400" customFormat="1">
      <c r="A130" s="337"/>
      <c r="C130" s="487"/>
      <c r="H130" s="487"/>
    </row>
    <row r="131" spans="1:8" s="400" customFormat="1">
      <c r="A131" s="337"/>
      <c r="C131" s="487"/>
      <c r="H131" s="487"/>
    </row>
    <row r="132" spans="1:8" s="400" customFormat="1">
      <c r="A132" s="337"/>
      <c r="C132" s="487"/>
      <c r="H132" s="487"/>
    </row>
    <row r="133" spans="1:8" s="400" customFormat="1">
      <c r="A133" s="337"/>
      <c r="C133" s="487"/>
      <c r="H133" s="487"/>
    </row>
    <row r="134" spans="1:8" s="400" customFormat="1">
      <c r="A134" s="337"/>
      <c r="C134" s="487"/>
      <c r="H134" s="487"/>
    </row>
    <row r="135" spans="1:8" s="400" customFormat="1">
      <c r="A135" s="337"/>
      <c r="C135" s="487"/>
      <c r="H135" s="487"/>
    </row>
    <row r="136" spans="1:8" s="400" customFormat="1">
      <c r="A136" s="337"/>
      <c r="C136" s="487"/>
      <c r="H136" s="487"/>
    </row>
    <row r="137" spans="1:8" s="400" customFormat="1">
      <c r="A137" s="337"/>
      <c r="C137" s="487"/>
      <c r="H137" s="487"/>
    </row>
    <row r="138" spans="1:8" s="400" customFormat="1">
      <c r="A138" s="337"/>
      <c r="C138" s="487"/>
      <c r="H138" s="487"/>
    </row>
    <row r="139" spans="1:8" s="400" customFormat="1">
      <c r="A139" s="337"/>
      <c r="C139" s="487"/>
      <c r="H139" s="487"/>
    </row>
    <row r="140" spans="1:8" s="400" customFormat="1">
      <c r="A140" s="337"/>
      <c r="C140" s="487"/>
      <c r="H140" s="487"/>
    </row>
    <row r="141" spans="1:8" s="400" customFormat="1">
      <c r="A141" s="337"/>
      <c r="C141" s="487"/>
      <c r="H141" s="487"/>
    </row>
    <row r="142" spans="1:8" s="400" customFormat="1">
      <c r="A142" s="337"/>
      <c r="C142" s="487"/>
      <c r="H142" s="487"/>
    </row>
    <row r="143" spans="1:8" s="400" customFormat="1">
      <c r="A143" s="337"/>
      <c r="C143" s="487"/>
      <c r="H143" s="487"/>
    </row>
    <row r="144" spans="1:8" s="400" customFormat="1">
      <c r="A144" s="337"/>
      <c r="C144" s="487"/>
      <c r="H144" s="487"/>
    </row>
    <row r="145" spans="1:8" s="400" customFormat="1">
      <c r="A145" s="337"/>
      <c r="C145" s="487"/>
      <c r="H145" s="487"/>
    </row>
    <row r="146" spans="1:8" s="400" customFormat="1">
      <c r="A146" s="337"/>
      <c r="C146" s="487"/>
      <c r="H146" s="487"/>
    </row>
    <row r="147" spans="1:8" s="400" customFormat="1">
      <c r="A147" s="337"/>
      <c r="C147" s="487"/>
      <c r="H147" s="487"/>
    </row>
    <row r="148" spans="1:8" s="400" customFormat="1">
      <c r="A148" s="337"/>
      <c r="C148" s="487"/>
      <c r="H148" s="487"/>
    </row>
    <row r="149" spans="1:8" s="400" customFormat="1">
      <c r="A149" s="337"/>
      <c r="C149" s="487"/>
      <c r="H149" s="487"/>
    </row>
    <row r="150" spans="1:8" s="400" customFormat="1">
      <c r="A150" s="337"/>
      <c r="C150" s="487"/>
      <c r="H150" s="487"/>
    </row>
    <row r="151" spans="1:8" s="400" customFormat="1">
      <c r="A151" s="337"/>
      <c r="C151" s="487"/>
      <c r="H151" s="487"/>
    </row>
    <row r="152" spans="1:8" s="400" customFormat="1">
      <c r="A152" s="337"/>
      <c r="C152" s="487"/>
      <c r="H152" s="487"/>
    </row>
    <row r="153" spans="1:8" s="400" customFormat="1">
      <c r="A153" s="337"/>
      <c r="C153" s="487"/>
      <c r="H153" s="487"/>
    </row>
    <row r="154" spans="1:8" s="400" customFormat="1">
      <c r="A154" s="337"/>
      <c r="C154" s="487"/>
      <c r="H154" s="487"/>
    </row>
    <row r="155" spans="1:8" s="400" customFormat="1">
      <c r="A155" s="337"/>
      <c r="C155" s="487"/>
      <c r="H155" s="487"/>
    </row>
    <row r="156" spans="1:8" s="400" customFormat="1">
      <c r="A156" s="337"/>
      <c r="C156" s="487"/>
      <c r="H156" s="487"/>
    </row>
    <row r="157" spans="1:8" s="400" customFormat="1">
      <c r="A157" s="337"/>
      <c r="C157" s="487"/>
      <c r="H157" s="487"/>
    </row>
    <row r="158" spans="1:8" s="400" customFormat="1">
      <c r="A158" s="337"/>
      <c r="C158" s="487"/>
      <c r="H158" s="487"/>
    </row>
    <row r="159" spans="1:8" s="400" customFormat="1">
      <c r="A159" s="337"/>
      <c r="C159" s="487"/>
      <c r="H159" s="487"/>
    </row>
    <row r="160" spans="1:8" s="400" customFormat="1">
      <c r="A160" s="337"/>
      <c r="C160" s="487"/>
      <c r="H160" s="487"/>
    </row>
    <row r="161" spans="1:8" s="400" customFormat="1">
      <c r="A161" s="337"/>
      <c r="C161" s="487"/>
      <c r="H161" s="487"/>
    </row>
    <row r="162" spans="1:8" s="400" customFormat="1">
      <c r="A162" s="337"/>
      <c r="C162" s="487"/>
      <c r="H162" s="487"/>
    </row>
    <row r="163" spans="1:8" s="400" customFormat="1">
      <c r="A163" s="337"/>
      <c r="C163" s="487"/>
      <c r="H163" s="487"/>
    </row>
    <row r="164" spans="1:8" s="400" customFormat="1">
      <c r="A164" s="337"/>
      <c r="C164" s="487"/>
      <c r="H164" s="487"/>
    </row>
    <row r="165" spans="1:8" s="400" customFormat="1">
      <c r="A165" s="337"/>
      <c r="C165" s="487"/>
      <c r="H165" s="487"/>
    </row>
    <row r="166" spans="1:8" s="400" customFormat="1">
      <c r="A166" s="337"/>
      <c r="C166" s="487"/>
      <c r="H166" s="487"/>
    </row>
    <row r="167" spans="1:8" s="400" customFormat="1">
      <c r="A167" s="337"/>
      <c r="C167" s="487"/>
      <c r="H167" s="487"/>
    </row>
    <row r="168" spans="1:8" s="400" customFormat="1">
      <c r="A168" s="337"/>
      <c r="C168" s="487"/>
      <c r="H168" s="487"/>
    </row>
    <row r="169" spans="1:8" s="400" customFormat="1">
      <c r="A169" s="337"/>
      <c r="C169" s="487"/>
      <c r="H169" s="487"/>
    </row>
    <row r="170" spans="1:8" s="400" customFormat="1">
      <c r="A170" s="337"/>
      <c r="C170" s="487"/>
      <c r="H170" s="487"/>
    </row>
    <row r="171" spans="1:8" s="400" customFormat="1">
      <c r="A171" s="337"/>
      <c r="C171" s="487"/>
      <c r="H171" s="487"/>
    </row>
    <row r="172" spans="1:8" s="400" customFormat="1">
      <c r="A172" s="337"/>
      <c r="C172" s="487"/>
      <c r="H172" s="487"/>
    </row>
    <row r="173" spans="1:8" s="400" customFormat="1">
      <c r="A173" s="337"/>
      <c r="C173" s="487"/>
      <c r="H173" s="487"/>
    </row>
    <row r="174" spans="1:8" s="400" customFormat="1">
      <c r="A174" s="337"/>
      <c r="C174" s="487"/>
      <c r="H174" s="487"/>
    </row>
    <row r="175" spans="1:8" s="400" customFormat="1">
      <c r="A175" s="337"/>
      <c r="C175" s="487"/>
      <c r="H175" s="487"/>
    </row>
    <row r="176" spans="1:8" s="400" customFormat="1">
      <c r="A176" s="337"/>
      <c r="C176" s="487"/>
      <c r="H176" s="487"/>
    </row>
    <row r="177" spans="1:8" s="400" customFormat="1">
      <c r="A177" s="337"/>
      <c r="C177" s="487"/>
      <c r="H177" s="487"/>
    </row>
    <row r="178" spans="1:8" s="400" customFormat="1">
      <c r="A178" s="337"/>
      <c r="C178" s="487"/>
      <c r="H178" s="487"/>
    </row>
    <row r="179" spans="1:8" s="400" customFormat="1">
      <c r="A179" s="337"/>
      <c r="C179" s="487"/>
      <c r="H179" s="487"/>
    </row>
    <row r="180" spans="1:8" s="400" customFormat="1">
      <c r="A180" s="337"/>
      <c r="C180" s="487"/>
      <c r="H180" s="487"/>
    </row>
    <row r="181" spans="1:8" s="400" customFormat="1">
      <c r="A181" s="337"/>
      <c r="C181" s="487"/>
      <c r="H181" s="487"/>
    </row>
    <row r="182" spans="1:8" s="400" customFormat="1">
      <c r="A182" s="337"/>
      <c r="C182" s="487"/>
      <c r="H182" s="487"/>
    </row>
    <row r="183" spans="1:8" s="400" customFormat="1">
      <c r="A183" s="337"/>
      <c r="C183" s="487"/>
      <c r="H183" s="487"/>
    </row>
    <row r="184" spans="1:8" s="400" customFormat="1">
      <c r="A184" s="337"/>
      <c r="C184" s="487"/>
      <c r="H184" s="487"/>
    </row>
    <row r="185" spans="1:8" s="400" customFormat="1">
      <c r="A185" s="337"/>
      <c r="C185" s="487"/>
      <c r="H185" s="487"/>
    </row>
    <row r="186" spans="1:8" s="400" customFormat="1">
      <c r="A186" s="337"/>
      <c r="C186" s="487"/>
      <c r="H186" s="487"/>
    </row>
    <row r="187" spans="1:8" s="400" customFormat="1">
      <c r="A187" s="337"/>
      <c r="C187" s="487"/>
      <c r="H187" s="487"/>
    </row>
    <row r="188" spans="1:8" s="400" customFormat="1">
      <c r="A188" s="337"/>
      <c r="C188" s="487"/>
      <c r="H188" s="487"/>
    </row>
    <row r="189" spans="1:8" s="400" customFormat="1">
      <c r="A189" s="337"/>
      <c r="C189" s="487"/>
      <c r="H189" s="487"/>
    </row>
    <row r="190" spans="1:8" s="400" customFormat="1">
      <c r="A190" s="337"/>
      <c r="C190" s="487"/>
      <c r="H190" s="487"/>
    </row>
  </sheetData>
  <sheetProtection algorithmName="SHA-512" hashValue="HTYX2V5enFROm+N2busLFeWnArIV6Kca5s2lPWZqZdCzKxupOWdV3k40UX83Qp0i/uYsavSaO48Swl4XfrwZaw==" saltValue="JqWnhnUlYuZCUrbsSaJDTA==" spinCount="100000" sheet="1" objects="1" scenarios="1"/>
  <mergeCells count="8">
    <mergeCell ref="AN22:AO22"/>
    <mergeCell ref="AP22:AQ22"/>
    <mergeCell ref="AR22:AS22"/>
    <mergeCell ref="AU22:AV22"/>
    <mergeCell ref="B8:L8"/>
    <mergeCell ref="B11:D11"/>
    <mergeCell ref="AR21:AT21"/>
    <mergeCell ref="AU21:AW21"/>
  </mergeCells>
  <phoneticPr fontId="0" type="noConversion"/>
  <conditionalFormatting sqref="G24 I47">
    <cfRule type="cellIs" dxfId="2" priority="1" stopIfTrue="1" operator="equal">
      <formula>"OK"</formula>
    </cfRule>
  </conditionalFormatting>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0">
    <tabColor indexed="47"/>
  </sheetPr>
  <dimension ref="A1:AY381"/>
  <sheetViews>
    <sheetView showGridLines="0" view="pageBreakPreview" zoomScale="85" zoomScaleNormal="100" zoomScaleSheetLayoutView="85" workbookViewId="0">
      <selection activeCell="Y54" sqref="Y54"/>
    </sheetView>
  </sheetViews>
  <sheetFormatPr defaultColWidth="9.140625" defaultRowHeight="12.75"/>
  <cols>
    <col min="1" max="1" width="24.7109375" style="343" customWidth="1"/>
    <col min="2" max="2" width="10.140625" style="1143" customWidth="1"/>
    <col min="3" max="4" width="10.140625" style="64" customWidth="1"/>
    <col min="5" max="9" width="10.140625" style="97" customWidth="1"/>
    <col min="10" max="12" width="10.140625" style="64" customWidth="1"/>
    <col min="13" max="13" width="10" style="211" customWidth="1"/>
    <col min="14" max="14" width="5.5703125" style="211" customWidth="1"/>
    <col min="15" max="18" width="9.140625" style="343"/>
    <col min="19" max="25" width="9.140625" style="608"/>
    <col min="26" max="51" width="9.140625" style="343"/>
    <col min="52" max="16384" width="9.140625" style="211"/>
  </cols>
  <sheetData>
    <row r="1" spans="1:51" s="60" customFormat="1">
      <c r="A1" s="396"/>
      <c r="B1" s="1143"/>
      <c r="C1" s="63"/>
      <c r="D1" s="63"/>
      <c r="E1" s="1142"/>
      <c r="F1" s="1142"/>
      <c r="G1" s="1142"/>
      <c r="H1" s="1142"/>
      <c r="I1" s="1142"/>
      <c r="J1" s="63"/>
      <c r="K1" s="63"/>
      <c r="L1" s="63"/>
      <c r="O1" s="396"/>
      <c r="P1" s="396"/>
      <c r="Q1" s="396"/>
      <c r="R1" s="396"/>
      <c r="S1" s="1144"/>
      <c r="T1" s="1144"/>
      <c r="U1" s="1144"/>
      <c r="V1" s="1144"/>
      <c r="W1" s="1144"/>
      <c r="X1" s="1144"/>
      <c r="Y1" s="1144"/>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row>
    <row r="2" spans="1:51" s="60" customFormat="1">
      <c r="A2" s="396"/>
      <c r="B2" s="1143"/>
      <c r="C2" s="63"/>
      <c r="D2" s="63"/>
      <c r="E2" s="1142"/>
      <c r="F2" s="1142"/>
      <c r="G2" s="1142"/>
      <c r="H2" s="1142"/>
      <c r="I2" s="1142"/>
      <c r="J2" s="63"/>
      <c r="K2" s="63"/>
      <c r="L2" s="63"/>
      <c r="O2" s="396"/>
      <c r="P2" s="583"/>
      <c r="Q2" s="583"/>
      <c r="R2" s="583"/>
      <c r="S2" s="583"/>
      <c r="T2" s="583"/>
      <c r="U2" s="583"/>
      <c r="V2" s="583"/>
      <c r="W2" s="583"/>
      <c r="X2" s="583"/>
      <c r="Y2" s="583"/>
      <c r="Z2" s="583"/>
      <c r="AA2" s="583"/>
      <c r="AB2" s="583"/>
      <c r="AC2" s="583"/>
      <c r="AD2" s="583"/>
      <c r="AE2" s="396"/>
      <c r="AF2" s="396"/>
      <c r="AG2" s="396"/>
      <c r="AH2" s="396"/>
      <c r="AI2" s="396"/>
      <c r="AJ2" s="396"/>
      <c r="AK2" s="396"/>
      <c r="AL2" s="396"/>
      <c r="AM2" s="396"/>
      <c r="AN2" s="396"/>
      <c r="AO2" s="396"/>
      <c r="AP2" s="396"/>
      <c r="AQ2" s="396"/>
      <c r="AR2" s="396"/>
      <c r="AS2" s="396"/>
      <c r="AT2" s="396"/>
      <c r="AU2" s="396"/>
      <c r="AV2" s="396"/>
      <c r="AW2" s="396"/>
      <c r="AX2" s="396"/>
      <c r="AY2" s="396"/>
    </row>
    <row r="3" spans="1:51" s="60" customFormat="1">
      <c r="A3" s="396"/>
      <c r="B3" s="1143"/>
      <c r="C3" s="63"/>
      <c r="D3" s="63"/>
      <c r="E3" s="1142"/>
      <c r="F3" s="1142"/>
      <c r="G3" s="1142"/>
      <c r="H3" s="1142"/>
      <c r="I3" s="1142"/>
      <c r="J3" s="63"/>
      <c r="K3" s="63"/>
      <c r="L3" s="63"/>
      <c r="O3" s="484"/>
      <c r="P3" s="583"/>
      <c r="Q3" s="583"/>
      <c r="R3" s="583"/>
      <c r="S3" s="583"/>
      <c r="T3" s="583"/>
      <c r="U3" s="583"/>
      <c r="V3" s="583"/>
      <c r="W3" s="583"/>
      <c r="X3" s="583"/>
      <c r="Y3" s="583"/>
      <c r="Z3" s="583"/>
      <c r="AA3" s="583"/>
      <c r="AB3" s="583"/>
      <c r="AC3" s="583"/>
      <c r="AD3" s="583"/>
      <c r="AE3" s="396"/>
      <c r="AF3" s="396"/>
      <c r="AG3" s="396"/>
      <c r="AH3" s="396"/>
      <c r="AI3" s="396"/>
      <c r="AJ3" s="396"/>
      <c r="AK3" s="396"/>
      <c r="AL3" s="396"/>
      <c r="AM3" s="396"/>
      <c r="AN3" s="396"/>
      <c r="AO3" s="396"/>
      <c r="AP3" s="396"/>
      <c r="AQ3" s="396"/>
      <c r="AR3" s="396"/>
      <c r="AS3" s="396"/>
      <c r="AT3" s="396"/>
      <c r="AU3" s="396"/>
      <c r="AV3" s="396"/>
      <c r="AW3" s="396"/>
      <c r="AX3" s="396"/>
      <c r="AY3" s="396"/>
    </row>
    <row r="4" spans="1:51" s="60" customFormat="1">
      <c r="A4" s="396"/>
      <c r="B4" s="1143"/>
      <c r="C4" s="63"/>
      <c r="D4" s="63"/>
      <c r="E4" s="1142"/>
      <c r="F4" s="1142"/>
      <c r="G4" s="1142"/>
      <c r="H4" s="1142"/>
      <c r="I4" s="1142"/>
      <c r="J4" s="63"/>
      <c r="K4" s="63"/>
      <c r="L4" s="63"/>
      <c r="O4" s="484"/>
      <c r="P4" s="583"/>
      <c r="Q4" s="583"/>
      <c r="R4" s="583"/>
      <c r="S4" s="583"/>
      <c r="T4" s="583"/>
      <c r="U4" s="583"/>
      <c r="V4" s="583"/>
      <c r="W4" s="583"/>
      <c r="X4" s="583"/>
      <c r="Y4" s="583"/>
      <c r="Z4" s="583"/>
      <c r="AA4" s="583"/>
      <c r="AB4" s="583"/>
      <c r="AC4" s="583"/>
      <c r="AD4" s="583"/>
      <c r="AE4" s="396"/>
      <c r="AF4" s="396"/>
      <c r="AG4" s="396"/>
      <c r="AH4" s="396"/>
      <c r="AI4" s="396"/>
      <c r="AJ4" s="396"/>
      <c r="AK4" s="396"/>
      <c r="AL4" s="396"/>
      <c r="AM4" s="396"/>
      <c r="AN4" s="396"/>
      <c r="AO4" s="396"/>
      <c r="AP4" s="396"/>
      <c r="AQ4" s="396"/>
      <c r="AR4" s="396"/>
      <c r="AS4" s="396"/>
      <c r="AT4" s="396"/>
      <c r="AU4" s="396"/>
      <c r="AV4" s="396"/>
      <c r="AW4" s="396"/>
      <c r="AX4" s="396"/>
      <c r="AY4" s="396"/>
    </row>
    <row r="5" spans="1:51" s="60" customFormat="1">
      <c r="A5" s="396"/>
      <c r="B5" s="1143"/>
      <c r="C5" s="63"/>
      <c r="D5" s="63"/>
      <c r="E5" s="1142"/>
      <c r="F5" s="1142"/>
      <c r="G5" s="1142"/>
      <c r="H5" s="1142"/>
      <c r="I5" s="1142"/>
      <c r="J5" s="63"/>
      <c r="K5" s="63"/>
      <c r="L5" s="63"/>
      <c r="O5" s="484"/>
      <c r="P5" s="583"/>
      <c r="Q5" s="583"/>
      <c r="R5" s="583"/>
      <c r="S5" s="583"/>
      <c r="T5" s="583"/>
      <c r="U5" s="583"/>
      <c r="V5" s="583"/>
      <c r="W5" s="583"/>
      <c r="X5" s="583"/>
      <c r="Y5" s="583"/>
      <c r="Z5" s="583"/>
      <c r="AA5" s="583"/>
      <c r="AB5" s="583"/>
      <c r="AC5" s="583"/>
      <c r="AD5" s="583"/>
      <c r="AE5" s="396"/>
      <c r="AF5" s="396"/>
      <c r="AG5" s="396"/>
      <c r="AH5" s="396"/>
      <c r="AI5" s="396"/>
      <c r="AJ5" s="396"/>
      <c r="AK5" s="396"/>
      <c r="AL5" s="396"/>
      <c r="AM5" s="396"/>
      <c r="AN5" s="396"/>
      <c r="AO5" s="396"/>
      <c r="AP5" s="396"/>
      <c r="AQ5" s="396"/>
      <c r="AR5" s="396"/>
      <c r="AS5" s="396"/>
      <c r="AT5" s="396"/>
      <c r="AU5" s="396"/>
      <c r="AV5" s="396"/>
      <c r="AW5" s="396"/>
      <c r="AX5" s="396"/>
      <c r="AY5" s="396"/>
    </row>
    <row r="6" spans="1:51" s="60" customFormat="1">
      <c r="A6" s="396"/>
      <c r="B6" s="1143"/>
      <c r="C6" s="63"/>
      <c r="D6" s="63"/>
      <c r="E6" s="1142"/>
      <c r="F6" s="1142"/>
      <c r="G6" s="1142"/>
      <c r="H6" s="1142"/>
      <c r="I6" s="1142"/>
      <c r="J6" s="63"/>
      <c r="K6" s="63"/>
      <c r="L6" s="63"/>
      <c r="O6" s="484"/>
      <c r="P6" s="583"/>
      <c r="Q6" s="583"/>
      <c r="R6" s="583"/>
      <c r="S6" s="583"/>
      <c r="T6" s="583"/>
      <c r="U6" s="583"/>
      <c r="V6" s="583"/>
      <c r="W6" s="583"/>
      <c r="X6" s="583"/>
      <c r="Y6" s="583"/>
      <c r="Z6" s="583"/>
      <c r="AA6" s="583"/>
      <c r="AB6" s="583"/>
      <c r="AC6" s="583"/>
      <c r="AD6" s="583"/>
      <c r="AE6" s="396"/>
      <c r="AF6" s="396"/>
      <c r="AG6" s="396"/>
      <c r="AH6" s="396"/>
      <c r="AI6" s="396"/>
      <c r="AJ6" s="396"/>
      <c r="AK6" s="396"/>
      <c r="AL6" s="396"/>
      <c r="AM6" s="396"/>
      <c r="AN6" s="396"/>
      <c r="AO6" s="396"/>
      <c r="AP6" s="396"/>
      <c r="AQ6" s="396"/>
      <c r="AR6" s="396"/>
      <c r="AS6" s="396"/>
      <c r="AT6" s="396"/>
      <c r="AU6" s="396"/>
      <c r="AV6" s="396"/>
      <c r="AW6" s="396"/>
      <c r="AX6" s="396"/>
      <c r="AY6" s="396"/>
    </row>
    <row r="7" spans="1:51" s="60" customFormat="1" ht="12.75" customHeight="1">
      <c r="A7" s="396"/>
      <c r="B7" s="1143"/>
      <c r="C7" s="63"/>
      <c r="D7" s="63"/>
      <c r="E7" s="1142"/>
      <c r="F7" s="1142"/>
      <c r="G7" s="1142"/>
      <c r="H7" s="1142"/>
      <c r="I7" s="1142"/>
      <c r="J7" s="63"/>
      <c r="K7" s="63"/>
      <c r="L7" s="63"/>
      <c r="O7" s="484"/>
      <c r="P7" s="583"/>
      <c r="Q7" s="583"/>
      <c r="R7" s="583"/>
      <c r="S7" s="583"/>
      <c r="T7" s="583"/>
      <c r="U7" s="583"/>
      <c r="V7" s="583"/>
      <c r="W7" s="583"/>
      <c r="X7" s="583"/>
      <c r="Y7" s="583"/>
      <c r="Z7" s="583"/>
      <c r="AA7" s="583"/>
      <c r="AB7" s="583"/>
      <c r="AC7" s="583"/>
      <c r="AD7" s="583"/>
      <c r="AE7" s="396"/>
      <c r="AF7" s="396"/>
      <c r="AG7" s="396"/>
      <c r="AH7" s="396"/>
      <c r="AI7" s="396"/>
      <c r="AJ7" s="396"/>
      <c r="AK7" s="396"/>
      <c r="AL7" s="396"/>
      <c r="AM7" s="396"/>
      <c r="AN7" s="396"/>
      <c r="AO7" s="396"/>
      <c r="AP7" s="396"/>
      <c r="AQ7" s="396"/>
      <c r="AR7" s="396"/>
      <c r="AS7" s="396"/>
      <c r="AT7" s="396"/>
      <c r="AU7" s="396"/>
      <c r="AV7" s="396"/>
      <c r="AW7" s="396"/>
      <c r="AX7" s="396"/>
      <c r="AY7" s="396"/>
    </row>
    <row r="8" spans="1:51" s="60" customFormat="1" ht="19.5" customHeight="1" thickBot="1">
      <c r="A8" s="396"/>
      <c r="B8" s="1579" t="s">
        <v>1322</v>
      </c>
      <c r="C8" s="1579"/>
      <c r="D8" s="1579"/>
      <c r="E8" s="1579"/>
      <c r="F8" s="1579"/>
      <c r="G8" s="1579"/>
      <c r="H8" s="1579"/>
      <c r="I8" s="1579"/>
      <c r="J8" s="1579"/>
      <c r="K8" s="1579"/>
      <c r="L8" s="1579"/>
      <c r="M8" s="1579"/>
      <c r="N8" s="1579"/>
      <c r="O8" s="484"/>
      <c r="P8" s="583"/>
      <c r="Q8" s="583"/>
      <c r="R8" s="583"/>
      <c r="S8" s="583"/>
      <c r="T8" s="583"/>
      <c r="U8" s="583"/>
      <c r="V8" s="583"/>
      <c r="W8" s="583"/>
      <c r="X8" s="583"/>
      <c r="Y8" s="583"/>
      <c r="Z8" s="583"/>
      <c r="AA8" s="583"/>
      <c r="AB8" s="583"/>
      <c r="AC8" s="583"/>
      <c r="AD8" s="583"/>
      <c r="AE8" s="396"/>
      <c r="AF8" s="396"/>
      <c r="AG8" s="396"/>
      <c r="AH8" s="396"/>
      <c r="AI8" s="396"/>
      <c r="AJ8" s="396"/>
      <c r="AK8" s="396"/>
      <c r="AL8" s="396"/>
      <c r="AM8" s="396"/>
      <c r="AN8" s="396"/>
      <c r="AO8" s="396"/>
      <c r="AP8" s="396"/>
      <c r="AQ8" s="396"/>
      <c r="AR8" s="396"/>
      <c r="AS8" s="396"/>
      <c r="AT8" s="396"/>
      <c r="AU8" s="396"/>
      <c r="AV8" s="396"/>
      <c r="AW8" s="396"/>
      <c r="AX8" s="396"/>
      <c r="AY8" s="396"/>
    </row>
    <row r="9" spans="1:51" s="60" customFormat="1" ht="18.75" customHeight="1" thickTop="1">
      <c r="A9" s="396"/>
      <c r="B9" s="1585" t="str">
        <f>Geometry!N61</f>
        <v/>
      </c>
      <c r="C9" s="1585"/>
      <c r="D9" s="1585"/>
      <c r="E9" s="1585"/>
      <c r="F9" s="1585"/>
      <c r="G9" s="1585"/>
      <c r="H9" s="1585"/>
      <c r="I9" s="1585"/>
      <c r="J9" s="1585"/>
      <c r="K9" s="1585"/>
      <c r="L9" s="1585"/>
      <c r="M9" s="1585"/>
      <c r="N9" s="1585"/>
      <c r="O9" s="484"/>
      <c r="P9" s="583"/>
      <c r="Q9" s="583"/>
      <c r="R9" s="583"/>
      <c r="S9" s="583"/>
      <c r="T9" s="583"/>
      <c r="U9" s="583"/>
      <c r="V9" s="583"/>
      <c r="W9" s="583"/>
      <c r="X9" s="583"/>
      <c r="Y9" s="583"/>
      <c r="Z9" s="583"/>
      <c r="AA9" s="583"/>
      <c r="AB9" s="583"/>
      <c r="AC9" s="583"/>
      <c r="AD9" s="583"/>
      <c r="AE9" s="396"/>
      <c r="AF9" s="396"/>
      <c r="AG9" s="396"/>
      <c r="AH9" s="396"/>
      <c r="AI9" s="396"/>
      <c r="AJ9" s="396"/>
      <c r="AK9" s="396"/>
      <c r="AL9" s="396"/>
      <c r="AM9" s="396"/>
      <c r="AN9" s="396"/>
      <c r="AO9" s="396"/>
      <c r="AP9" s="396"/>
      <c r="AQ9" s="396"/>
      <c r="AR9" s="396"/>
      <c r="AS9" s="396"/>
      <c r="AT9" s="396"/>
      <c r="AU9" s="396"/>
      <c r="AV9" s="396"/>
      <c r="AW9" s="396"/>
      <c r="AX9" s="396"/>
      <c r="AY9" s="396"/>
    </row>
    <row r="10" spans="1:51" s="343" customFormat="1">
      <c r="B10" s="215" t="s">
        <v>1324</v>
      </c>
      <c r="C10" s="1146"/>
      <c r="D10" s="1146"/>
      <c r="E10" s="1146"/>
      <c r="F10" s="1146"/>
      <c r="G10" s="1146"/>
      <c r="H10" s="1146"/>
      <c r="I10" s="1146"/>
      <c r="J10" s="1146"/>
      <c r="K10" s="1146"/>
      <c r="L10" s="1146"/>
      <c r="M10" s="1146"/>
      <c r="N10" s="211"/>
      <c r="P10" s="583"/>
      <c r="Q10" s="583"/>
      <c r="R10" s="583"/>
      <c r="S10" s="583"/>
      <c r="T10" s="583"/>
      <c r="U10" s="583"/>
      <c r="V10" s="583"/>
      <c r="W10" s="583"/>
      <c r="X10" s="583"/>
      <c r="Y10" s="583"/>
      <c r="Z10" s="583"/>
      <c r="AA10" s="583"/>
      <c r="AB10" s="583"/>
      <c r="AC10" s="583"/>
      <c r="AD10" s="583"/>
    </row>
    <row r="11" spans="1:51" s="343" customFormat="1" ht="13.5" customHeight="1">
      <c r="B11" s="1143"/>
      <c r="C11" s="1148"/>
      <c r="D11" s="1148"/>
      <c r="E11" s="1149"/>
      <c r="F11" s="1146"/>
      <c r="G11" s="1146"/>
      <c r="H11" s="1146"/>
      <c r="I11" s="1146"/>
      <c r="J11" s="1146"/>
      <c r="K11" s="1146"/>
      <c r="L11" s="1146"/>
      <c r="M11" s="1146"/>
      <c r="N11" s="211"/>
      <c r="P11" s="1147"/>
      <c r="Q11" s="1147"/>
      <c r="R11" s="1140"/>
      <c r="S11" s="1147"/>
      <c r="T11" s="608"/>
      <c r="U11" s="608"/>
      <c r="V11" s="608"/>
      <c r="W11" s="608"/>
      <c r="X11" s="608"/>
      <c r="Y11" s="608"/>
    </row>
    <row r="12" spans="1:51" s="343" customFormat="1">
      <c r="B12" s="1143"/>
      <c r="C12" s="1143"/>
      <c r="D12" s="1148"/>
      <c r="E12" s="1155"/>
      <c r="F12" s="1148"/>
      <c r="G12" s="1146"/>
      <c r="H12" s="1146"/>
      <c r="I12" s="1146"/>
      <c r="J12" s="1146"/>
      <c r="K12" s="1146"/>
      <c r="L12" s="1146"/>
      <c r="M12" s="1146"/>
      <c r="N12" s="211"/>
      <c r="P12" s="608"/>
      <c r="Q12" s="608"/>
      <c r="S12" s="608"/>
      <c r="T12" s="608"/>
      <c r="U12" s="608"/>
      <c r="V12" s="608"/>
      <c r="W12" s="608"/>
      <c r="X12" s="608"/>
      <c r="Y12" s="608"/>
    </row>
    <row r="13" spans="1:51" s="343" customFormat="1">
      <c r="B13" s="1143"/>
      <c r="C13" s="1143"/>
      <c r="D13" s="1148"/>
      <c r="E13" s="1155"/>
      <c r="F13" s="1148"/>
      <c r="G13" s="1146"/>
      <c r="H13" s="1146"/>
      <c r="I13" s="1146"/>
      <c r="J13" s="1146"/>
      <c r="K13" s="1146"/>
      <c r="L13" s="1146"/>
      <c r="M13" s="1146"/>
      <c r="N13" s="211"/>
      <c r="P13" s="608"/>
      <c r="Q13" s="608"/>
      <c r="S13" s="608"/>
      <c r="T13" s="608"/>
      <c r="U13" s="608"/>
      <c r="V13" s="608"/>
      <c r="W13" s="608"/>
      <c r="X13" s="608"/>
      <c r="Y13" s="608"/>
    </row>
    <row r="14" spans="1:51" s="343" customFormat="1">
      <c r="B14" s="1143"/>
      <c r="C14" s="1146"/>
      <c r="D14" s="1148"/>
      <c r="E14" s="1155"/>
      <c r="F14" s="1148"/>
      <c r="G14" s="1146"/>
      <c r="H14" s="1146"/>
      <c r="I14" s="1146"/>
      <c r="J14" s="1146"/>
      <c r="K14" s="1146"/>
      <c r="L14" s="1146"/>
      <c r="M14" s="1146"/>
      <c r="N14" s="211"/>
      <c r="P14" s="608"/>
      <c r="Q14" s="608"/>
      <c r="S14" s="608"/>
      <c r="T14" s="608"/>
      <c r="U14" s="608"/>
      <c r="V14" s="608"/>
      <c r="W14" s="608"/>
      <c r="X14" s="608"/>
      <c r="Y14" s="608"/>
    </row>
    <row r="15" spans="1:51" s="343" customFormat="1">
      <c r="B15" s="1143"/>
      <c r="C15" s="1148"/>
      <c r="D15" s="1146"/>
      <c r="E15" s="1149"/>
      <c r="F15" s="1146"/>
      <c r="G15" s="1146"/>
      <c r="H15" s="1146"/>
      <c r="I15" s="1146"/>
      <c r="J15" s="1146"/>
      <c r="K15" s="1146"/>
      <c r="L15" s="1146"/>
      <c r="M15" s="1146"/>
      <c r="N15" s="211"/>
      <c r="P15" s="608"/>
      <c r="Q15" s="608"/>
      <c r="S15" s="608"/>
      <c r="T15" s="608"/>
      <c r="U15" s="608"/>
      <c r="V15" s="608"/>
      <c r="W15" s="608"/>
      <c r="X15" s="608"/>
      <c r="Y15" s="608"/>
    </row>
    <row r="16" spans="1:51" s="343" customFormat="1">
      <c r="B16" s="1143"/>
      <c r="C16" s="1143"/>
      <c r="D16" s="1146"/>
      <c r="E16" s="1149"/>
      <c r="F16" s="1146"/>
      <c r="G16" s="1146"/>
      <c r="H16" s="1146"/>
      <c r="I16" s="1146"/>
      <c r="J16" s="1146"/>
      <c r="K16" s="1146"/>
      <c r="L16" s="1146"/>
      <c r="M16" s="1146"/>
      <c r="N16" s="211"/>
      <c r="P16" s="608"/>
      <c r="Q16" s="608"/>
      <c r="S16" s="608"/>
      <c r="T16" s="608"/>
      <c r="U16" s="608"/>
      <c r="V16" s="608"/>
      <c r="W16" s="608"/>
      <c r="X16" s="608"/>
      <c r="Y16" s="608"/>
    </row>
    <row r="17" spans="2:25" s="343" customFormat="1">
      <c r="B17" s="1143"/>
      <c r="C17" s="1146"/>
      <c r="D17" s="1146"/>
      <c r="E17" s="1149"/>
      <c r="F17" s="1146"/>
      <c r="G17" s="1146"/>
      <c r="H17" s="1146"/>
      <c r="I17" s="1146"/>
      <c r="J17" s="1146"/>
      <c r="K17" s="1146"/>
      <c r="L17" s="1146"/>
      <c r="M17" s="1146"/>
      <c r="N17" s="211"/>
      <c r="S17" s="608"/>
      <c r="T17" s="608"/>
      <c r="U17" s="608"/>
      <c r="V17" s="608"/>
      <c r="W17" s="608"/>
      <c r="X17" s="608"/>
      <c r="Y17" s="608"/>
    </row>
    <row r="18" spans="2:25" s="343" customFormat="1">
      <c r="B18" s="1143"/>
      <c r="C18" s="1146"/>
      <c r="D18" s="1146"/>
      <c r="E18" s="1149"/>
      <c r="F18" s="1146"/>
      <c r="G18" s="1146"/>
      <c r="H18" s="1146"/>
      <c r="I18" s="1146"/>
      <c r="J18" s="1146"/>
      <c r="K18" s="1146"/>
      <c r="L18" s="1146"/>
      <c r="M18" s="1146"/>
      <c r="N18" s="211"/>
      <c r="S18" s="608"/>
      <c r="T18" s="608"/>
      <c r="U18" s="608"/>
      <c r="V18" s="608"/>
      <c r="W18" s="608"/>
      <c r="X18" s="608"/>
      <c r="Y18" s="608"/>
    </row>
    <row r="19" spans="2:25" s="343" customFormat="1">
      <c r="B19" s="1143"/>
      <c r="C19" s="1148"/>
      <c r="D19" s="1143"/>
      <c r="E19" s="1146"/>
      <c r="F19" s="1146"/>
      <c r="G19" s="1146"/>
      <c r="H19" s="1146"/>
      <c r="I19" s="1146"/>
      <c r="J19" s="1146"/>
      <c r="K19" s="1146"/>
      <c r="L19" s="1146"/>
      <c r="M19" s="1146"/>
      <c r="N19" s="211"/>
      <c r="S19" s="608"/>
      <c r="T19" s="608"/>
      <c r="U19" s="608"/>
      <c r="V19" s="608"/>
      <c r="W19" s="608"/>
      <c r="X19" s="608"/>
      <c r="Y19" s="608"/>
    </row>
    <row r="20" spans="2:25" s="343" customFormat="1">
      <c r="B20" s="1143"/>
      <c r="C20" s="1148"/>
      <c r="D20" s="1146"/>
      <c r="E20" s="1149"/>
      <c r="F20" s="1146"/>
      <c r="G20" s="1146"/>
      <c r="H20" s="1146"/>
      <c r="I20" s="1146"/>
      <c r="J20" s="1146"/>
      <c r="K20" s="1146"/>
      <c r="L20" s="1146"/>
      <c r="M20" s="1146"/>
      <c r="N20" s="211"/>
      <c r="S20" s="608"/>
      <c r="T20" s="608"/>
      <c r="U20" s="608"/>
      <c r="V20" s="608"/>
      <c r="W20" s="608"/>
      <c r="X20" s="608"/>
      <c r="Y20" s="608"/>
    </row>
    <row r="21" spans="2:25" s="343" customFormat="1">
      <c r="B21" s="1143"/>
      <c r="C21" s="1143"/>
      <c r="D21" s="1146"/>
      <c r="E21" s="1146"/>
      <c r="F21" s="1146"/>
      <c r="G21" s="1146"/>
      <c r="H21" s="1146"/>
      <c r="I21" s="1146"/>
      <c r="J21" s="1146"/>
      <c r="K21" s="1146"/>
      <c r="L21" s="1146"/>
      <c r="M21" s="1146"/>
      <c r="N21" s="211"/>
      <c r="S21" s="608"/>
      <c r="T21" s="608"/>
      <c r="U21" s="608"/>
      <c r="V21" s="608"/>
      <c r="W21" s="608"/>
      <c r="X21" s="608"/>
      <c r="Y21" s="608"/>
    </row>
    <row r="22" spans="2:25" s="343" customFormat="1">
      <c r="B22" s="215" t="s">
        <v>1323</v>
      </c>
      <c r="C22" s="1146"/>
      <c r="D22" s="1146"/>
      <c r="E22" s="1146"/>
      <c r="F22" s="1146"/>
      <c r="G22" s="1146"/>
      <c r="H22" s="1146"/>
      <c r="I22" s="1146"/>
      <c r="J22" s="1146"/>
      <c r="K22" s="1146"/>
      <c r="L22" s="1146"/>
      <c r="M22" s="1146"/>
      <c r="N22" s="211"/>
      <c r="S22" s="608"/>
      <c r="T22" s="608"/>
      <c r="U22" s="608"/>
      <c r="V22" s="608"/>
      <c r="W22" s="608"/>
      <c r="X22" s="608"/>
      <c r="Y22" s="608"/>
    </row>
    <row r="23" spans="2:25" s="343" customFormat="1">
      <c r="B23" s="1143"/>
      <c r="C23" s="1146"/>
      <c r="D23" s="1146"/>
      <c r="E23" s="1146"/>
      <c r="F23" s="1146"/>
      <c r="G23" s="1146"/>
      <c r="H23" s="1146"/>
      <c r="I23" s="1146"/>
      <c r="J23" s="1146"/>
      <c r="K23" s="1146"/>
      <c r="L23" s="1146"/>
      <c r="M23" s="1146"/>
      <c r="N23" s="211"/>
      <c r="S23" s="608"/>
      <c r="T23" s="608"/>
      <c r="U23" s="608"/>
      <c r="V23" s="608"/>
      <c r="W23" s="608"/>
      <c r="X23" s="608"/>
      <c r="Y23" s="608"/>
    </row>
    <row r="24" spans="2:25" s="343" customFormat="1">
      <c r="B24" s="1146"/>
      <c r="C24" s="1146"/>
      <c r="D24" s="1146"/>
      <c r="E24" s="1146"/>
      <c r="F24" s="1146"/>
      <c r="G24" s="1146"/>
      <c r="H24" s="1146"/>
      <c r="I24" s="1146"/>
      <c r="J24" s="1146"/>
      <c r="K24" s="1146"/>
      <c r="L24" s="1146"/>
      <c r="M24" s="1146"/>
      <c r="N24" s="211"/>
      <c r="S24" s="608"/>
      <c r="T24" s="608"/>
      <c r="U24" s="608"/>
      <c r="V24" s="608"/>
      <c r="W24" s="608"/>
      <c r="X24" s="608"/>
      <c r="Y24" s="608"/>
    </row>
    <row r="25" spans="2:25" s="343" customFormat="1">
      <c r="B25" s="1143"/>
      <c r="C25" s="1146"/>
      <c r="D25" s="1146"/>
      <c r="E25" s="1146"/>
      <c r="F25" s="1146"/>
      <c r="G25" s="1148" t="str">
        <f>"Overal Length = "&amp;caplength&amp;" ft"</f>
        <v>Overal Length = 48 ft</v>
      </c>
      <c r="H25" s="1146"/>
      <c r="I25" s="1146"/>
      <c r="J25" s="1146"/>
      <c r="K25" s="1146"/>
      <c r="L25" s="1146"/>
      <c r="M25" s="1146"/>
      <c r="N25" s="211"/>
      <c r="S25" s="608"/>
      <c r="T25" s="608"/>
      <c r="U25" s="608"/>
      <c r="V25" s="608"/>
      <c r="W25" s="608"/>
      <c r="X25" s="608"/>
      <c r="Y25" s="608"/>
    </row>
    <row r="26" spans="2:25" s="343" customFormat="1" ht="3.75" customHeight="1">
      <c r="B26" s="1143"/>
      <c r="C26" s="1153"/>
      <c r="D26" s="1150"/>
      <c r="E26" s="1150"/>
      <c r="F26" s="1150"/>
      <c r="G26" s="1150"/>
      <c r="H26" s="1150"/>
      <c r="I26" s="1150"/>
      <c r="J26" s="1150"/>
      <c r="K26" s="1150"/>
      <c r="L26" s="1150"/>
      <c r="M26" s="1154"/>
      <c r="N26" s="211"/>
      <c r="S26" s="608"/>
      <c r="T26" s="608"/>
      <c r="U26" s="608"/>
      <c r="V26" s="608"/>
      <c r="W26" s="608"/>
      <c r="X26" s="608"/>
      <c r="Y26" s="608"/>
    </row>
    <row r="27" spans="2:25" s="343" customFormat="1">
      <c r="B27" s="1143"/>
      <c r="C27" s="1151"/>
      <c r="D27" s="1146"/>
      <c r="E27" s="1146"/>
      <c r="F27" s="1146"/>
      <c r="G27" s="1146"/>
      <c r="H27" s="1146"/>
      <c r="I27" s="1146"/>
      <c r="J27" s="1146"/>
      <c r="K27" s="1146"/>
      <c r="L27" s="1146"/>
      <c r="M27" s="1152"/>
      <c r="N27" s="211"/>
      <c r="S27" s="608"/>
      <c r="T27" s="608"/>
      <c r="U27" s="608"/>
      <c r="V27" s="608"/>
      <c r="W27" s="608"/>
      <c r="X27" s="608"/>
      <c r="Y27" s="608"/>
    </row>
    <row r="28" spans="2:25" s="343" customFormat="1">
      <c r="B28" s="1143"/>
      <c r="C28" s="1151"/>
      <c r="D28" s="1146"/>
      <c r="E28" s="1146"/>
      <c r="F28" s="1146"/>
      <c r="G28" s="1146"/>
      <c r="H28" s="1146"/>
      <c r="I28" s="1146"/>
      <c r="J28" s="1146"/>
      <c r="K28" s="1146"/>
      <c r="L28" s="1146"/>
      <c r="M28" s="1152"/>
      <c r="N28" s="211"/>
      <c r="S28" s="608"/>
      <c r="T28" s="608"/>
      <c r="U28" s="608"/>
      <c r="V28" s="608"/>
      <c r="W28" s="608"/>
      <c r="X28" s="608"/>
      <c r="Y28" s="608"/>
    </row>
    <row r="29" spans="2:25" s="343" customFormat="1">
      <c r="B29" s="1143"/>
      <c r="C29" s="1151"/>
      <c r="D29" s="1146"/>
      <c r="E29" s="1146"/>
      <c r="F29" s="1146"/>
      <c r="G29" s="1146"/>
      <c r="H29" s="1146"/>
      <c r="I29" s="1146"/>
      <c r="J29" s="1146"/>
      <c r="K29" s="1146"/>
      <c r="L29" s="1146"/>
      <c r="M29" s="1152"/>
      <c r="N29" s="211"/>
      <c r="S29" s="608"/>
      <c r="T29" s="608"/>
      <c r="U29" s="608"/>
      <c r="V29" s="608"/>
      <c r="W29" s="608"/>
      <c r="X29" s="608"/>
      <c r="Y29" s="608"/>
    </row>
    <row r="30" spans="2:25" s="343" customFormat="1" ht="5.25" customHeight="1" thickBot="1">
      <c r="B30" s="1143"/>
      <c r="C30" s="1146"/>
      <c r="D30" s="1146"/>
      <c r="E30" s="1146"/>
      <c r="F30" s="1146"/>
      <c r="G30" s="1146"/>
      <c r="H30" s="1146"/>
      <c r="I30" s="1146"/>
      <c r="J30" s="1146"/>
      <c r="K30" s="1146"/>
      <c r="L30" s="1146"/>
      <c r="M30" s="1146"/>
      <c r="N30" s="211"/>
      <c r="S30" s="608"/>
      <c r="T30" s="608"/>
      <c r="U30" s="608"/>
      <c r="V30" s="608"/>
      <c r="W30" s="608"/>
      <c r="X30" s="608"/>
      <c r="Y30" s="608"/>
    </row>
    <row r="31" spans="2:25" s="343" customFormat="1">
      <c r="B31" s="1143"/>
      <c r="C31" s="1156"/>
      <c r="D31" s="1157"/>
      <c r="E31" s="1157"/>
      <c r="F31" s="1157"/>
      <c r="G31" s="1157"/>
      <c r="H31" s="1157"/>
      <c r="I31" s="1157"/>
      <c r="J31" s="1157"/>
      <c r="K31" s="1157"/>
      <c r="L31" s="1157"/>
      <c r="M31" s="1158"/>
      <c r="N31" s="211"/>
      <c r="S31" s="608"/>
      <c r="T31" s="608"/>
      <c r="U31" s="608"/>
      <c r="V31" s="608"/>
      <c r="W31" s="608"/>
      <c r="X31" s="608"/>
      <c r="Y31" s="608"/>
    </row>
    <row r="32" spans="2:25" s="343" customFormat="1">
      <c r="B32" s="1143"/>
      <c r="C32" s="1159"/>
      <c r="D32" s="1146"/>
      <c r="E32" s="1146"/>
      <c r="F32" s="1146"/>
      <c r="G32" s="1146"/>
      <c r="H32" s="1146"/>
      <c r="I32" s="1146"/>
      <c r="J32" s="1146"/>
      <c r="K32" s="1146"/>
      <c r="L32" s="1146"/>
      <c r="M32" s="1160"/>
      <c r="N32" s="211"/>
      <c r="S32" s="608"/>
      <c r="T32" s="608"/>
      <c r="U32" s="608"/>
      <c r="V32" s="608"/>
      <c r="W32" s="608"/>
      <c r="X32" s="608"/>
      <c r="Y32" s="608"/>
    </row>
    <row r="33" spans="2:25" s="343" customFormat="1" ht="13.5" thickBot="1">
      <c r="B33" s="1143"/>
      <c r="C33" s="1161"/>
      <c r="D33" s="1162"/>
      <c r="E33" s="1162"/>
      <c r="F33" s="1162"/>
      <c r="G33" s="1162"/>
      <c r="H33" s="1162"/>
      <c r="I33" s="1162"/>
      <c r="J33" s="1162"/>
      <c r="K33" s="1162"/>
      <c r="L33" s="1162"/>
      <c r="M33" s="1163"/>
      <c r="N33" s="211"/>
      <c r="S33" s="608"/>
      <c r="T33" s="608"/>
      <c r="U33" s="608"/>
      <c r="V33" s="608"/>
      <c r="W33" s="608"/>
      <c r="X33" s="608"/>
      <c r="Y33" s="608"/>
    </row>
    <row r="34" spans="2:25" s="343" customFormat="1" ht="4.5" customHeight="1">
      <c r="B34" s="1143"/>
      <c r="C34" s="1146"/>
      <c r="D34" s="1146"/>
      <c r="E34" s="1146"/>
      <c r="F34" s="1146"/>
      <c r="G34" s="1146"/>
      <c r="H34" s="1146"/>
      <c r="I34" s="1146"/>
      <c r="J34" s="1146"/>
      <c r="K34" s="1146"/>
      <c r="L34" s="1146"/>
      <c r="M34" s="1146"/>
      <c r="N34" s="211"/>
      <c r="S34" s="608"/>
      <c r="T34" s="608"/>
      <c r="U34" s="608"/>
      <c r="V34" s="608"/>
      <c r="W34" s="608"/>
      <c r="X34" s="608"/>
      <c r="Y34" s="608"/>
    </row>
    <row r="35" spans="2:25" s="343" customFormat="1">
      <c r="B35" s="1143"/>
      <c r="C35" s="1151"/>
      <c r="D35" s="1146"/>
      <c r="E35" s="1146"/>
      <c r="F35" s="1146"/>
      <c r="G35" s="1146"/>
      <c r="H35" s="1146"/>
      <c r="I35" s="1146"/>
      <c r="J35" s="1146"/>
      <c r="K35" s="1146"/>
      <c r="L35" s="1146"/>
      <c r="M35" s="1152"/>
      <c r="N35" s="211"/>
      <c r="S35" s="608"/>
      <c r="T35" s="608"/>
      <c r="U35" s="608"/>
      <c r="V35" s="608"/>
      <c r="W35" s="608"/>
      <c r="X35" s="608"/>
      <c r="Y35" s="608"/>
    </row>
    <row r="36" spans="2:25" s="343" customFormat="1">
      <c r="B36" s="1143"/>
      <c r="C36" s="1151"/>
      <c r="D36" s="1146"/>
      <c r="E36" s="1146"/>
      <c r="F36" s="1146"/>
      <c r="G36" s="1146"/>
      <c r="H36" s="1146"/>
      <c r="I36" s="1146"/>
      <c r="J36" s="1146"/>
      <c r="K36" s="1146"/>
      <c r="L36" s="1146"/>
      <c r="M36" s="1152"/>
      <c r="N36" s="211"/>
      <c r="S36" s="608"/>
      <c r="T36" s="608"/>
      <c r="U36" s="608"/>
      <c r="V36" s="608"/>
      <c r="W36" s="608"/>
      <c r="X36" s="608"/>
      <c r="Y36" s="608"/>
    </row>
    <row r="37" spans="2:25" s="343" customFormat="1">
      <c r="B37" s="1143"/>
      <c r="C37" s="1151"/>
      <c r="D37" s="1146"/>
      <c r="E37" s="1146"/>
      <c r="F37" s="1146"/>
      <c r="G37" s="1146"/>
      <c r="H37" s="1146"/>
      <c r="I37" s="1146"/>
      <c r="J37" s="1146"/>
      <c r="K37" s="1146"/>
      <c r="L37" s="1146"/>
      <c r="M37" s="1152"/>
      <c r="N37" s="211"/>
      <c r="S37" s="608"/>
      <c r="T37" s="608"/>
      <c r="U37" s="608"/>
      <c r="V37" s="608"/>
      <c r="W37" s="608"/>
      <c r="X37" s="608"/>
      <c r="Y37" s="608"/>
    </row>
    <row r="38" spans="2:25" s="343" customFormat="1">
      <c r="B38" s="1143"/>
      <c r="C38" s="1153"/>
      <c r="D38" s="1150"/>
      <c r="E38" s="1150"/>
      <c r="F38" s="1150"/>
      <c r="G38" s="1150"/>
      <c r="H38" s="1150"/>
      <c r="I38" s="1150"/>
      <c r="J38" s="1150"/>
      <c r="K38" s="1150"/>
      <c r="L38" s="1150"/>
      <c r="M38" s="1154"/>
      <c r="N38" s="211"/>
      <c r="S38" s="608"/>
      <c r="T38" s="608"/>
      <c r="U38" s="608"/>
      <c r="V38" s="608"/>
      <c r="W38" s="608"/>
      <c r="X38" s="608"/>
      <c r="Y38" s="608"/>
    </row>
    <row r="39" spans="2:25" s="343" customFormat="1" ht="5.25" customHeight="1">
      <c r="B39" s="1143"/>
      <c r="C39" s="1151"/>
      <c r="D39" s="1146"/>
      <c r="E39" s="1146"/>
      <c r="F39" s="1146"/>
      <c r="G39" s="1146"/>
      <c r="H39" s="1146"/>
      <c r="I39" s="1146"/>
      <c r="J39" s="1146"/>
      <c r="K39" s="1146"/>
      <c r="L39" s="1146"/>
      <c r="M39" s="1152"/>
      <c r="N39" s="211"/>
      <c r="S39" s="608"/>
      <c r="T39" s="608"/>
      <c r="U39" s="608"/>
      <c r="V39" s="608"/>
      <c r="W39" s="608"/>
      <c r="X39" s="608"/>
      <c r="Y39" s="608"/>
    </row>
    <row r="40" spans="2:25" s="343" customFormat="1">
      <c r="B40" s="1143"/>
      <c r="C40" s="1143"/>
      <c r="D40" s="1143"/>
      <c r="E40" s="1143"/>
      <c r="F40" s="1143"/>
      <c r="G40" s="1143"/>
      <c r="H40" s="1143"/>
      <c r="I40" s="1143"/>
      <c r="J40" s="1143"/>
      <c r="K40" s="1143"/>
      <c r="L40" s="1143"/>
      <c r="M40" s="1143"/>
      <c r="N40" s="1143"/>
      <c r="S40" s="608"/>
      <c r="T40" s="608"/>
      <c r="U40" s="608"/>
      <c r="V40" s="608"/>
      <c r="W40" s="608"/>
      <c r="X40" s="608"/>
      <c r="Y40" s="608"/>
    </row>
    <row r="41" spans="2:25" s="343" customFormat="1">
      <c r="B41" s="1143"/>
      <c r="C41" s="1143"/>
      <c r="D41" s="1143"/>
      <c r="E41" s="1143"/>
      <c r="F41" s="1143"/>
      <c r="G41" s="1143"/>
      <c r="H41" s="1143"/>
      <c r="I41" s="1143"/>
      <c r="J41" s="1143"/>
      <c r="K41" s="1143"/>
      <c r="L41" s="1143"/>
      <c r="M41" s="1143"/>
      <c r="N41" s="1143"/>
      <c r="S41" s="608"/>
      <c r="T41" s="608"/>
      <c r="U41" s="608"/>
      <c r="V41" s="608"/>
      <c r="W41" s="608"/>
      <c r="X41" s="608"/>
      <c r="Y41" s="608"/>
    </row>
    <row r="42" spans="2:25" s="343" customFormat="1">
      <c r="B42" s="1143"/>
      <c r="C42" s="1143"/>
      <c r="D42" s="1143"/>
      <c r="E42" s="1143"/>
      <c r="F42" s="1143"/>
      <c r="G42" s="1143"/>
      <c r="H42" s="1143"/>
      <c r="I42" s="1143"/>
      <c r="J42" s="1143"/>
      <c r="K42" s="1143"/>
      <c r="L42" s="1143"/>
      <c r="M42" s="1143"/>
      <c r="N42" s="1143"/>
      <c r="S42" s="608"/>
      <c r="T42" s="608"/>
      <c r="U42" s="608"/>
      <c r="V42" s="608"/>
      <c r="W42" s="608"/>
      <c r="X42" s="608"/>
      <c r="Y42" s="608"/>
    </row>
    <row r="43" spans="2:25" s="343" customFormat="1">
      <c r="B43" s="1143"/>
      <c r="C43" s="1143"/>
      <c r="D43" s="1143"/>
      <c r="E43" s="1143"/>
      <c r="F43" s="1143"/>
      <c r="G43" s="1143"/>
      <c r="H43" s="1143"/>
      <c r="I43" s="1143"/>
      <c r="J43" s="1143"/>
      <c r="K43" s="1143"/>
      <c r="L43" s="1143"/>
      <c r="M43" s="1143"/>
      <c r="N43" s="1143"/>
      <c r="S43" s="608"/>
      <c r="T43" s="608"/>
      <c r="U43" s="608"/>
      <c r="V43" s="608"/>
      <c r="W43" s="608"/>
      <c r="X43" s="608"/>
      <c r="Y43" s="608"/>
    </row>
    <row r="44" spans="2:25" s="343" customFormat="1">
      <c r="B44" s="1143"/>
      <c r="C44" s="1146"/>
      <c r="D44" s="1146"/>
      <c r="E44" s="1146"/>
      <c r="F44" s="1146"/>
      <c r="G44" s="1146"/>
      <c r="H44" s="1146"/>
      <c r="I44" s="1146"/>
      <c r="J44" s="1146"/>
      <c r="K44" s="1146"/>
      <c r="L44" s="1146"/>
      <c r="M44" s="1146"/>
      <c r="N44" s="211"/>
      <c r="S44" s="608"/>
      <c r="T44" s="608"/>
      <c r="U44" s="608"/>
      <c r="V44" s="608"/>
      <c r="W44" s="608"/>
      <c r="X44" s="608"/>
      <c r="Y44" s="608"/>
    </row>
    <row r="45" spans="2:25" s="343" customFormat="1">
      <c r="B45" s="1143"/>
      <c r="C45" s="1146"/>
      <c r="D45" s="1146"/>
      <c r="E45" s="1146"/>
      <c r="F45" s="1146"/>
      <c r="G45" s="1146"/>
      <c r="H45" s="1146"/>
      <c r="I45" s="1146"/>
      <c r="J45" s="1146"/>
      <c r="K45" s="1146"/>
      <c r="L45" s="1146"/>
      <c r="M45" s="1146"/>
      <c r="N45" s="211"/>
      <c r="S45" s="608"/>
      <c r="T45" s="608"/>
      <c r="U45" s="608"/>
      <c r="V45" s="608"/>
      <c r="W45" s="608"/>
      <c r="X45" s="608"/>
      <c r="Y45" s="608"/>
    </row>
    <row r="46" spans="2:25" s="343" customFormat="1">
      <c r="B46" s="1143"/>
      <c r="C46" s="1146"/>
      <c r="D46" s="1146"/>
      <c r="E46" s="1146"/>
      <c r="F46" s="1146"/>
      <c r="G46" s="1146"/>
      <c r="H46" s="1146"/>
      <c r="I46" s="1146"/>
      <c r="J46" s="1146"/>
      <c r="K46" s="1146"/>
      <c r="L46" s="1146"/>
      <c r="M46" s="1146"/>
      <c r="N46" s="211"/>
      <c r="S46" s="608"/>
      <c r="T46" s="608"/>
      <c r="U46" s="608"/>
      <c r="V46" s="608"/>
      <c r="W46" s="608"/>
      <c r="X46" s="608"/>
      <c r="Y46" s="608"/>
    </row>
    <row r="47" spans="2:25" s="343" customFormat="1">
      <c r="B47" s="1143"/>
      <c r="C47" s="1146"/>
      <c r="D47" s="1146"/>
      <c r="E47" s="1146"/>
      <c r="F47" s="1146"/>
      <c r="G47" s="1146"/>
      <c r="H47" s="1146"/>
      <c r="I47" s="1146"/>
      <c r="J47" s="1146"/>
      <c r="K47" s="1146"/>
      <c r="L47" s="1146"/>
      <c r="M47" s="1146"/>
      <c r="N47" s="211"/>
      <c r="S47" s="608"/>
      <c r="T47" s="608"/>
      <c r="U47" s="608"/>
      <c r="V47" s="608"/>
      <c r="W47" s="608"/>
      <c r="X47" s="608"/>
      <c r="Y47" s="608"/>
    </row>
    <row r="48" spans="2:25" s="343" customFormat="1">
      <c r="B48" s="1143"/>
      <c r="C48" s="1146"/>
      <c r="D48" s="1146"/>
      <c r="E48" s="1146"/>
      <c r="F48" s="1146"/>
      <c r="G48" s="1146"/>
      <c r="H48" s="1146"/>
      <c r="I48" s="1146"/>
      <c r="J48" s="1146"/>
      <c r="K48" s="1146"/>
      <c r="L48" s="1146"/>
      <c r="M48" s="1146"/>
      <c r="N48" s="211"/>
      <c r="S48" s="608"/>
      <c r="T48" s="608"/>
      <c r="U48" s="608"/>
      <c r="V48" s="608"/>
      <c r="W48" s="608"/>
      <c r="X48" s="608"/>
      <c r="Y48" s="608"/>
    </row>
    <row r="49" spans="2:25" s="343" customFormat="1">
      <c r="B49" s="1143"/>
      <c r="C49" s="1146"/>
      <c r="D49" s="1146"/>
      <c r="E49" s="1146"/>
      <c r="F49" s="1146"/>
      <c r="G49" s="1146"/>
      <c r="H49" s="1146"/>
      <c r="I49" s="1146"/>
      <c r="J49" s="1146"/>
      <c r="K49" s="1146"/>
      <c r="L49" s="1146"/>
      <c r="M49" s="1146"/>
      <c r="N49" s="211"/>
      <c r="S49" s="608"/>
      <c r="T49" s="608"/>
      <c r="U49" s="608"/>
      <c r="V49" s="608"/>
      <c r="W49" s="608"/>
      <c r="X49" s="608"/>
      <c r="Y49" s="608"/>
    </row>
    <row r="50" spans="2:25" s="343" customFormat="1">
      <c r="B50" s="1144"/>
      <c r="C50" s="600"/>
      <c r="D50" s="600"/>
      <c r="E50" s="614"/>
      <c r="F50" s="614"/>
      <c r="G50" s="614"/>
      <c r="H50" s="614"/>
      <c r="I50" s="614"/>
      <c r="J50" s="600"/>
      <c r="K50" s="600"/>
      <c r="L50" s="600"/>
      <c r="S50" s="608"/>
      <c r="T50" s="608"/>
      <c r="U50" s="608"/>
      <c r="V50" s="608"/>
      <c r="W50" s="608"/>
      <c r="X50" s="608"/>
      <c r="Y50" s="608"/>
    </row>
    <row r="51" spans="2:25" s="343" customFormat="1">
      <c r="B51" s="1144"/>
      <c r="C51" s="600"/>
      <c r="D51" s="600"/>
      <c r="E51" s="614"/>
      <c r="F51" s="614"/>
      <c r="G51" s="614"/>
      <c r="H51" s="614"/>
      <c r="I51" s="614"/>
      <c r="J51" s="600"/>
      <c r="K51" s="600"/>
      <c r="L51" s="600"/>
      <c r="S51" s="608"/>
      <c r="T51" s="608"/>
      <c r="U51" s="608"/>
      <c r="V51" s="608"/>
      <c r="W51" s="608"/>
      <c r="X51" s="608"/>
      <c r="Y51" s="608"/>
    </row>
    <row r="52" spans="2:25" s="343" customFormat="1">
      <c r="B52" s="1144"/>
      <c r="C52" s="600"/>
      <c r="D52" s="600"/>
      <c r="E52" s="614"/>
      <c r="F52" s="614"/>
      <c r="G52" s="614"/>
      <c r="H52" s="614"/>
      <c r="I52" s="614"/>
      <c r="J52" s="600"/>
      <c r="K52" s="600"/>
      <c r="L52" s="600"/>
      <c r="S52" s="608"/>
      <c r="T52" s="608"/>
      <c r="U52" s="608"/>
      <c r="V52" s="608"/>
      <c r="W52" s="608"/>
      <c r="X52" s="608"/>
      <c r="Y52" s="608"/>
    </row>
    <row r="53" spans="2:25" s="343" customFormat="1">
      <c r="B53" s="1144"/>
      <c r="C53" s="600"/>
      <c r="D53" s="600"/>
      <c r="E53" s="614"/>
      <c r="F53" s="614"/>
      <c r="G53" s="614"/>
      <c r="H53" s="614"/>
      <c r="I53" s="614"/>
      <c r="J53" s="600"/>
      <c r="K53" s="600"/>
      <c r="L53" s="600"/>
      <c r="S53" s="608"/>
      <c r="T53" s="608"/>
      <c r="U53" s="608"/>
      <c r="V53" s="608"/>
      <c r="W53" s="608"/>
      <c r="X53" s="608"/>
      <c r="Y53" s="608"/>
    </row>
    <row r="54" spans="2:25" s="343" customFormat="1">
      <c r="B54" s="1144"/>
      <c r="C54" s="600"/>
      <c r="D54" s="600"/>
      <c r="E54" s="614"/>
      <c r="F54" s="614"/>
      <c r="G54" s="614"/>
      <c r="H54" s="614"/>
      <c r="I54" s="614"/>
      <c r="J54" s="600"/>
      <c r="K54" s="600"/>
      <c r="L54" s="600"/>
      <c r="S54" s="608"/>
      <c r="T54" s="608"/>
      <c r="U54" s="608"/>
      <c r="V54" s="608"/>
      <c r="W54" s="608"/>
      <c r="X54" s="608"/>
      <c r="Y54" s="608"/>
    </row>
    <row r="55" spans="2:25" s="343" customFormat="1">
      <c r="B55" s="1144"/>
      <c r="C55" s="600"/>
      <c r="D55" s="600"/>
      <c r="E55" s="614"/>
      <c r="F55" s="614"/>
      <c r="G55" s="614"/>
      <c r="H55" s="614"/>
      <c r="I55" s="614"/>
      <c r="J55" s="600"/>
      <c r="K55" s="600"/>
      <c r="L55" s="600"/>
      <c r="S55" s="608"/>
      <c r="T55" s="608"/>
      <c r="U55" s="608"/>
      <c r="V55" s="608"/>
      <c r="W55" s="608"/>
      <c r="X55" s="608"/>
      <c r="Y55" s="608"/>
    </row>
    <row r="56" spans="2:25" s="343" customFormat="1">
      <c r="B56" s="1144"/>
      <c r="C56" s="600"/>
      <c r="D56" s="600"/>
      <c r="E56" s="614"/>
      <c r="F56" s="614"/>
      <c r="G56" s="614"/>
      <c r="H56" s="614"/>
      <c r="I56" s="614"/>
      <c r="J56" s="600"/>
      <c r="K56" s="600"/>
      <c r="L56" s="600"/>
      <c r="S56" s="608"/>
      <c r="T56" s="608"/>
      <c r="U56" s="608"/>
      <c r="V56" s="608"/>
      <c r="W56" s="608"/>
      <c r="X56" s="608"/>
      <c r="Y56" s="608"/>
    </row>
    <row r="57" spans="2:25" s="343" customFormat="1">
      <c r="B57" s="1144"/>
      <c r="C57" s="600"/>
      <c r="D57" s="600"/>
      <c r="E57" s="614"/>
      <c r="F57" s="614"/>
      <c r="G57" s="614"/>
      <c r="H57" s="614"/>
      <c r="I57" s="614"/>
      <c r="J57" s="600"/>
      <c r="K57" s="600"/>
      <c r="L57" s="600"/>
      <c r="S57" s="608"/>
      <c r="T57" s="608"/>
      <c r="U57" s="608"/>
      <c r="V57" s="608"/>
      <c r="W57" s="608"/>
      <c r="X57" s="608"/>
      <c r="Y57" s="608"/>
    </row>
    <row r="58" spans="2:25" s="343" customFormat="1">
      <c r="B58" s="1144"/>
      <c r="C58" s="600"/>
      <c r="D58" s="600"/>
      <c r="E58" s="614"/>
      <c r="F58" s="614"/>
      <c r="G58" s="614"/>
      <c r="H58" s="614"/>
      <c r="I58" s="614"/>
      <c r="J58" s="600"/>
      <c r="K58" s="600"/>
      <c r="L58" s="600"/>
      <c r="S58" s="608"/>
      <c r="T58" s="608"/>
      <c r="U58" s="608"/>
      <c r="V58" s="608"/>
      <c r="W58" s="608"/>
      <c r="X58" s="608"/>
      <c r="Y58" s="608"/>
    </row>
    <row r="59" spans="2:25" s="343" customFormat="1">
      <c r="B59" s="1144"/>
      <c r="C59" s="600"/>
      <c r="D59" s="600"/>
      <c r="E59" s="614"/>
      <c r="F59" s="614"/>
      <c r="G59" s="614"/>
      <c r="H59" s="614"/>
      <c r="I59" s="614"/>
      <c r="J59" s="600"/>
      <c r="K59" s="600"/>
      <c r="L59" s="600"/>
      <c r="S59" s="608"/>
      <c r="T59" s="608"/>
      <c r="U59" s="608"/>
      <c r="V59" s="608"/>
      <c r="W59" s="608"/>
      <c r="X59" s="608"/>
      <c r="Y59" s="608"/>
    </row>
    <row r="60" spans="2:25" s="343" customFormat="1">
      <c r="B60" s="1144"/>
      <c r="C60" s="600"/>
      <c r="D60" s="600"/>
      <c r="E60" s="614"/>
      <c r="F60" s="614"/>
      <c r="G60" s="614"/>
      <c r="H60" s="614"/>
      <c r="I60" s="614"/>
      <c r="J60" s="600"/>
      <c r="K60" s="600"/>
      <c r="L60" s="600"/>
      <c r="S60" s="608"/>
      <c r="T60" s="608"/>
      <c r="U60" s="608"/>
      <c r="V60" s="608"/>
      <c r="W60" s="608"/>
      <c r="X60" s="608"/>
      <c r="Y60" s="608"/>
    </row>
    <row r="61" spans="2:25" s="343" customFormat="1">
      <c r="B61" s="1144"/>
      <c r="C61" s="600"/>
      <c r="D61" s="600"/>
      <c r="E61" s="614"/>
      <c r="F61" s="614"/>
      <c r="G61" s="614"/>
      <c r="H61" s="614"/>
      <c r="I61" s="614"/>
      <c r="J61" s="600"/>
      <c r="K61" s="600"/>
      <c r="L61" s="600"/>
      <c r="S61" s="608"/>
      <c r="T61" s="608"/>
      <c r="U61" s="608"/>
      <c r="V61" s="608"/>
      <c r="W61" s="608"/>
      <c r="X61" s="608"/>
      <c r="Y61" s="608"/>
    </row>
    <row r="62" spans="2:25" s="343" customFormat="1">
      <c r="B62" s="1144"/>
      <c r="C62" s="600"/>
      <c r="D62" s="600"/>
      <c r="E62" s="614"/>
      <c r="F62" s="614"/>
      <c r="G62" s="614"/>
      <c r="H62" s="614"/>
      <c r="I62" s="614"/>
      <c r="J62" s="600"/>
      <c r="K62" s="600"/>
      <c r="L62" s="600"/>
      <c r="S62" s="608"/>
      <c r="T62" s="608"/>
      <c r="U62" s="608"/>
      <c r="V62" s="608"/>
      <c r="W62" s="608"/>
      <c r="X62" s="608"/>
      <c r="Y62" s="608"/>
    </row>
    <row r="63" spans="2:25" s="343" customFormat="1">
      <c r="B63" s="1144"/>
      <c r="C63" s="600"/>
      <c r="D63" s="600"/>
      <c r="E63" s="614"/>
      <c r="F63" s="614"/>
      <c r="G63" s="614"/>
      <c r="H63" s="614"/>
      <c r="I63" s="614"/>
      <c r="J63" s="600"/>
      <c r="K63" s="600"/>
      <c r="L63" s="600"/>
      <c r="S63" s="608"/>
      <c r="T63" s="608"/>
      <c r="U63" s="608"/>
      <c r="V63" s="608"/>
      <c r="W63" s="608"/>
      <c r="X63" s="608"/>
      <c r="Y63" s="608"/>
    </row>
    <row r="64" spans="2:25" s="343" customFormat="1">
      <c r="B64" s="1144"/>
      <c r="C64" s="600"/>
      <c r="D64" s="600"/>
      <c r="E64" s="614"/>
      <c r="F64" s="614"/>
      <c r="G64" s="614"/>
      <c r="H64" s="614"/>
      <c r="I64" s="614"/>
      <c r="J64" s="600"/>
      <c r="K64" s="600"/>
      <c r="L64" s="600"/>
      <c r="S64" s="608"/>
      <c r="T64" s="608"/>
      <c r="U64" s="608"/>
      <c r="V64" s="608"/>
      <c r="W64" s="608"/>
      <c r="X64" s="608"/>
      <c r="Y64" s="608"/>
    </row>
    <row r="65" spans="2:25" s="343" customFormat="1">
      <c r="B65" s="1144"/>
      <c r="C65" s="600"/>
      <c r="D65" s="600"/>
      <c r="E65" s="614"/>
      <c r="F65" s="614"/>
      <c r="G65" s="614"/>
      <c r="H65" s="614"/>
      <c r="I65" s="614"/>
      <c r="J65" s="600"/>
      <c r="K65" s="600"/>
      <c r="L65" s="600"/>
      <c r="S65" s="608"/>
      <c r="T65" s="608"/>
      <c r="U65" s="608"/>
      <c r="V65" s="608"/>
      <c r="W65" s="608"/>
      <c r="X65" s="608"/>
      <c r="Y65" s="608"/>
    </row>
    <row r="66" spans="2:25" s="343" customFormat="1">
      <c r="B66" s="1144"/>
      <c r="C66" s="600"/>
      <c r="D66" s="600"/>
      <c r="E66" s="614"/>
      <c r="F66" s="614"/>
      <c r="G66" s="614"/>
      <c r="H66" s="614"/>
      <c r="I66" s="614"/>
      <c r="J66" s="600"/>
      <c r="K66" s="600"/>
      <c r="L66" s="600"/>
      <c r="S66" s="608"/>
      <c r="T66" s="608"/>
      <c r="U66" s="608"/>
      <c r="V66" s="608"/>
      <c r="W66" s="608"/>
      <c r="X66" s="608"/>
      <c r="Y66" s="608"/>
    </row>
    <row r="67" spans="2:25" s="343" customFormat="1">
      <c r="B67" s="1144"/>
      <c r="C67" s="600"/>
      <c r="D67" s="600"/>
      <c r="E67" s="614"/>
      <c r="F67" s="614"/>
      <c r="G67" s="614"/>
      <c r="H67" s="614"/>
      <c r="I67" s="614"/>
      <c r="J67" s="600"/>
      <c r="K67" s="600"/>
      <c r="L67" s="600"/>
      <c r="S67" s="608"/>
      <c r="T67" s="608"/>
      <c r="U67" s="608"/>
      <c r="V67" s="608"/>
      <c r="W67" s="608"/>
      <c r="X67" s="608"/>
      <c r="Y67" s="608"/>
    </row>
    <row r="68" spans="2:25" s="343" customFormat="1">
      <c r="B68" s="1144"/>
      <c r="C68" s="600"/>
      <c r="D68" s="600"/>
      <c r="E68" s="614"/>
      <c r="F68" s="614"/>
      <c r="G68" s="614"/>
      <c r="H68" s="614"/>
      <c r="I68" s="614"/>
      <c r="J68" s="600"/>
      <c r="K68" s="600"/>
      <c r="L68" s="600"/>
      <c r="S68" s="608"/>
      <c r="T68" s="608"/>
      <c r="U68" s="608"/>
      <c r="V68" s="608"/>
      <c r="W68" s="608"/>
      <c r="X68" s="608"/>
      <c r="Y68" s="608"/>
    </row>
    <row r="69" spans="2:25" s="343" customFormat="1">
      <c r="B69" s="1144"/>
      <c r="C69" s="600"/>
      <c r="D69" s="600"/>
      <c r="E69" s="614"/>
      <c r="F69" s="614"/>
      <c r="G69" s="614"/>
      <c r="H69" s="614"/>
      <c r="I69" s="614"/>
      <c r="J69" s="600"/>
      <c r="K69" s="600"/>
      <c r="L69" s="600"/>
      <c r="S69" s="608"/>
      <c r="T69" s="608"/>
      <c r="U69" s="608"/>
      <c r="V69" s="608"/>
      <c r="W69" s="608"/>
      <c r="X69" s="608"/>
      <c r="Y69" s="608"/>
    </row>
    <row r="70" spans="2:25" s="343" customFormat="1">
      <c r="B70" s="1144"/>
      <c r="C70" s="600"/>
      <c r="D70" s="600"/>
      <c r="E70" s="614"/>
      <c r="F70" s="614"/>
      <c r="G70" s="614"/>
      <c r="H70" s="614"/>
      <c r="I70" s="614"/>
      <c r="J70" s="600"/>
      <c r="K70" s="600"/>
      <c r="L70" s="600"/>
      <c r="S70" s="608"/>
      <c r="T70" s="608"/>
      <c r="U70" s="608"/>
      <c r="V70" s="608"/>
      <c r="W70" s="608"/>
      <c r="X70" s="608"/>
      <c r="Y70" s="608"/>
    </row>
    <row r="71" spans="2:25" s="343" customFormat="1">
      <c r="B71" s="1144"/>
      <c r="C71" s="600"/>
      <c r="D71" s="600"/>
      <c r="E71" s="614"/>
      <c r="F71" s="614"/>
      <c r="G71" s="614"/>
      <c r="H71" s="614"/>
      <c r="I71" s="614"/>
      <c r="J71" s="600"/>
      <c r="K71" s="600"/>
      <c r="L71" s="600"/>
      <c r="S71" s="608"/>
      <c r="T71" s="608"/>
      <c r="U71" s="608"/>
      <c r="V71" s="608"/>
      <c r="W71" s="608"/>
      <c r="X71" s="608"/>
      <c r="Y71" s="608"/>
    </row>
    <row r="72" spans="2:25" s="343" customFormat="1">
      <c r="B72" s="1144"/>
      <c r="C72" s="600"/>
      <c r="D72" s="600"/>
      <c r="E72" s="614"/>
      <c r="F72" s="614"/>
      <c r="G72" s="614"/>
      <c r="H72" s="614"/>
      <c r="I72" s="614"/>
      <c r="J72" s="600"/>
      <c r="K72" s="600"/>
      <c r="L72" s="600"/>
      <c r="S72" s="608"/>
      <c r="T72" s="608"/>
      <c r="U72" s="608"/>
      <c r="V72" s="608"/>
      <c r="W72" s="608"/>
      <c r="X72" s="608"/>
      <c r="Y72" s="608"/>
    </row>
    <row r="73" spans="2:25" s="343" customFormat="1">
      <c r="B73" s="1144"/>
      <c r="C73" s="600"/>
      <c r="D73" s="600"/>
      <c r="E73" s="614"/>
      <c r="F73" s="614"/>
      <c r="G73" s="614"/>
      <c r="H73" s="614"/>
      <c r="I73" s="614"/>
      <c r="J73" s="600"/>
      <c r="K73" s="600"/>
      <c r="L73" s="600"/>
      <c r="S73" s="608"/>
      <c r="T73" s="608"/>
      <c r="U73" s="608"/>
      <c r="V73" s="608"/>
      <c r="W73" s="608"/>
      <c r="X73" s="608"/>
      <c r="Y73" s="608"/>
    </row>
    <row r="74" spans="2:25" s="343" customFormat="1">
      <c r="B74" s="1144"/>
      <c r="C74" s="600"/>
      <c r="D74" s="600"/>
      <c r="E74" s="614"/>
      <c r="F74" s="614"/>
      <c r="G74" s="614"/>
      <c r="H74" s="614"/>
      <c r="I74" s="614"/>
      <c r="J74" s="600"/>
      <c r="K74" s="600"/>
      <c r="L74" s="600"/>
      <c r="S74" s="608"/>
      <c r="T74" s="608"/>
      <c r="U74" s="608"/>
      <c r="V74" s="608"/>
      <c r="W74" s="608"/>
      <c r="X74" s="608"/>
      <c r="Y74" s="608"/>
    </row>
    <row r="75" spans="2:25" s="343" customFormat="1">
      <c r="B75" s="1144"/>
      <c r="C75" s="600"/>
      <c r="D75" s="600"/>
      <c r="E75" s="614"/>
      <c r="F75" s="614"/>
      <c r="G75" s="614"/>
      <c r="H75" s="614"/>
      <c r="I75" s="614"/>
      <c r="J75" s="600"/>
      <c r="K75" s="600"/>
      <c r="L75" s="600"/>
      <c r="S75" s="608"/>
      <c r="T75" s="608"/>
      <c r="U75" s="608"/>
      <c r="V75" s="608"/>
      <c r="W75" s="608"/>
      <c r="X75" s="608"/>
      <c r="Y75" s="608"/>
    </row>
    <row r="76" spans="2:25" s="343" customFormat="1">
      <c r="B76" s="1144"/>
      <c r="C76" s="600"/>
      <c r="D76" s="600"/>
      <c r="E76" s="614"/>
      <c r="F76" s="614"/>
      <c r="G76" s="614"/>
      <c r="H76" s="614"/>
      <c r="I76" s="614"/>
      <c r="J76" s="600"/>
      <c r="K76" s="600"/>
      <c r="L76" s="600"/>
      <c r="S76" s="608"/>
      <c r="T76" s="608"/>
      <c r="U76" s="608"/>
      <c r="V76" s="608"/>
      <c r="W76" s="608"/>
      <c r="X76" s="608"/>
      <c r="Y76" s="608"/>
    </row>
    <row r="77" spans="2:25" s="343" customFormat="1">
      <c r="B77" s="1144"/>
      <c r="C77" s="600"/>
      <c r="D77" s="600"/>
      <c r="E77" s="614"/>
      <c r="F77" s="614"/>
      <c r="G77" s="614"/>
      <c r="H77" s="614"/>
      <c r="I77" s="614"/>
      <c r="J77" s="600"/>
      <c r="K77" s="600"/>
      <c r="L77" s="600"/>
      <c r="S77" s="608"/>
      <c r="T77" s="608"/>
      <c r="U77" s="608"/>
      <c r="V77" s="608"/>
      <c r="W77" s="608"/>
      <c r="X77" s="608"/>
      <c r="Y77" s="608"/>
    </row>
    <row r="78" spans="2:25" s="343" customFormat="1">
      <c r="B78" s="1144"/>
      <c r="C78" s="600"/>
      <c r="D78" s="600"/>
      <c r="E78" s="614"/>
      <c r="F78" s="614"/>
      <c r="G78" s="614"/>
      <c r="H78" s="614"/>
      <c r="I78" s="614"/>
      <c r="J78" s="600"/>
      <c r="K78" s="600"/>
      <c r="L78" s="600"/>
      <c r="S78" s="608"/>
      <c r="T78" s="608"/>
      <c r="U78" s="608"/>
      <c r="V78" s="608"/>
      <c r="W78" s="608"/>
      <c r="X78" s="608"/>
      <c r="Y78" s="608"/>
    </row>
    <row r="79" spans="2:25" s="343" customFormat="1">
      <c r="B79" s="1144"/>
      <c r="C79" s="600"/>
      <c r="D79" s="600"/>
      <c r="E79" s="614"/>
      <c r="F79" s="614"/>
      <c r="G79" s="614"/>
      <c r="H79" s="614"/>
      <c r="I79" s="614"/>
      <c r="J79" s="600"/>
      <c r="K79" s="600"/>
      <c r="L79" s="600"/>
      <c r="S79" s="608"/>
      <c r="T79" s="608"/>
      <c r="U79" s="608"/>
      <c r="V79" s="608"/>
      <c r="W79" s="608"/>
      <c r="X79" s="608"/>
      <c r="Y79" s="608"/>
    </row>
    <row r="80" spans="2:25" s="343" customFormat="1">
      <c r="B80" s="1144"/>
      <c r="C80" s="600"/>
      <c r="D80" s="600"/>
      <c r="E80" s="614"/>
      <c r="F80" s="614"/>
      <c r="G80" s="614"/>
      <c r="H80" s="614"/>
      <c r="I80" s="614"/>
      <c r="J80" s="600"/>
      <c r="K80" s="600"/>
      <c r="L80" s="600"/>
      <c r="S80" s="608"/>
      <c r="T80" s="608"/>
      <c r="U80" s="608"/>
      <c r="V80" s="608"/>
      <c r="W80" s="608"/>
      <c r="X80" s="608"/>
      <c r="Y80" s="608"/>
    </row>
    <row r="81" spans="2:25" s="343" customFormat="1">
      <c r="B81" s="1144"/>
      <c r="C81" s="600"/>
      <c r="D81" s="600"/>
      <c r="E81" s="614"/>
      <c r="F81" s="614"/>
      <c r="G81" s="614"/>
      <c r="H81" s="614"/>
      <c r="I81" s="614"/>
      <c r="J81" s="600"/>
      <c r="K81" s="600"/>
      <c r="L81" s="600"/>
      <c r="S81" s="608"/>
      <c r="T81" s="608"/>
      <c r="U81" s="608"/>
      <c r="V81" s="608"/>
      <c r="W81" s="608"/>
      <c r="X81" s="608"/>
      <c r="Y81" s="608"/>
    </row>
    <row r="82" spans="2:25" s="343" customFormat="1">
      <c r="B82" s="1144"/>
      <c r="C82" s="600"/>
      <c r="D82" s="600"/>
      <c r="E82" s="614"/>
      <c r="F82" s="614"/>
      <c r="G82" s="614"/>
      <c r="H82" s="614"/>
      <c r="I82" s="614"/>
      <c r="J82" s="600"/>
      <c r="K82" s="600"/>
      <c r="L82" s="600"/>
      <c r="S82" s="608"/>
      <c r="T82" s="608"/>
      <c r="U82" s="608"/>
      <c r="V82" s="608"/>
      <c r="W82" s="608"/>
      <c r="X82" s="608"/>
      <c r="Y82" s="608"/>
    </row>
    <row r="83" spans="2:25" s="343" customFormat="1">
      <c r="B83" s="1144"/>
      <c r="C83" s="600"/>
      <c r="D83" s="600"/>
      <c r="E83" s="614"/>
      <c r="F83" s="614"/>
      <c r="G83" s="614"/>
      <c r="H83" s="614"/>
      <c r="I83" s="614"/>
      <c r="J83" s="600"/>
      <c r="K83" s="600"/>
      <c r="L83" s="600"/>
      <c r="S83" s="608"/>
      <c r="T83" s="608"/>
      <c r="U83" s="608"/>
      <c r="V83" s="608"/>
      <c r="W83" s="608"/>
      <c r="X83" s="608"/>
      <c r="Y83" s="608"/>
    </row>
    <row r="84" spans="2:25" s="343" customFormat="1">
      <c r="B84" s="1144"/>
      <c r="C84" s="600"/>
      <c r="D84" s="600"/>
      <c r="E84" s="614"/>
      <c r="F84" s="614"/>
      <c r="G84" s="614"/>
      <c r="H84" s="614"/>
      <c r="I84" s="614"/>
      <c r="J84" s="600"/>
      <c r="K84" s="600"/>
      <c r="L84" s="600"/>
      <c r="S84" s="608"/>
      <c r="T84" s="608"/>
      <c r="U84" s="608"/>
      <c r="V84" s="608"/>
      <c r="W84" s="608"/>
      <c r="X84" s="608"/>
      <c r="Y84" s="608"/>
    </row>
    <row r="85" spans="2:25" s="343" customFormat="1">
      <c r="B85" s="1144"/>
      <c r="C85" s="600"/>
      <c r="D85" s="600"/>
      <c r="E85" s="614"/>
      <c r="F85" s="614"/>
      <c r="G85" s="614"/>
      <c r="H85" s="614"/>
      <c r="I85" s="614"/>
      <c r="J85" s="600"/>
      <c r="K85" s="600"/>
      <c r="L85" s="600"/>
      <c r="S85" s="608"/>
      <c r="T85" s="608"/>
      <c r="U85" s="608"/>
      <c r="V85" s="608"/>
      <c r="W85" s="608"/>
      <c r="X85" s="608"/>
      <c r="Y85" s="608"/>
    </row>
    <row r="86" spans="2:25" s="343" customFormat="1">
      <c r="B86" s="1144"/>
      <c r="C86" s="600"/>
      <c r="D86" s="600"/>
      <c r="E86" s="614"/>
      <c r="F86" s="614"/>
      <c r="G86" s="614"/>
      <c r="H86" s="614"/>
      <c r="I86" s="614"/>
      <c r="J86" s="600"/>
      <c r="K86" s="600"/>
      <c r="L86" s="600"/>
      <c r="S86" s="608"/>
      <c r="T86" s="608"/>
      <c r="U86" s="608"/>
      <c r="V86" s="608"/>
      <c r="W86" s="608"/>
      <c r="X86" s="608"/>
      <c r="Y86" s="608"/>
    </row>
    <row r="87" spans="2:25" s="343" customFormat="1">
      <c r="B87" s="1144"/>
      <c r="C87" s="600"/>
      <c r="D87" s="600"/>
      <c r="E87" s="614"/>
      <c r="F87" s="614"/>
      <c r="G87" s="614"/>
      <c r="H87" s="614"/>
      <c r="I87" s="614"/>
      <c r="J87" s="600"/>
      <c r="K87" s="600"/>
      <c r="L87" s="600"/>
      <c r="S87" s="608"/>
      <c r="T87" s="608"/>
      <c r="U87" s="608"/>
      <c r="V87" s="608"/>
      <c r="W87" s="608"/>
      <c r="X87" s="608"/>
      <c r="Y87" s="608"/>
    </row>
    <row r="88" spans="2:25" s="343" customFormat="1">
      <c r="B88" s="1144"/>
      <c r="C88" s="600"/>
      <c r="D88" s="600"/>
      <c r="E88" s="614"/>
      <c r="F88" s="614"/>
      <c r="G88" s="614"/>
      <c r="H88" s="614"/>
      <c r="I88" s="614"/>
      <c r="J88" s="600"/>
      <c r="K88" s="600"/>
      <c r="L88" s="600"/>
      <c r="S88" s="608"/>
      <c r="T88" s="608"/>
      <c r="U88" s="608"/>
      <c r="V88" s="608"/>
      <c r="W88" s="608"/>
      <c r="X88" s="608"/>
      <c r="Y88" s="608"/>
    </row>
    <row r="89" spans="2:25" s="343" customFormat="1">
      <c r="B89" s="1144"/>
      <c r="C89" s="600"/>
      <c r="D89" s="600"/>
      <c r="E89" s="614"/>
      <c r="F89" s="614"/>
      <c r="G89" s="614"/>
      <c r="H89" s="614"/>
      <c r="I89" s="614"/>
      <c r="J89" s="600"/>
      <c r="K89" s="600"/>
      <c r="L89" s="600"/>
      <c r="S89" s="608"/>
      <c r="T89" s="608"/>
      <c r="U89" s="608"/>
      <c r="V89" s="608"/>
      <c r="W89" s="608"/>
      <c r="X89" s="608"/>
      <c r="Y89" s="608"/>
    </row>
    <row r="90" spans="2:25" s="343" customFormat="1">
      <c r="B90" s="1144"/>
      <c r="C90" s="600"/>
      <c r="D90" s="600"/>
      <c r="E90" s="614"/>
      <c r="F90" s="614"/>
      <c r="G90" s="614"/>
      <c r="H90" s="614"/>
      <c r="I90" s="614"/>
      <c r="J90" s="600"/>
      <c r="K90" s="600"/>
      <c r="L90" s="600"/>
      <c r="S90" s="608"/>
      <c r="T90" s="608"/>
      <c r="U90" s="608"/>
      <c r="V90" s="608"/>
      <c r="W90" s="608"/>
      <c r="X90" s="608"/>
      <c r="Y90" s="608"/>
    </row>
    <row r="91" spans="2:25" s="343" customFormat="1">
      <c r="B91" s="1144"/>
      <c r="C91" s="600"/>
      <c r="D91" s="600"/>
      <c r="E91" s="614"/>
      <c r="F91" s="614"/>
      <c r="G91" s="614"/>
      <c r="H91" s="614"/>
      <c r="I91" s="614"/>
      <c r="J91" s="600"/>
      <c r="K91" s="600"/>
      <c r="L91" s="600"/>
      <c r="S91" s="608"/>
      <c r="T91" s="608"/>
      <c r="U91" s="608"/>
      <c r="V91" s="608"/>
      <c r="W91" s="608"/>
      <c r="X91" s="608"/>
      <c r="Y91" s="608"/>
    </row>
    <row r="92" spans="2:25" s="343" customFormat="1">
      <c r="B92" s="1144"/>
      <c r="C92" s="600"/>
      <c r="D92" s="600"/>
      <c r="E92" s="614"/>
      <c r="F92" s="614"/>
      <c r="G92" s="614"/>
      <c r="H92" s="614"/>
      <c r="I92" s="614"/>
      <c r="J92" s="600"/>
      <c r="K92" s="600"/>
      <c r="L92" s="600"/>
      <c r="S92" s="608"/>
      <c r="T92" s="608"/>
      <c r="U92" s="608"/>
      <c r="V92" s="608"/>
      <c r="W92" s="608"/>
      <c r="X92" s="608"/>
      <c r="Y92" s="608"/>
    </row>
    <row r="93" spans="2:25" s="343" customFormat="1">
      <c r="B93" s="1144"/>
      <c r="C93" s="600"/>
      <c r="D93" s="600"/>
      <c r="E93" s="614"/>
      <c r="F93" s="614"/>
      <c r="G93" s="614"/>
      <c r="H93" s="614"/>
      <c r="I93" s="614"/>
      <c r="J93" s="600"/>
      <c r="K93" s="600"/>
      <c r="L93" s="600"/>
      <c r="S93" s="608"/>
      <c r="T93" s="608"/>
      <c r="U93" s="608"/>
      <c r="V93" s="608"/>
      <c r="W93" s="608"/>
      <c r="X93" s="608"/>
      <c r="Y93" s="608"/>
    </row>
    <row r="94" spans="2:25" s="343" customFormat="1">
      <c r="B94" s="1144"/>
      <c r="C94" s="600"/>
      <c r="D94" s="600"/>
      <c r="E94" s="614"/>
      <c r="F94" s="614"/>
      <c r="G94" s="614"/>
      <c r="H94" s="614"/>
      <c r="I94" s="614"/>
      <c r="J94" s="600"/>
      <c r="K94" s="600"/>
      <c r="L94" s="600"/>
      <c r="S94" s="608"/>
      <c r="T94" s="608"/>
      <c r="U94" s="608"/>
      <c r="V94" s="608"/>
      <c r="W94" s="608"/>
      <c r="X94" s="608"/>
      <c r="Y94" s="608"/>
    </row>
    <row r="95" spans="2:25" s="343" customFormat="1">
      <c r="B95" s="1144"/>
      <c r="C95" s="600"/>
      <c r="D95" s="600"/>
      <c r="E95" s="614"/>
      <c r="F95" s="614"/>
      <c r="G95" s="614"/>
      <c r="H95" s="614"/>
      <c r="I95" s="614"/>
      <c r="J95" s="600"/>
      <c r="K95" s="600"/>
      <c r="L95" s="600"/>
      <c r="S95" s="608"/>
      <c r="T95" s="608"/>
      <c r="U95" s="608"/>
      <c r="V95" s="608"/>
      <c r="W95" s="608"/>
      <c r="X95" s="608"/>
      <c r="Y95" s="608"/>
    </row>
    <row r="96" spans="2:25" s="343" customFormat="1">
      <c r="B96" s="1144"/>
      <c r="C96" s="600"/>
      <c r="D96" s="600"/>
      <c r="E96" s="614"/>
      <c r="F96" s="614"/>
      <c r="G96" s="614"/>
      <c r="H96" s="614"/>
      <c r="I96" s="614"/>
      <c r="J96" s="600"/>
      <c r="K96" s="600"/>
      <c r="L96" s="600"/>
      <c r="S96" s="608"/>
      <c r="T96" s="608"/>
      <c r="U96" s="608"/>
      <c r="V96" s="608"/>
      <c r="W96" s="608"/>
      <c r="X96" s="608"/>
      <c r="Y96" s="608"/>
    </row>
    <row r="97" spans="2:25" s="343" customFormat="1">
      <c r="B97" s="1144"/>
      <c r="C97" s="600"/>
      <c r="D97" s="600"/>
      <c r="E97" s="614"/>
      <c r="F97" s="614"/>
      <c r="G97" s="614"/>
      <c r="H97" s="614"/>
      <c r="I97" s="614"/>
      <c r="J97" s="600"/>
      <c r="K97" s="600"/>
      <c r="L97" s="600"/>
      <c r="S97" s="608"/>
      <c r="T97" s="608"/>
      <c r="U97" s="608"/>
      <c r="V97" s="608"/>
      <c r="W97" s="608"/>
      <c r="X97" s="608"/>
      <c r="Y97" s="608"/>
    </row>
    <row r="98" spans="2:25" s="343" customFormat="1">
      <c r="B98" s="1144"/>
      <c r="C98" s="600"/>
      <c r="D98" s="600"/>
      <c r="E98" s="614"/>
      <c r="F98" s="614"/>
      <c r="G98" s="614"/>
      <c r="H98" s="614"/>
      <c r="I98" s="614"/>
      <c r="J98" s="600"/>
      <c r="K98" s="600"/>
      <c r="L98" s="600"/>
      <c r="S98" s="608"/>
      <c r="T98" s="608"/>
      <c r="U98" s="608"/>
      <c r="V98" s="608"/>
      <c r="W98" s="608"/>
      <c r="X98" s="608"/>
      <c r="Y98" s="608"/>
    </row>
    <row r="99" spans="2:25" s="343" customFormat="1">
      <c r="B99" s="1144"/>
      <c r="C99" s="600"/>
      <c r="D99" s="600"/>
      <c r="E99" s="614"/>
      <c r="F99" s="614"/>
      <c r="G99" s="614"/>
      <c r="H99" s="614"/>
      <c r="I99" s="614"/>
      <c r="J99" s="600"/>
      <c r="K99" s="600"/>
      <c r="L99" s="600"/>
      <c r="S99" s="608"/>
      <c r="T99" s="608"/>
      <c r="U99" s="608"/>
      <c r="V99" s="608"/>
      <c r="W99" s="608"/>
      <c r="X99" s="608"/>
      <c r="Y99" s="608"/>
    </row>
    <row r="100" spans="2:25" s="343" customFormat="1">
      <c r="B100" s="1144"/>
      <c r="C100" s="600"/>
      <c r="D100" s="600"/>
      <c r="E100" s="614"/>
      <c r="F100" s="614"/>
      <c r="G100" s="614"/>
      <c r="H100" s="614"/>
      <c r="I100" s="614"/>
      <c r="J100" s="600"/>
      <c r="K100" s="600"/>
      <c r="L100" s="600"/>
      <c r="S100" s="608"/>
      <c r="T100" s="608"/>
      <c r="U100" s="608"/>
      <c r="V100" s="608"/>
      <c r="W100" s="608"/>
      <c r="X100" s="608"/>
      <c r="Y100" s="608"/>
    </row>
    <row r="101" spans="2:25" s="343" customFormat="1">
      <c r="B101" s="1144"/>
      <c r="C101" s="600"/>
      <c r="D101" s="600"/>
      <c r="E101" s="614"/>
      <c r="F101" s="614"/>
      <c r="G101" s="614"/>
      <c r="H101" s="614"/>
      <c r="I101" s="614"/>
      <c r="J101" s="600"/>
      <c r="K101" s="600"/>
      <c r="L101" s="600"/>
      <c r="S101" s="608"/>
      <c r="T101" s="608"/>
      <c r="U101" s="608"/>
      <c r="V101" s="608"/>
      <c r="W101" s="608"/>
      <c r="X101" s="608"/>
      <c r="Y101" s="608"/>
    </row>
    <row r="102" spans="2:25" s="343" customFormat="1">
      <c r="B102" s="1144"/>
      <c r="C102" s="600"/>
      <c r="D102" s="600"/>
      <c r="E102" s="614"/>
      <c r="F102" s="614"/>
      <c r="G102" s="614"/>
      <c r="H102" s="614"/>
      <c r="I102" s="614"/>
      <c r="J102" s="600"/>
      <c r="K102" s="600"/>
      <c r="L102" s="600"/>
      <c r="S102" s="608"/>
      <c r="T102" s="608"/>
      <c r="U102" s="608"/>
      <c r="V102" s="608"/>
      <c r="W102" s="608"/>
      <c r="X102" s="608"/>
      <c r="Y102" s="608"/>
    </row>
    <row r="103" spans="2:25" s="343" customFormat="1">
      <c r="B103" s="1144"/>
      <c r="C103" s="600"/>
      <c r="D103" s="600"/>
      <c r="E103" s="614"/>
      <c r="F103" s="614"/>
      <c r="G103" s="614"/>
      <c r="H103" s="614"/>
      <c r="I103" s="614"/>
      <c r="J103" s="600"/>
      <c r="K103" s="600"/>
      <c r="L103" s="600"/>
      <c r="S103" s="608"/>
      <c r="T103" s="608"/>
      <c r="U103" s="608"/>
      <c r="V103" s="608"/>
      <c r="W103" s="608"/>
      <c r="X103" s="608"/>
      <c r="Y103" s="608"/>
    </row>
    <row r="104" spans="2:25" s="343" customFormat="1">
      <c r="B104" s="1144"/>
      <c r="C104" s="600"/>
      <c r="D104" s="600"/>
      <c r="E104" s="614"/>
      <c r="F104" s="614"/>
      <c r="G104" s="614"/>
      <c r="H104" s="614"/>
      <c r="I104" s="614"/>
      <c r="J104" s="600"/>
      <c r="K104" s="600"/>
      <c r="L104" s="600"/>
      <c r="S104" s="608"/>
      <c r="T104" s="608"/>
      <c r="U104" s="608"/>
      <c r="V104" s="608"/>
      <c r="W104" s="608"/>
      <c r="X104" s="608"/>
      <c r="Y104" s="608"/>
    </row>
    <row r="105" spans="2:25" s="343" customFormat="1">
      <c r="B105" s="1144"/>
      <c r="C105" s="600"/>
      <c r="D105" s="600"/>
      <c r="E105" s="614"/>
      <c r="F105" s="614"/>
      <c r="G105" s="614"/>
      <c r="H105" s="614"/>
      <c r="I105" s="614"/>
      <c r="J105" s="600"/>
      <c r="K105" s="600"/>
      <c r="L105" s="600"/>
      <c r="S105" s="608"/>
      <c r="T105" s="608"/>
      <c r="U105" s="608"/>
      <c r="V105" s="608"/>
      <c r="W105" s="608"/>
      <c r="X105" s="608"/>
      <c r="Y105" s="608"/>
    </row>
    <row r="106" spans="2:25" s="343" customFormat="1">
      <c r="B106" s="1144"/>
      <c r="C106" s="600"/>
      <c r="D106" s="600"/>
      <c r="E106" s="614"/>
      <c r="F106" s="614"/>
      <c r="G106" s="614"/>
      <c r="H106" s="614"/>
      <c r="I106" s="614"/>
      <c r="J106" s="600"/>
      <c r="K106" s="600"/>
      <c r="L106" s="600"/>
      <c r="S106" s="608"/>
      <c r="T106" s="608"/>
      <c r="U106" s="608"/>
      <c r="V106" s="608"/>
      <c r="W106" s="608"/>
      <c r="X106" s="608"/>
      <c r="Y106" s="608"/>
    </row>
    <row r="107" spans="2:25" s="343" customFormat="1">
      <c r="B107" s="1144"/>
      <c r="C107" s="600"/>
      <c r="D107" s="600"/>
      <c r="E107" s="614"/>
      <c r="F107" s="614"/>
      <c r="G107" s="614"/>
      <c r="H107" s="614"/>
      <c r="I107" s="614"/>
      <c r="J107" s="600"/>
      <c r="K107" s="600"/>
      <c r="L107" s="600"/>
      <c r="S107" s="608"/>
      <c r="T107" s="608"/>
      <c r="U107" s="608"/>
      <c r="V107" s="608"/>
      <c r="W107" s="608"/>
      <c r="X107" s="608"/>
      <c r="Y107" s="608"/>
    </row>
    <row r="108" spans="2:25" s="343" customFormat="1">
      <c r="B108" s="1144"/>
      <c r="C108" s="600"/>
      <c r="D108" s="600"/>
      <c r="E108" s="614"/>
      <c r="F108" s="614"/>
      <c r="G108" s="614"/>
      <c r="H108" s="614"/>
      <c r="I108" s="614"/>
      <c r="J108" s="600"/>
      <c r="K108" s="600"/>
      <c r="L108" s="600"/>
      <c r="S108" s="608"/>
      <c r="T108" s="608"/>
      <c r="U108" s="608"/>
      <c r="V108" s="608"/>
      <c r="W108" s="608"/>
      <c r="X108" s="608"/>
      <c r="Y108" s="608"/>
    </row>
    <row r="109" spans="2:25" s="343" customFormat="1">
      <c r="B109" s="1144"/>
      <c r="C109" s="600"/>
      <c r="D109" s="600"/>
      <c r="E109" s="614"/>
      <c r="F109" s="614"/>
      <c r="G109" s="614"/>
      <c r="H109" s="614"/>
      <c r="I109" s="614"/>
      <c r="J109" s="600"/>
      <c r="K109" s="600"/>
      <c r="L109" s="600"/>
      <c r="S109" s="608"/>
      <c r="T109" s="608"/>
      <c r="U109" s="608"/>
      <c r="V109" s="608"/>
      <c r="W109" s="608"/>
      <c r="X109" s="608"/>
      <c r="Y109" s="608"/>
    </row>
    <row r="110" spans="2:25" s="343" customFormat="1">
      <c r="B110" s="1144"/>
      <c r="C110" s="600"/>
      <c r="D110" s="600"/>
      <c r="E110" s="614"/>
      <c r="F110" s="614"/>
      <c r="G110" s="614"/>
      <c r="H110" s="614"/>
      <c r="I110" s="614"/>
      <c r="J110" s="600"/>
      <c r="K110" s="600"/>
      <c r="L110" s="600"/>
      <c r="S110" s="608"/>
      <c r="T110" s="608"/>
      <c r="U110" s="608"/>
      <c r="V110" s="608"/>
      <c r="W110" s="608"/>
      <c r="X110" s="608"/>
      <c r="Y110" s="608"/>
    </row>
    <row r="111" spans="2:25" s="343" customFormat="1">
      <c r="B111" s="1144"/>
      <c r="C111" s="600"/>
      <c r="D111" s="600"/>
      <c r="E111" s="614"/>
      <c r="F111" s="614"/>
      <c r="G111" s="614"/>
      <c r="H111" s="614"/>
      <c r="I111" s="614"/>
      <c r="J111" s="600"/>
      <c r="K111" s="600"/>
      <c r="L111" s="600"/>
      <c r="S111" s="608"/>
      <c r="T111" s="608"/>
      <c r="U111" s="608"/>
      <c r="V111" s="608"/>
      <c r="W111" s="608"/>
      <c r="X111" s="608"/>
      <c r="Y111" s="608"/>
    </row>
    <row r="112" spans="2:25" s="343" customFormat="1">
      <c r="B112" s="1144"/>
      <c r="C112" s="600"/>
      <c r="D112" s="600"/>
      <c r="E112" s="614"/>
      <c r="F112" s="614"/>
      <c r="G112" s="614"/>
      <c r="H112" s="614"/>
      <c r="I112" s="614"/>
      <c r="J112" s="600"/>
      <c r="K112" s="600"/>
      <c r="L112" s="600"/>
      <c r="S112" s="608"/>
      <c r="T112" s="608"/>
      <c r="U112" s="608"/>
      <c r="V112" s="608"/>
      <c r="W112" s="608"/>
      <c r="X112" s="608"/>
      <c r="Y112" s="608"/>
    </row>
    <row r="113" spans="2:25" s="343" customFormat="1">
      <c r="B113" s="1144"/>
      <c r="C113" s="600"/>
      <c r="D113" s="600"/>
      <c r="E113" s="614"/>
      <c r="F113" s="614"/>
      <c r="G113" s="614"/>
      <c r="H113" s="614"/>
      <c r="I113" s="614"/>
      <c r="J113" s="600"/>
      <c r="K113" s="600"/>
      <c r="L113" s="600"/>
      <c r="S113" s="608"/>
      <c r="T113" s="608"/>
      <c r="U113" s="608"/>
      <c r="V113" s="608"/>
      <c r="W113" s="608"/>
      <c r="X113" s="608"/>
      <c r="Y113" s="608"/>
    </row>
    <row r="114" spans="2:25" s="343" customFormat="1">
      <c r="B114" s="1144"/>
      <c r="C114" s="600"/>
      <c r="D114" s="600"/>
      <c r="E114" s="614"/>
      <c r="F114" s="614"/>
      <c r="G114" s="614"/>
      <c r="H114" s="614"/>
      <c r="I114" s="614"/>
      <c r="J114" s="600"/>
      <c r="K114" s="600"/>
      <c r="L114" s="600"/>
      <c r="S114" s="608"/>
      <c r="T114" s="608"/>
      <c r="U114" s="608"/>
      <c r="V114" s="608"/>
      <c r="W114" s="608"/>
      <c r="X114" s="608"/>
      <c r="Y114" s="608"/>
    </row>
    <row r="115" spans="2:25" s="343" customFormat="1">
      <c r="B115" s="1144"/>
      <c r="C115" s="600"/>
      <c r="D115" s="600"/>
      <c r="E115" s="614"/>
      <c r="F115" s="614"/>
      <c r="G115" s="614"/>
      <c r="H115" s="614"/>
      <c r="I115" s="614"/>
      <c r="J115" s="600"/>
      <c r="K115" s="600"/>
      <c r="L115" s="600"/>
      <c r="S115" s="608"/>
      <c r="T115" s="608"/>
      <c r="U115" s="608"/>
      <c r="V115" s="608"/>
      <c r="W115" s="608"/>
      <c r="X115" s="608"/>
      <c r="Y115" s="608"/>
    </row>
    <row r="116" spans="2:25" s="343" customFormat="1">
      <c r="B116" s="1144"/>
      <c r="C116" s="600"/>
      <c r="D116" s="600"/>
      <c r="E116" s="614"/>
      <c r="F116" s="614"/>
      <c r="G116" s="614"/>
      <c r="H116" s="614"/>
      <c r="I116" s="614"/>
      <c r="J116" s="600"/>
      <c r="K116" s="600"/>
      <c r="L116" s="600"/>
      <c r="S116" s="608"/>
      <c r="T116" s="608"/>
      <c r="U116" s="608"/>
      <c r="V116" s="608"/>
      <c r="W116" s="608"/>
      <c r="X116" s="608"/>
      <c r="Y116" s="608"/>
    </row>
    <row r="117" spans="2:25" s="343" customFormat="1">
      <c r="B117" s="1144"/>
      <c r="C117" s="600"/>
      <c r="D117" s="600"/>
      <c r="E117" s="614"/>
      <c r="F117" s="614"/>
      <c r="G117" s="614"/>
      <c r="H117" s="614"/>
      <c r="I117" s="614"/>
      <c r="J117" s="600"/>
      <c r="K117" s="600"/>
      <c r="L117" s="600"/>
      <c r="S117" s="608"/>
      <c r="T117" s="608"/>
      <c r="U117" s="608"/>
      <c r="V117" s="608"/>
      <c r="W117" s="608"/>
      <c r="X117" s="608"/>
      <c r="Y117" s="608"/>
    </row>
    <row r="118" spans="2:25" s="343" customFormat="1">
      <c r="B118" s="1144"/>
      <c r="C118" s="600"/>
      <c r="D118" s="600"/>
      <c r="E118" s="614"/>
      <c r="F118" s="614"/>
      <c r="G118" s="614"/>
      <c r="H118" s="614"/>
      <c r="I118" s="614"/>
      <c r="J118" s="600"/>
      <c r="K118" s="600"/>
      <c r="L118" s="600"/>
      <c r="S118" s="608"/>
      <c r="T118" s="608"/>
      <c r="U118" s="608"/>
      <c r="V118" s="608"/>
      <c r="W118" s="608"/>
      <c r="X118" s="608"/>
      <c r="Y118" s="608"/>
    </row>
    <row r="119" spans="2:25" s="343" customFormat="1">
      <c r="B119" s="1144"/>
      <c r="C119" s="600"/>
      <c r="D119" s="600"/>
      <c r="E119" s="614"/>
      <c r="F119" s="614"/>
      <c r="G119" s="614"/>
      <c r="H119" s="614"/>
      <c r="I119" s="614"/>
      <c r="J119" s="600"/>
      <c r="K119" s="600"/>
      <c r="L119" s="600"/>
      <c r="S119" s="608"/>
      <c r="T119" s="608"/>
      <c r="U119" s="608"/>
      <c r="V119" s="608"/>
      <c r="W119" s="608"/>
      <c r="X119" s="608"/>
      <c r="Y119" s="608"/>
    </row>
    <row r="120" spans="2:25" s="343" customFormat="1">
      <c r="B120" s="1144"/>
      <c r="C120" s="600"/>
      <c r="D120" s="600"/>
      <c r="E120" s="614"/>
      <c r="F120" s="614"/>
      <c r="G120" s="614"/>
      <c r="H120" s="614"/>
      <c r="I120" s="614"/>
      <c r="J120" s="600"/>
      <c r="K120" s="600"/>
      <c r="L120" s="600"/>
      <c r="S120" s="608"/>
      <c r="T120" s="608"/>
      <c r="U120" s="608"/>
      <c r="V120" s="608"/>
      <c r="W120" s="608"/>
      <c r="X120" s="608"/>
      <c r="Y120" s="608"/>
    </row>
    <row r="121" spans="2:25" s="343" customFormat="1">
      <c r="B121" s="1144"/>
      <c r="C121" s="600"/>
      <c r="D121" s="600"/>
      <c r="E121" s="614"/>
      <c r="F121" s="614"/>
      <c r="G121" s="614"/>
      <c r="H121" s="614"/>
      <c r="I121" s="614"/>
      <c r="J121" s="600"/>
      <c r="K121" s="600"/>
      <c r="L121" s="600"/>
      <c r="S121" s="608"/>
      <c r="T121" s="608"/>
      <c r="U121" s="608"/>
      <c r="V121" s="608"/>
      <c r="W121" s="608"/>
      <c r="X121" s="608"/>
      <c r="Y121" s="608"/>
    </row>
    <row r="122" spans="2:25" s="343" customFormat="1">
      <c r="B122" s="1144"/>
      <c r="C122" s="600"/>
      <c r="D122" s="600"/>
      <c r="E122" s="614"/>
      <c r="F122" s="614"/>
      <c r="G122" s="614"/>
      <c r="H122" s="614"/>
      <c r="I122" s="614"/>
      <c r="J122" s="600"/>
      <c r="K122" s="600"/>
      <c r="L122" s="600"/>
      <c r="S122" s="608"/>
      <c r="T122" s="608"/>
      <c r="U122" s="608"/>
      <c r="V122" s="608"/>
      <c r="W122" s="608"/>
      <c r="X122" s="608"/>
      <c r="Y122" s="608"/>
    </row>
    <row r="123" spans="2:25" s="343" customFormat="1">
      <c r="B123" s="1144"/>
      <c r="C123" s="600"/>
      <c r="D123" s="600"/>
      <c r="E123" s="614"/>
      <c r="F123" s="614"/>
      <c r="G123" s="614"/>
      <c r="H123" s="614"/>
      <c r="I123" s="614"/>
      <c r="J123" s="600"/>
      <c r="K123" s="600"/>
      <c r="L123" s="600"/>
      <c r="S123" s="608"/>
      <c r="T123" s="608"/>
      <c r="U123" s="608"/>
      <c r="V123" s="608"/>
      <c r="W123" s="608"/>
      <c r="X123" s="608"/>
      <c r="Y123" s="608"/>
    </row>
    <row r="124" spans="2:25" s="343" customFormat="1">
      <c r="B124" s="1144"/>
      <c r="C124" s="600"/>
      <c r="D124" s="600"/>
      <c r="E124" s="614"/>
      <c r="F124" s="614"/>
      <c r="G124" s="614"/>
      <c r="H124" s="614"/>
      <c r="I124" s="614"/>
      <c r="J124" s="600"/>
      <c r="K124" s="600"/>
      <c r="L124" s="600"/>
      <c r="S124" s="608"/>
      <c r="T124" s="608"/>
      <c r="U124" s="608"/>
      <c r="V124" s="608"/>
      <c r="W124" s="608"/>
      <c r="X124" s="608"/>
      <c r="Y124" s="608"/>
    </row>
    <row r="125" spans="2:25" s="343" customFormat="1">
      <c r="B125" s="1144"/>
      <c r="C125" s="600"/>
      <c r="D125" s="600"/>
      <c r="E125" s="614"/>
      <c r="F125" s="614"/>
      <c r="G125" s="614"/>
      <c r="H125" s="614"/>
      <c r="I125" s="614"/>
      <c r="J125" s="600"/>
      <c r="K125" s="600"/>
      <c r="L125" s="600"/>
      <c r="S125" s="608"/>
      <c r="T125" s="608"/>
      <c r="U125" s="608"/>
      <c r="V125" s="608"/>
      <c r="W125" s="608"/>
      <c r="X125" s="608"/>
      <c r="Y125" s="608"/>
    </row>
    <row r="126" spans="2:25" s="343" customFormat="1">
      <c r="B126" s="1144"/>
      <c r="C126" s="600"/>
      <c r="D126" s="600"/>
      <c r="E126" s="614"/>
      <c r="F126" s="614"/>
      <c r="G126" s="614"/>
      <c r="H126" s="614"/>
      <c r="I126" s="614"/>
      <c r="J126" s="600"/>
      <c r="K126" s="600"/>
      <c r="L126" s="600"/>
      <c r="S126" s="608"/>
      <c r="T126" s="608"/>
      <c r="U126" s="608"/>
      <c r="V126" s="608"/>
      <c r="W126" s="608"/>
      <c r="X126" s="608"/>
      <c r="Y126" s="608"/>
    </row>
    <row r="127" spans="2:25" s="343" customFormat="1">
      <c r="B127" s="1144"/>
      <c r="C127" s="600"/>
      <c r="D127" s="600"/>
      <c r="E127" s="614"/>
      <c r="F127" s="614"/>
      <c r="G127" s="614"/>
      <c r="H127" s="614"/>
      <c r="I127" s="614"/>
      <c r="J127" s="600"/>
      <c r="K127" s="600"/>
      <c r="L127" s="600"/>
      <c r="S127" s="608"/>
      <c r="T127" s="608"/>
      <c r="U127" s="608"/>
      <c r="V127" s="608"/>
      <c r="W127" s="608"/>
      <c r="X127" s="608"/>
      <c r="Y127" s="608"/>
    </row>
    <row r="128" spans="2:25" s="343" customFormat="1">
      <c r="B128" s="1144"/>
      <c r="C128" s="600"/>
      <c r="D128" s="600"/>
      <c r="E128" s="614"/>
      <c r="F128" s="614"/>
      <c r="G128" s="614"/>
      <c r="H128" s="614"/>
      <c r="I128" s="614"/>
      <c r="J128" s="600"/>
      <c r="K128" s="600"/>
      <c r="L128" s="600"/>
      <c r="S128" s="608"/>
      <c r="T128" s="608"/>
      <c r="U128" s="608"/>
      <c r="V128" s="608"/>
      <c r="W128" s="608"/>
      <c r="X128" s="608"/>
      <c r="Y128" s="608"/>
    </row>
    <row r="129" spans="2:25" s="343" customFormat="1">
      <c r="B129" s="1144"/>
      <c r="C129" s="600"/>
      <c r="D129" s="600"/>
      <c r="E129" s="614"/>
      <c r="F129" s="614"/>
      <c r="G129" s="614"/>
      <c r="H129" s="614"/>
      <c r="I129" s="614"/>
      <c r="J129" s="600"/>
      <c r="K129" s="600"/>
      <c r="L129" s="600"/>
      <c r="S129" s="608"/>
      <c r="T129" s="608"/>
      <c r="U129" s="608"/>
      <c r="V129" s="608"/>
      <c r="W129" s="608"/>
      <c r="X129" s="608"/>
      <c r="Y129" s="608"/>
    </row>
    <row r="130" spans="2:25" s="343" customFormat="1">
      <c r="B130" s="1144"/>
      <c r="C130" s="600"/>
      <c r="D130" s="600"/>
      <c r="E130" s="614"/>
      <c r="F130" s="614"/>
      <c r="G130" s="614"/>
      <c r="H130" s="614"/>
      <c r="I130" s="614"/>
      <c r="J130" s="600"/>
      <c r="K130" s="600"/>
      <c r="L130" s="600"/>
      <c r="S130" s="608"/>
      <c r="T130" s="608"/>
      <c r="U130" s="608"/>
      <c r="V130" s="608"/>
      <c r="W130" s="608"/>
      <c r="X130" s="608"/>
      <c r="Y130" s="608"/>
    </row>
    <row r="131" spans="2:25" s="343" customFormat="1">
      <c r="B131" s="1144"/>
      <c r="C131" s="600"/>
      <c r="D131" s="600"/>
      <c r="E131" s="614"/>
      <c r="F131" s="614"/>
      <c r="G131" s="614"/>
      <c r="H131" s="614"/>
      <c r="I131" s="614"/>
      <c r="J131" s="600"/>
      <c r="K131" s="600"/>
      <c r="L131" s="600"/>
      <c r="S131" s="608"/>
      <c r="T131" s="608"/>
      <c r="U131" s="608"/>
      <c r="V131" s="608"/>
      <c r="W131" s="608"/>
      <c r="X131" s="608"/>
      <c r="Y131" s="608"/>
    </row>
    <row r="132" spans="2:25" s="343" customFormat="1">
      <c r="B132" s="1144"/>
      <c r="C132" s="600"/>
      <c r="D132" s="600"/>
      <c r="E132" s="614"/>
      <c r="F132" s="614"/>
      <c r="G132" s="614"/>
      <c r="H132" s="614"/>
      <c r="I132" s="614"/>
      <c r="J132" s="600"/>
      <c r="K132" s="600"/>
      <c r="L132" s="600"/>
      <c r="S132" s="608"/>
      <c r="T132" s="608"/>
      <c r="U132" s="608"/>
      <c r="V132" s="608"/>
      <c r="W132" s="608"/>
      <c r="X132" s="608"/>
      <c r="Y132" s="608"/>
    </row>
    <row r="133" spans="2:25" s="343" customFormat="1">
      <c r="B133" s="1144"/>
      <c r="C133" s="600"/>
      <c r="D133" s="600"/>
      <c r="E133" s="614"/>
      <c r="F133" s="614"/>
      <c r="G133" s="614"/>
      <c r="H133" s="614"/>
      <c r="I133" s="614"/>
      <c r="J133" s="600"/>
      <c r="K133" s="600"/>
      <c r="L133" s="600"/>
      <c r="S133" s="608"/>
      <c r="T133" s="608"/>
      <c r="U133" s="608"/>
      <c r="V133" s="608"/>
      <c r="W133" s="608"/>
      <c r="X133" s="608"/>
      <c r="Y133" s="608"/>
    </row>
    <row r="134" spans="2:25" s="343" customFormat="1">
      <c r="B134" s="1144"/>
      <c r="C134" s="600"/>
      <c r="D134" s="600"/>
      <c r="E134" s="614"/>
      <c r="F134" s="614"/>
      <c r="G134" s="614"/>
      <c r="H134" s="614"/>
      <c r="I134" s="614"/>
      <c r="J134" s="600"/>
      <c r="K134" s="600"/>
      <c r="L134" s="600"/>
      <c r="S134" s="608"/>
      <c r="T134" s="608"/>
      <c r="U134" s="608"/>
      <c r="V134" s="608"/>
      <c r="W134" s="608"/>
      <c r="X134" s="608"/>
      <c r="Y134" s="608"/>
    </row>
    <row r="135" spans="2:25" s="343" customFormat="1">
      <c r="B135" s="1144"/>
      <c r="C135" s="600"/>
      <c r="D135" s="600"/>
      <c r="E135" s="614"/>
      <c r="F135" s="614"/>
      <c r="G135" s="614"/>
      <c r="H135" s="614"/>
      <c r="I135" s="614"/>
      <c r="J135" s="600"/>
      <c r="K135" s="600"/>
      <c r="L135" s="600"/>
      <c r="S135" s="608"/>
      <c r="T135" s="608"/>
      <c r="U135" s="608"/>
      <c r="V135" s="608"/>
      <c r="W135" s="608"/>
      <c r="X135" s="608"/>
      <c r="Y135" s="608"/>
    </row>
    <row r="136" spans="2:25" s="343" customFormat="1">
      <c r="B136" s="1144"/>
      <c r="C136" s="600"/>
      <c r="D136" s="600"/>
      <c r="E136" s="614"/>
      <c r="F136" s="614"/>
      <c r="G136" s="614"/>
      <c r="H136" s="614"/>
      <c r="I136" s="614"/>
      <c r="J136" s="600"/>
      <c r="K136" s="600"/>
      <c r="L136" s="600"/>
      <c r="S136" s="608"/>
      <c r="T136" s="608"/>
      <c r="U136" s="608"/>
      <c r="V136" s="608"/>
      <c r="W136" s="608"/>
      <c r="X136" s="608"/>
      <c r="Y136" s="608"/>
    </row>
    <row r="137" spans="2:25" s="343" customFormat="1">
      <c r="B137" s="1144"/>
      <c r="C137" s="600"/>
      <c r="D137" s="600"/>
      <c r="E137" s="614"/>
      <c r="F137" s="614"/>
      <c r="G137" s="614"/>
      <c r="H137" s="614"/>
      <c r="I137" s="614"/>
      <c r="J137" s="600"/>
      <c r="K137" s="600"/>
      <c r="L137" s="600"/>
      <c r="S137" s="608"/>
      <c r="T137" s="608"/>
      <c r="U137" s="608"/>
      <c r="V137" s="608"/>
      <c r="W137" s="608"/>
      <c r="X137" s="608"/>
      <c r="Y137" s="608"/>
    </row>
    <row r="138" spans="2:25" s="343" customFormat="1">
      <c r="B138" s="1144"/>
      <c r="C138" s="600"/>
      <c r="D138" s="600"/>
      <c r="E138" s="614"/>
      <c r="F138" s="614"/>
      <c r="G138" s="614"/>
      <c r="H138" s="614"/>
      <c r="I138" s="614"/>
      <c r="J138" s="600"/>
      <c r="K138" s="600"/>
      <c r="L138" s="600"/>
      <c r="S138" s="608"/>
      <c r="T138" s="608"/>
      <c r="U138" s="608"/>
      <c r="V138" s="608"/>
      <c r="W138" s="608"/>
      <c r="X138" s="608"/>
      <c r="Y138" s="608"/>
    </row>
    <row r="139" spans="2:25" s="343" customFormat="1">
      <c r="B139" s="1144"/>
      <c r="C139" s="600"/>
      <c r="D139" s="600"/>
      <c r="E139" s="614"/>
      <c r="F139" s="614"/>
      <c r="G139" s="614"/>
      <c r="H139" s="614"/>
      <c r="I139" s="614"/>
      <c r="J139" s="600"/>
      <c r="K139" s="600"/>
      <c r="L139" s="600"/>
      <c r="S139" s="608"/>
      <c r="T139" s="608"/>
      <c r="U139" s="608"/>
      <c r="V139" s="608"/>
      <c r="W139" s="608"/>
      <c r="X139" s="608"/>
      <c r="Y139" s="608"/>
    </row>
    <row r="140" spans="2:25" s="343" customFormat="1">
      <c r="B140" s="1144"/>
      <c r="C140" s="600"/>
      <c r="D140" s="600"/>
      <c r="E140" s="614"/>
      <c r="F140" s="614"/>
      <c r="G140" s="614"/>
      <c r="H140" s="614"/>
      <c r="I140" s="614"/>
      <c r="J140" s="600"/>
      <c r="K140" s="600"/>
      <c r="L140" s="600"/>
      <c r="S140" s="608"/>
      <c r="T140" s="608"/>
      <c r="U140" s="608"/>
      <c r="V140" s="608"/>
      <c r="W140" s="608"/>
      <c r="X140" s="608"/>
      <c r="Y140" s="608"/>
    </row>
    <row r="141" spans="2:25" s="343" customFormat="1">
      <c r="B141" s="1144"/>
      <c r="C141" s="600"/>
      <c r="D141" s="600"/>
      <c r="E141" s="614"/>
      <c r="F141" s="614"/>
      <c r="G141" s="614"/>
      <c r="H141" s="614"/>
      <c r="I141" s="614"/>
      <c r="J141" s="600"/>
      <c r="K141" s="600"/>
      <c r="L141" s="600"/>
      <c r="S141" s="608"/>
      <c r="T141" s="608"/>
      <c r="U141" s="608"/>
      <c r="V141" s="608"/>
      <c r="W141" s="608"/>
      <c r="X141" s="608"/>
      <c r="Y141" s="608"/>
    </row>
    <row r="142" spans="2:25" s="343" customFormat="1">
      <c r="B142" s="1144"/>
      <c r="C142" s="600"/>
      <c r="D142" s="600"/>
      <c r="E142" s="614"/>
      <c r="F142" s="614"/>
      <c r="G142" s="614"/>
      <c r="H142" s="614"/>
      <c r="I142" s="614"/>
      <c r="J142" s="600"/>
      <c r="K142" s="600"/>
      <c r="L142" s="600"/>
      <c r="S142" s="608"/>
      <c r="T142" s="608"/>
      <c r="U142" s="608"/>
      <c r="V142" s="608"/>
      <c r="W142" s="608"/>
      <c r="X142" s="608"/>
      <c r="Y142" s="608"/>
    </row>
    <row r="143" spans="2:25" s="343" customFormat="1">
      <c r="B143" s="1144"/>
      <c r="C143" s="600"/>
      <c r="D143" s="600"/>
      <c r="E143" s="614"/>
      <c r="F143" s="614"/>
      <c r="G143" s="614"/>
      <c r="H143" s="614"/>
      <c r="I143" s="614"/>
      <c r="J143" s="600"/>
      <c r="K143" s="600"/>
      <c r="L143" s="600"/>
      <c r="S143" s="608"/>
      <c r="T143" s="608"/>
      <c r="U143" s="608"/>
      <c r="V143" s="608"/>
      <c r="W143" s="608"/>
      <c r="X143" s="608"/>
      <c r="Y143" s="608"/>
    </row>
    <row r="144" spans="2:25" s="343" customFormat="1">
      <c r="B144" s="1144"/>
      <c r="C144" s="600"/>
      <c r="D144" s="600"/>
      <c r="E144" s="614"/>
      <c r="F144" s="614"/>
      <c r="G144" s="614"/>
      <c r="H144" s="614"/>
      <c r="I144" s="614"/>
      <c r="J144" s="600"/>
      <c r="K144" s="600"/>
      <c r="L144" s="600"/>
      <c r="S144" s="608"/>
      <c r="T144" s="608"/>
      <c r="U144" s="608"/>
      <c r="V144" s="608"/>
      <c r="W144" s="608"/>
      <c r="X144" s="608"/>
      <c r="Y144" s="608"/>
    </row>
    <row r="145" spans="2:25" s="343" customFormat="1">
      <c r="B145" s="1144"/>
      <c r="C145" s="600"/>
      <c r="D145" s="600"/>
      <c r="E145" s="614"/>
      <c r="F145" s="614"/>
      <c r="G145" s="614"/>
      <c r="H145" s="614"/>
      <c r="I145" s="614"/>
      <c r="J145" s="600"/>
      <c r="K145" s="600"/>
      <c r="L145" s="600"/>
      <c r="S145" s="608"/>
      <c r="T145" s="608"/>
      <c r="U145" s="608"/>
      <c r="V145" s="608"/>
      <c r="W145" s="608"/>
      <c r="X145" s="608"/>
      <c r="Y145" s="608"/>
    </row>
    <row r="146" spans="2:25" s="343" customFormat="1">
      <c r="B146" s="1144"/>
      <c r="C146" s="600"/>
      <c r="D146" s="600"/>
      <c r="E146" s="614"/>
      <c r="F146" s="614"/>
      <c r="G146" s="614"/>
      <c r="H146" s="614"/>
      <c r="I146" s="614"/>
      <c r="J146" s="600"/>
      <c r="K146" s="600"/>
      <c r="L146" s="600"/>
      <c r="S146" s="608"/>
      <c r="T146" s="608"/>
      <c r="U146" s="608"/>
      <c r="V146" s="608"/>
      <c r="W146" s="608"/>
      <c r="X146" s="608"/>
      <c r="Y146" s="608"/>
    </row>
    <row r="147" spans="2:25" s="343" customFormat="1">
      <c r="B147" s="1144"/>
      <c r="C147" s="600"/>
      <c r="D147" s="600"/>
      <c r="E147" s="614"/>
      <c r="F147" s="614"/>
      <c r="G147" s="614"/>
      <c r="H147" s="614"/>
      <c r="I147" s="614"/>
      <c r="J147" s="600"/>
      <c r="K147" s="600"/>
      <c r="L147" s="600"/>
      <c r="S147" s="608"/>
      <c r="T147" s="608"/>
      <c r="U147" s="608"/>
      <c r="V147" s="608"/>
      <c r="W147" s="608"/>
      <c r="X147" s="608"/>
      <c r="Y147" s="608"/>
    </row>
    <row r="148" spans="2:25" s="343" customFormat="1">
      <c r="B148" s="1144"/>
      <c r="C148" s="600"/>
      <c r="D148" s="600"/>
      <c r="E148" s="614"/>
      <c r="F148" s="614"/>
      <c r="G148" s="614"/>
      <c r="H148" s="614"/>
      <c r="I148" s="614"/>
      <c r="J148" s="600"/>
      <c r="K148" s="600"/>
      <c r="L148" s="600"/>
      <c r="S148" s="608"/>
      <c r="T148" s="608"/>
      <c r="U148" s="608"/>
      <c r="V148" s="608"/>
      <c r="W148" s="608"/>
      <c r="X148" s="608"/>
      <c r="Y148" s="608"/>
    </row>
    <row r="149" spans="2:25" s="343" customFormat="1">
      <c r="B149" s="1144"/>
      <c r="C149" s="600"/>
      <c r="D149" s="600"/>
      <c r="E149" s="614"/>
      <c r="F149" s="614"/>
      <c r="G149" s="614"/>
      <c r="H149" s="614"/>
      <c r="I149" s="614"/>
      <c r="J149" s="600"/>
      <c r="K149" s="600"/>
      <c r="L149" s="600"/>
      <c r="S149" s="608"/>
      <c r="T149" s="608"/>
      <c r="U149" s="608"/>
      <c r="V149" s="608"/>
      <c r="W149" s="608"/>
      <c r="X149" s="608"/>
      <c r="Y149" s="608"/>
    </row>
    <row r="150" spans="2:25" s="343" customFormat="1">
      <c r="B150" s="1144"/>
      <c r="C150" s="600"/>
      <c r="D150" s="600"/>
      <c r="E150" s="614"/>
      <c r="F150" s="614"/>
      <c r="G150" s="614"/>
      <c r="H150" s="614"/>
      <c r="I150" s="614"/>
      <c r="J150" s="600"/>
      <c r="K150" s="600"/>
      <c r="L150" s="600"/>
      <c r="S150" s="608"/>
      <c r="T150" s="608"/>
      <c r="U150" s="608"/>
      <c r="V150" s="608"/>
      <c r="W150" s="608"/>
      <c r="X150" s="608"/>
      <c r="Y150" s="608"/>
    </row>
    <row r="151" spans="2:25" s="343" customFormat="1">
      <c r="B151" s="1144"/>
      <c r="C151" s="600"/>
      <c r="D151" s="600"/>
      <c r="E151" s="614"/>
      <c r="F151" s="614"/>
      <c r="G151" s="614"/>
      <c r="H151" s="614"/>
      <c r="I151" s="614"/>
      <c r="J151" s="600"/>
      <c r="K151" s="600"/>
      <c r="L151" s="600"/>
      <c r="S151" s="608"/>
      <c r="T151" s="608"/>
      <c r="U151" s="608"/>
      <c r="V151" s="608"/>
      <c r="W151" s="608"/>
      <c r="X151" s="608"/>
      <c r="Y151" s="608"/>
    </row>
    <row r="152" spans="2:25" s="343" customFormat="1">
      <c r="B152" s="1144"/>
      <c r="C152" s="600"/>
      <c r="D152" s="600"/>
      <c r="E152" s="614"/>
      <c r="F152" s="614"/>
      <c r="G152" s="614"/>
      <c r="H152" s="614"/>
      <c r="I152" s="614"/>
      <c r="J152" s="600"/>
      <c r="K152" s="600"/>
      <c r="L152" s="600"/>
      <c r="S152" s="608"/>
      <c r="T152" s="608"/>
      <c r="U152" s="608"/>
      <c r="V152" s="608"/>
      <c r="W152" s="608"/>
      <c r="X152" s="608"/>
      <c r="Y152" s="608"/>
    </row>
    <row r="153" spans="2:25" s="343" customFormat="1">
      <c r="B153" s="1144"/>
      <c r="C153" s="600"/>
      <c r="D153" s="600"/>
      <c r="E153" s="614"/>
      <c r="F153" s="614"/>
      <c r="G153" s="614"/>
      <c r="H153" s="614"/>
      <c r="I153" s="614"/>
      <c r="J153" s="600"/>
      <c r="K153" s="600"/>
      <c r="L153" s="600"/>
      <c r="S153" s="608"/>
      <c r="T153" s="608"/>
      <c r="U153" s="608"/>
      <c r="V153" s="608"/>
      <c r="W153" s="608"/>
      <c r="X153" s="608"/>
      <c r="Y153" s="608"/>
    </row>
    <row r="154" spans="2:25" s="343" customFormat="1">
      <c r="B154" s="1144"/>
      <c r="C154" s="600"/>
      <c r="D154" s="600"/>
      <c r="E154" s="614"/>
      <c r="F154" s="614"/>
      <c r="G154" s="614"/>
      <c r="H154" s="614"/>
      <c r="I154" s="614"/>
      <c r="J154" s="600"/>
      <c r="K154" s="600"/>
      <c r="L154" s="600"/>
      <c r="S154" s="608"/>
      <c r="T154" s="608"/>
      <c r="U154" s="608"/>
      <c r="V154" s="608"/>
      <c r="W154" s="608"/>
      <c r="X154" s="608"/>
      <c r="Y154" s="608"/>
    </row>
    <row r="155" spans="2:25" s="343" customFormat="1">
      <c r="B155" s="1144"/>
      <c r="C155" s="600"/>
      <c r="D155" s="600"/>
      <c r="E155" s="614"/>
      <c r="F155" s="614"/>
      <c r="G155" s="614"/>
      <c r="H155" s="614"/>
      <c r="I155" s="614"/>
      <c r="J155" s="600"/>
      <c r="K155" s="600"/>
      <c r="L155" s="600"/>
      <c r="S155" s="608"/>
      <c r="T155" s="608"/>
      <c r="U155" s="608"/>
      <c r="V155" s="608"/>
      <c r="W155" s="608"/>
      <c r="X155" s="608"/>
      <c r="Y155" s="608"/>
    </row>
    <row r="156" spans="2:25" s="343" customFormat="1">
      <c r="B156" s="1144"/>
      <c r="C156" s="600"/>
      <c r="D156" s="600"/>
      <c r="E156" s="614"/>
      <c r="F156" s="614"/>
      <c r="G156" s="614"/>
      <c r="H156" s="614"/>
      <c r="I156" s="614"/>
      <c r="J156" s="600"/>
      <c r="K156" s="600"/>
      <c r="L156" s="600"/>
      <c r="S156" s="608"/>
      <c r="T156" s="608"/>
      <c r="U156" s="608"/>
      <c r="V156" s="608"/>
      <c r="W156" s="608"/>
      <c r="X156" s="608"/>
      <c r="Y156" s="608"/>
    </row>
    <row r="157" spans="2:25" s="343" customFormat="1">
      <c r="B157" s="1144"/>
      <c r="C157" s="600"/>
      <c r="D157" s="600"/>
      <c r="E157" s="614"/>
      <c r="F157" s="614"/>
      <c r="G157" s="614"/>
      <c r="H157" s="614"/>
      <c r="I157" s="614"/>
      <c r="J157" s="600"/>
      <c r="K157" s="600"/>
      <c r="L157" s="600"/>
      <c r="S157" s="608"/>
      <c r="T157" s="608"/>
      <c r="U157" s="608"/>
      <c r="V157" s="608"/>
      <c r="W157" s="608"/>
      <c r="X157" s="608"/>
      <c r="Y157" s="608"/>
    </row>
    <row r="158" spans="2:25" s="343" customFormat="1">
      <c r="B158" s="1144"/>
      <c r="C158" s="600"/>
      <c r="D158" s="600"/>
      <c r="E158" s="614"/>
      <c r="F158" s="614"/>
      <c r="G158" s="614"/>
      <c r="H158" s="614"/>
      <c r="I158" s="614"/>
      <c r="J158" s="600"/>
      <c r="K158" s="600"/>
      <c r="L158" s="600"/>
      <c r="S158" s="608"/>
      <c r="T158" s="608"/>
      <c r="U158" s="608"/>
      <c r="V158" s="608"/>
      <c r="W158" s="608"/>
      <c r="X158" s="608"/>
      <c r="Y158" s="608"/>
    </row>
    <row r="159" spans="2:25" s="343" customFormat="1">
      <c r="B159" s="1144"/>
      <c r="C159" s="600"/>
      <c r="D159" s="600"/>
      <c r="E159" s="614"/>
      <c r="F159" s="614"/>
      <c r="G159" s="614"/>
      <c r="H159" s="614"/>
      <c r="I159" s="614"/>
      <c r="J159" s="600"/>
      <c r="K159" s="600"/>
      <c r="L159" s="600"/>
      <c r="S159" s="608"/>
      <c r="T159" s="608"/>
      <c r="U159" s="608"/>
      <c r="V159" s="608"/>
      <c r="W159" s="608"/>
      <c r="X159" s="608"/>
      <c r="Y159" s="608"/>
    </row>
    <row r="160" spans="2:25" s="343" customFormat="1">
      <c r="B160" s="1144"/>
      <c r="C160" s="600"/>
      <c r="D160" s="600"/>
      <c r="E160" s="614"/>
      <c r="F160" s="614"/>
      <c r="G160" s="614"/>
      <c r="H160" s="614"/>
      <c r="I160" s="614"/>
      <c r="J160" s="600"/>
      <c r="K160" s="600"/>
      <c r="L160" s="600"/>
      <c r="S160" s="608"/>
      <c r="T160" s="608"/>
      <c r="U160" s="608"/>
      <c r="V160" s="608"/>
      <c r="W160" s="608"/>
      <c r="X160" s="608"/>
      <c r="Y160" s="608"/>
    </row>
    <row r="161" spans="2:25" s="343" customFormat="1">
      <c r="B161" s="1144"/>
      <c r="C161" s="600"/>
      <c r="D161" s="600"/>
      <c r="E161" s="614"/>
      <c r="F161" s="614"/>
      <c r="G161" s="614"/>
      <c r="H161" s="614"/>
      <c r="I161" s="614"/>
      <c r="J161" s="600"/>
      <c r="K161" s="600"/>
      <c r="L161" s="600"/>
      <c r="S161" s="608"/>
      <c r="T161" s="608"/>
      <c r="U161" s="608"/>
      <c r="V161" s="608"/>
      <c r="W161" s="608"/>
      <c r="X161" s="608"/>
      <c r="Y161" s="608"/>
    </row>
    <row r="162" spans="2:25" s="343" customFormat="1">
      <c r="B162" s="1144"/>
      <c r="C162" s="600"/>
      <c r="D162" s="600"/>
      <c r="E162" s="614"/>
      <c r="F162" s="614"/>
      <c r="G162" s="614"/>
      <c r="H162" s="614"/>
      <c r="I162" s="614"/>
      <c r="J162" s="600"/>
      <c r="K162" s="600"/>
      <c r="L162" s="600"/>
      <c r="S162" s="608"/>
      <c r="T162" s="608"/>
      <c r="U162" s="608"/>
      <c r="V162" s="608"/>
      <c r="W162" s="608"/>
      <c r="X162" s="608"/>
      <c r="Y162" s="608"/>
    </row>
    <row r="163" spans="2:25" s="343" customFormat="1">
      <c r="B163" s="1144"/>
      <c r="C163" s="600"/>
      <c r="D163" s="600"/>
      <c r="E163" s="614"/>
      <c r="F163" s="614"/>
      <c r="G163" s="614"/>
      <c r="H163" s="614"/>
      <c r="I163" s="614"/>
      <c r="J163" s="600"/>
      <c r="K163" s="600"/>
      <c r="L163" s="600"/>
      <c r="S163" s="608"/>
      <c r="T163" s="608"/>
      <c r="U163" s="608"/>
      <c r="V163" s="608"/>
      <c r="W163" s="608"/>
      <c r="X163" s="608"/>
      <c r="Y163" s="608"/>
    </row>
    <row r="164" spans="2:25" s="343" customFormat="1">
      <c r="B164" s="1144"/>
      <c r="C164" s="600"/>
      <c r="D164" s="600"/>
      <c r="E164" s="614"/>
      <c r="F164" s="614"/>
      <c r="G164" s="614"/>
      <c r="H164" s="614"/>
      <c r="I164" s="614"/>
      <c r="J164" s="600"/>
      <c r="K164" s="600"/>
      <c r="L164" s="600"/>
      <c r="S164" s="608"/>
      <c r="T164" s="608"/>
      <c r="U164" s="608"/>
      <c r="V164" s="608"/>
      <c r="W164" s="608"/>
      <c r="X164" s="608"/>
      <c r="Y164" s="608"/>
    </row>
    <row r="165" spans="2:25" s="343" customFormat="1">
      <c r="B165" s="1144"/>
      <c r="C165" s="600"/>
      <c r="D165" s="600"/>
      <c r="E165" s="614"/>
      <c r="F165" s="614"/>
      <c r="G165" s="614"/>
      <c r="H165" s="614"/>
      <c r="I165" s="614"/>
      <c r="J165" s="600"/>
      <c r="K165" s="600"/>
      <c r="L165" s="600"/>
      <c r="S165" s="608"/>
      <c r="T165" s="608"/>
      <c r="U165" s="608"/>
      <c r="V165" s="608"/>
      <c r="W165" s="608"/>
      <c r="X165" s="608"/>
      <c r="Y165" s="608"/>
    </row>
    <row r="166" spans="2:25" s="343" customFormat="1">
      <c r="B166" s="1144"/>
      <c r="C166" s="600"/>
      <c r="D166" s="600"/>
      <c r="E166" s="614"/>
      <c r="F166" s="614"/>
      <c r="G166" s="614"/>
      <c r="H166" s="614"/>
      <c r="I166" s="614"/>
      <c r="J166" s="600"/>
      <c r="K166" s="600"/>
      <c r="L166" s="600"/>
      <c r="S166" s="608"/>
      <c r="T166" s="608"/>
      <c r="U166" s="608"/>
      <c r="V166" s="608"/>
      <c r="W166" s="608"/>
      <c r="X166" s="608"/>
      <c r="Y166" s="608"/>
    </row>
    <row r="167" spans="2:25" s="343" customFormat="1">
      <c r="B167" s="1144"/>
      <c r="C167" s="600"/>
      <c r="D167" s="600"/>
      <c r="E167" s="614"/>
      <c r="F167" s="614"/>
      <c r="G167" s="614"/>
      <c r="H167" s="614"/>
      <c r="I167" s="614"/>
      <c r="J167" s="600"/>
      <c r="K167" s="600"/>
      <c r="L167" s="600"/>
      <c r="S167" s="608"/>
      <c r="T167" s="608"/>
      <c r="U167" s="608"/>
      <c r="V167" s="608"/>
      <c r="W167" s="608"/>
      <c r="X167" s="608"/>
      <c r="Y167" s="608"/>
    </row>
    <row r="168" spans="2:25" s="343" customFormat="1">
      <c r="B168" s="1144"/>
      <c r="C168" s="600"/>
      <c r="D168" s="600"/>
      <c r="E168" s="614"/>
      <c r="F168" s="614"/>
      <c r="G168" s="614"/>
      <c r="H168" s="614"/>
      <c r="I168" s="614"/>
      <c r="J168" s="600"/>
      <c r="K168" s="600"/>
      <c r="L168" s="600"/>
      <c r="S168" s="608"/>
      <c r="T168" s="608"/>
      <c r="U168" s="608"/>
      <c r="V168" s="608"/>
      <c r="W168" s="608"/>
      <c r="X168" s="608"/>
      <c r="Y168" s="608"/>
    </row>
    <row r="169" spans="2:25" s="343" customFormat="1">
      <c r="B169" s="1144"/>
      <c r="C169" s="600"/>
      <c r="D169" s="600"/>
      <c r="E169" s="614"/>
      <c r="F169" s="614"/>
      <c r="G169" s="614"/>
      <c r="H169" s="614"/>
      <c r="I169" s="614"/>
      <c r="J169" s="600"/>
      <c r="K169" s="600"/>
      <c r="L169" s="600"/>
      <c r="S169" s="608"/>
      <c r="T169" s="608"/>
      <c r="U169" s="608"/>
      <c r="V169" s="608"/>
      <c r="W169" s="608"/>
      <c r="X169" s="608"/>
      <c r="Y169" s="608"/>
    </row>
    <row r="170" spans="2:25" s="343" customFormat="1">
      <c r="B170" s="1144"/>
      <c r="C170" s="600"/>
      <c r="D170" s="600"/>
      <c r="E170" s="614"/>
      <c r="F170" s="614"/>
      <c r="G170" s="614"/>
      <c r="H170" s="614"/>
      <c r="I170" s="614"/>
      <c r="J170" s="600"/>
      <c r="K170" s="600"/>
      <c r="L170" s="600"/>
      <c r="S170" s="608"/>
      <c r="T170" s="608"/>
      <c r="U170" s="608"/>
      <c r="V170" s="608"/>
      <c r="W170" s="608"/>
      <c r="X170" s="608"/>
      <c r="Y170" s="608"/>
    </row>
    <row r="171" spans="2:25" s="343" customFormat="1">
      <c r="B171" s="1144"/>
      <c r="C171" s="600"/>
      <c r="D171" s="600"/>
      <c r="E171" s="614"/>
      <c r="F171" s="614"/>
      <c r="G171" s="614"/>
      <c r="H171" s="614"/>
      <c r="I171" s="614"/>
      <c r="J171" s="600"/>
      <c r="K171" s="600"/>
      <c r="L171" s="600"/>
      <c r="S171" s="608"/>
      <c r="T171" s="608"/>
      <c r="U171" s="608"/>
      <c r="V171" s="608"/>
      <c r="W171" s="608"/>
      <c r="X171" s="608"/>
      <c r="Y171" s="608"/>
    </row>
    <row r="172" spans="2:25" s="343" customFormat="1">
      <c r="B172" s="1144"/>
      <c r="C172" s="600"/>
      <c r="D172" s="600"/>
      <c r="E172" s="614"/>
      <c r="F172" s="614"/>
      <c r="G172" s="614"/>
      <c r="H172" s="614"/>
      <c r="I172" s="614"/>
      <c r="J172" s="600"/>
      <c r="K172" s="600"/>
      <c r="L172" s="600"/>
      <c r="S172" s="608"/>
      <c r="T172" s="608"/>
      <c r="U172" s="608"/>
      <c r="V172" s="608"/>
      <c r="W172" s="608"/>
      <c r="X172" s="608"/>
      <c r="Y172" s="608"/>
    </row>
    <row r="173" spans="2:25" s="343" customFormat="1">
      <c r="B173" s="1144"/>
      <c r="C173" s="600"/>
      <c r="D173" s="600"/>
      <c r="E173" s="614"/>
      <c r="F173" s="614"/>
      <c r="G173" s="614"/>
      <c r="H173" s="614"/>
      <c r="I173" s="614"/>
      <c r="J173" s="600"/>
      <c r="K173" s="600"/>
      <c r="L173" s="600"/>
      <c r="S173" s="608"/>
      <c r="T173" s="608"/>
      <c r="U173" s="608"/>
      <c r="V173" s="608"/>
      <c r="W173" s="608"/>
      <c r="X173" s="608"/>
      <c r="Y173" s="608"/>
    </row>
    <row r="174" spans="2:25" s="343" customFormat="1">
      <c r="B174" s="1144"/>
      <c r="C174" s="600"/>
      <c r="D174" s="600"/>
      <c r="E174" s="614"/>
      <c r="F174" s="614"/>
      <c r="G174" s="614"/>
      <c r="H174" s="614"/>
      <c r="I174" s="614"/>
      <c r="J174" s="600"/>
      <c r="K174" s="600"/>
      <c r="L174" s="600"/>
      <c r="S174" s="608"/>
      <c r="T174" s="608"/>
      <c r="U174" s="608"/>
      <c r="V174" s="608"/>
      <c r="W174" s="608"/>
      <c r="X174" s="608"/>
      <c r="Y174" s="608"/>
    </row>
    <row r="175" spans="2:25" s="343" customFormat="1">
      <c r="B175" s="1144"/>
      <c r="C175" s="600"/>
      <c r="D175" s="600"/>
      <c r="E175" s="614"/>
      <c r="F175" s="614"/>
      <c r="G175" s="614"/>
      <c r="H175" s="614"/>
      <c r="I175" s="614"/>
      <c r="J175" s="600"/>
      <c r="K175" s="600"/>
      <c r="L175" s="600"/>
      <c r="S175" s="608"/>
      <c r="T175" s="608"/>
      <c r="U175" s="608"/>
      <c r="V175" s="608"/>
      <c r="W175" s="608"/>
      <c r="X175" s="608"/>
      <c r="Y175" s="608"/>
    </row>
    <row r="176" spans="2:25" s="343" customFormat="1">
      <c r="B176" s="1144"/>
      <c r="C176" s="600"/>
      <c r="D176" s="600"/>
      <c r="E176" s="614"/>
      <c r="F176" s="614"/>
      <c r="G176" s="614"/>
      <c r="H176" s="614"/>
      <c r="I176" s="614"/>
      <c r="J176" s="600"/>
      <c r="K176" s="600"/>
      <c r="L176" s="600"/>
      <c r="S176" s="608"/>
      <c r="T176" s="608"/>
      <c r="U176" s="608"/>
      <c r="V176" s="608"/>
      <c r="W176" s="608"/>
      <c r="X176" s="608"/>
      <c r="Y176" s="608"/>
    </row>
    <row r="177" spans="2:25" s="343" customFormat="1">
      <c r="B177" s="1144"/>
      <c r="C177" s="600"/>
      <c r="D177" s="600"/>
      <c r="E177" s="614"/>
      <c r="F177" s="614"/>
      <c r="G177" s="614"/>
      <c r="H177" s="614"/>
      <c r="I177" s="614"/>
      <c r="J177" s="600"/>
      <c r="K177" s="600"/>
      <c r="L177" s="600"/>
      <c r="S177" s="608"/>
      <c r="T177" s="608"/>
      <c r="U177" s="608"/>
      <c r="V177" s="608"/>
      <c r="W177" s="608"/>
      <c r="X177" s="608"/>
      <c r="Y177" s="608"/>
    </row>
    <row r="178" spans="2:25" s="343" customFormat="1">
      <c r="B178" s="1144"/>
      <c r="C178" s="600"/>
      <c r="D178" s="600"/>
      <c r="E178" s="614"/>
      <c r="F178" s="614"/>
      <c r="G178" s="614"/>
      <c r="H178" s="614"/>
      <c r="I178" s="614"/>
      <c r="J178" s="600"/>
      <c r="K178" s="600"/>
      <c r="L178" s="600"/>
      <c r="S178" s="608"/>
      <c r="T178" s="608"/>
      <c r="U178" s="608"/>
      <c r="V178" s="608"/>
      <c r="W178" s="608"/>
      <c r="X178" s="608"/>
      <c r="Y178" s="608"/>
    </row>
    <row r="179" spans="2:25" s="343" customFormat="1">
      <c r="B179" s="1144"/>
      <c r="C179" s="600"/>
      <c r="D179" s="600"/>
      <c r="E179" s="614"/>
      <c r="F179" s="614"/>
      <c r="G179" s="614"/>
      <c r="H179" s="614"/>
      <c r="I179" s="614"/>
      <c r="J179" s="600"/>
      <c r="K179" s="600"/>
      <c r="L179" s="600"/>
      <c r="S179" s="608"/>
      <c r="T179" s="608"/>
      <c r="U179" s="608"/>
      <c r="V179" s="608"/>
      <c r="W179" s="608"/>
      <c r="X179" s="608"/>
      <c r="Y179" s="608"/>
    </row>
    <row r="180" spans="2:25" s="343" customFormat="1">
      <c r="B180" s="1144"/>
      <c r="C180" s="600"/>
      <c r="D180" s="600"/>
      <c r="E180" s="614"/>
      <c r="F180" s="614"/>
      <c r="G180" s="614"/>
      <c r="H180" s="614"/>
      <c r="I180" s="614"/>
      <c r="J180" s="600"/>
      <c r="K180" s="600"/>
      <c r="L180" s="600"/>
      <c r="S180" s="608"/>
      <c r="T180" s="608"/>
      <c r="U180" s="608"/>
      <c r="V180" s="608"/>
      <c r="W180" s="608"/>
      <c r="X180" s="608"/>
      <c r="Y180" s="608"/>
    </row>
    <row r="181" spans="2:25" s="343" customFormat="1">
      <c r="B181" s="1144"/>
      <c r="C181" s="600"/>
      <c r="D181" s="600"/>
      <c r="E181" s="614"/>
      <c r="F181" s="614"/>
      <c r="G181" s="614"/>
      <c r="H181" s="614"/>
      <c r="I181" s="614"/>
      <c r="J181" s="600"/>
      <c r="K181" s="600"/>
      <c r="L181" s="600"/>
      <c r="S181" s="608"/>
      <c r="T181" s="608"/>
      <c r="U181" s="608"/>
      <c r="V181" s="608"/>
      <c r="W181" s="608"/>
      <c r="X181" s="608"/>
      <c r="Y181" s="608"/>
    </row>
    <row r="182" spans="2:25" s="343" customFormat="1">
      <c r="B182" s="1144"/>
      <c r="C182" s="600"/>
      <c r="D182" s="600"/>
      <c r="E182" s="614"/>
      <c r="F182" s="614"/>
      <c r="G182" s="614"/>
      <c r="H182" s="614"/>
      <c r="I182" s="614"/>
      <c r="J182" s="600"/>
      <c r="K182" s="600"/>
      <c r="L182" s="600"/>
      <c r="S182" s="608"/>
      <c r="T182" s="608"/>
      <c r="U182" s="608"/>
      <c r="V182" s="608"/>
      <c r="W182" s="608"/>
      <c r="X182" s="608"/>
      <c r="Y182" s="608"/>
    </row>
    <row r="183" spans="2:25" s="343" customFormat="1">
      <c r="B183" s="1144"/>
      <c r="C183" s="600"/>
      <c r="D183" s="600"/>
      <c r="E183" s="614"/>
      <c r="F183" s="614"/>
      <c r="G183" s="614"/>
      <c r="H183" s="614"/>
      <c r="I183" s="614"/>
      <c r="J183" s="600"/>
      <c r="K183" s="600"/>
      <c r="L183" s="600"/>
      <c r="S183" s="608"/>
      <c r="T183" s="608"/>
      <c r="U183" s="608"/>
      <c r="V183" s="608"/>
      <c r="W183" s="608"/>
      <c r="X183" s="608"/>
      <c r="Y183" s="608"/>
    </row>
    <row r="184" spans="2:25" s="343" customFormat="1">
      <c r="B184" s="1144"/>
      <c r="C184" s="600"/>
      <c r="D184" s="600"/>
      <c r="E184" s="614"/>
      <c r="F184" s="614"/>
      <c r="G184" s="614"/>
      <c r="H184" s="614"/>
      <c r="I184" s="614"/>
      <c r="J184" s="600"/>
      <c r="K184" s="600"/>
      <c r="L184" s="600"/>
      <c r="S184" s="608"/>
      <c r="T184" s="608"/>
      <c r="U184" s="608"/>
      <c r="V184" s="608"/>
      <c r="W184" s="608"/>
      <c r="X184" s="608"/>
      <c r="Y184" s="608"/>
    </row>
    <row r="185" spans="2:25" s="343" customFormat="1">
      <c r="B185" s="1144"/>
      <c r="C185" s="600"/>
      <c r="D185" s="600"/>
      <c r="E185" s="614"/>
      <c r="F185" s="614"/>
      <c r="G185" s="614"/>
      <c r="H185" s="614"/>
      <c r="I185" s="614"/>
      <c r="J185" s="600"/>
      <c r="K185" s="600"/>
      <c r="L185" s="600"/>
      <c r="S185" s="608"/>
      <c r="T185" s="608"/>
      <c r="U185" s="608"/>
      <c r="V185" s="608"/>
      <c r="W185" s="608"/>
      <c r="X185" s="608"/>
      <c r="Y185" s="608"/>
    </row>
    <row r="186" spans="2:25" s="343" customFormat="1">
      <c r="B186" s="1144"/>
      <c r="C186" s="600"/>
      <c r="D186" s="600"/>
      <c r="E186" s="614"/>
      <c r="F186" s="614"/>
      <c r="G186" s="614"/>
      <c r="H186" s="614"/>
      <c r="I186" s="614"/>
      <c r="J186" s="600"/>
      <c r="K186" s="600"/>
      <c r="L186" s="600"/>
      <c r="S186" s="608"/>
      <c r="T186" s="608"/>
      <c r="U186" s="608"/>
      <c r="V186" s="608"/>
      <c r="W186" s="608"/>
      <c r="X186" s="608"/>
      <c r="Y186" s="608"/>
    </row>
    <row r="187" spans="2:25" s="343" customFormat="1">
      <c r="B187" s="1144"/>
      <c r="C187" s="600"/>
      <c r="D187" s="600"/>
      <c r="E187" s="614"/>
      <c r="F187" s="614"/>
      <c r="G187" s="614"/>
      <c r="H187" s="614"/>
      <c r="I187" s="614"/>
      <c r="J187" s="600"/>
      <c r="K187" s="600"/>
      <c r="L187" s="600"/>
      <c r="S187" s="608"/>
      <c r="T187" s="608"/>
      <c r="U187" s="608"/>
      <c r="V187" s="608"/>
      <c r="W187" s="608"/>
      <c r="X187" s="608"/>
      <c r="Y187" s="608"/>
    </row>
    <row r="188" spans="2:25" s="343" customFormat="1">
      <c r="B188" s="1144"/>
      <c r="C188" s="600"/>
      <c r="D188" s="600"/>
      <c r="E188" s="614"/>
      <c r="F188" s="614"/>
      <c r="G188" s="614"/>
      <c r="H188" s="614"/>
      <c r="I188" s="614"/>
      <c r="J188" s="600"/>
      <c r="K188" s="600"/>
      <c r="L188" s="600"/>
      <c r="S188" s="608"/>
      <c r="T188" s="608"/>
      <c r="U188" s="608"/>
      <c r="V188" s="608"/>
      <c r="W188" s="608"/>
      <c r="X188" s="608"/>
      <c r="Y188" s="608"/>
    </row>
    <row r="189" spans="2:25" s="343" customFormat="1">
      <c r="B189" s="1144"/>
      <c r="C189" s="600"/>
      <c r="D189" s="600"/>
      <c r="E189" s="614"/>
      <c r="F189" s="614"/>
      <c r="G189" s="614"/>
      <c r="H189" s="614"/>
      <c r="I189" s="614"/>
      <c r="J189" s="600"/>
      <c r="K189" s="600"/>
      <c r="L189" s="600"/>
      <c r="S189" s="608"/>
      <c r="T189" s="608"/>
      <c r="U189" s="608"/>
      <c r="V189" s="608"/>
      <c r="W189" s="608"/>
      <c r="X189" s="608"/>
      <c r="Y189" s="608"/>
    </row>
    <row r="190" spans="2:25" s="343" customFormat="1">
      <c r="B190" s="1144"/>
      <c r="C190" s="600"/>
      <c r="D190" s="600"/>
      <c r="E190" s="614"/>
      <c r="F190" s="614"/>
      <c r="G190" s="614"/>
      <c r="H190" s="614"/>
      <c r="I190" s="614"/>
      <c r="J190" s="600"/>
      <c r="K190" s="600"/>
      <c r="L190" s="600"/>
      <c r="S190" s="608"/>
      <c r="T190" s="608"/>
      <c r="U190" s="608"/>
      <c r="V190" s="608"/>
      <c r="W190" s="608"/>
      <c r="X190" s="608"/>
      <c r="Y190" s="608"/>
    </row>
    <row r="191" spans="2:25" s="343" customFormat="1">
      <c r="B191" s="1144"/>
      <c r="C191" s="600"/>
      <c r="D191" s="600"/>
      <c r="E191" s="614"/>
      <c r="F191" s="614"/>
      <c r="G191" s="614"/>
      <c r="H191" s="614"/>
      <c r="I191" s="614"/>
      <c r="J191" s="600"/>
      <c r="K191" s="600"/>
      <c r="L191" s="600"/>
      <c r="S191" s="608"/>
      <c r="T191" s="608"/>
      <c r="U191" s="608"/>
      <c r="V191" s="608"/>
      <c r="W191" s="608"/>
      <c r="X191" s="608"/>
      <c r="Y191" s="608"/>
    </row>
    <row r="192" spans="2:25" s="343" customFormat="1">
      <c r="B192" s="1144"/>
      <c r="C192" s="600"/>
      <c r="D192" s="600"/>
      <c r="E192" s="614"/>
      <c r="F192" s="614"/>
      <c r="G192" s="614"/>
      <c r="H192" s="614"/>
      <c r="I192" s="614"/>
      <c r="J192" s="600"/>
      <c r="K192" s="600"/>
      <c r="L192" s="600"/>
      <c r="S192" s="608"/>
      <c r="T192" s="608"/>
      <c r="U192" s="608"/>
      <c r="V192" s="608"/>
      <c r="W192" s="608"/>
      <c r="X192" s="608"/>
      <c r="Y192" s="608"/>
    </row>
    <row r="193" spans="2:25" s="343" customFormat="1">
      <c r="B193" s="1144"/>
      <c r="C193" s="600"/>
      <c r="D193" s="600"/>
      <c r="E193" s="614"/>
      <c r="F193" s="614"/>
      <c r="G193" s="614"/>
      <c r="H193" s="614"/>
      <c r="I193" s="614"/>
      <c r="J193" s="600"/>
      <c r="K193" s="600"/>
      <c r="L193" s="600"/>
      <c r="S193" s="608"/>
      <c r="T193" s="608"/>
      <c r="U193" s="608"/>
      <c r="V193" s="608"/>
      <c r="W193" s="608"/>
      <c r="X193" s="608"/>
      <c r="Y193" s="608"/>
    </row>
    <row r="194" spans="2:25" s="343" customFormat="1">
      <c r="B194" s="1144"/>
      <c r="C194" s="600"/>
      <c r="D194" s="600"/>
      <c r="E194" s="614"/>
      <c r="F194" s="614"/>
      <c r="G194" s="614"/>
      <c r="H194" s="614"/>
      <c r="I194" s="614"/>
      <c r="J194" s="600"/>
      <c r="K194" s="600"/>
      <c r="L194" s="600"/>
      <c r="S194" s="608"/>
      <c r="T194" s="608"/>
      <c r="U194" s="608"/>
      <c r="V194" s="608"/>
      <c r="W194" s="608"/>
      <c r="X194" s="608"/>
      <c r="Y194" s="608"/>
    </row>
    <row r="195" spans="2:25" s="343" customFormat="1">
      <c r="B195" s="1144"/>
      <c r="C195" s="600"/>
      <c r="D195" s="600"/>
      <c r="E195" s="614"/>
      <c r="F195" s="614"/>
      <c r="G195" s="614"/>
      <c r="H195" s="614"/>
      <c r="I195" s="614"/>
      <c r="J195" s="600"/>
      <c r="K195" s="600"/>
      <c r="L195" s="600"/>
      <c r="S195" s="608"/>
      <c r="T195" s="608"/>
      <c r="U195" s="608"/>
      <c r="V195" s="608"/>
      <c r="W195" s="608"/>
      <c r="X195" s="608"/>
      <c r="Y195" s="608"/>
    </row>
    <row r="196" spans="2:25" s="343" customFormat="1">
      <c r="B196" s="1144"/>
      <c r="C196" s="600"/>
      <c r="D196" s="600"/>
      <c r="E196" s="614"/>
      <c r="F196" s="614"/>
      <c r="G196" s="614"/>
      <c r="H196" s="614"/>
      <c r="I196" s="614"/>
      <c r="J196" s="600"/>
      <c r="K196" s="600"/>
      <c r="L196" s="600"/>
      <c r="S196" s="608"/>
      <c r="T196" s="608"/>
      <c r="U196" s="608"/>
      <c r="V196" s="608"/>
      <c r="W196" s="608"/>
      <c r="X196" s="608"/>
      <c r="Y196" s="608"/>
    </row>
    <row r="197" spans="2:25" s="343" customFormat="1">
      <c r="B197" s="1144"/>
      <c r="C197" s="600"/>
      <c r="D197" s="600"/>
      <c r="E197" s="614"/>
      <c r="F197" s="614"/>
      <c r="G197" s="614"/>
      <c r="H197" s="614"/>
      <c r="I197" s="614"/>
      <c r="J197" s="600"/>
      <c r="K197" s="600"/>
      <c r="L197" s="600"/>
      <c r="S197" s="608"/>
      <c r="T197" s="608"/>
      <c r="U197" s="608"/>
      <c r="V197" s="608"/>
      <c r="W197" s="608"/>
      <c r="X197" s="608"/>
      <c r="Y197" s="608"/>
    </row>
    <row r="198" spans="2:25" s="343" customFormat="1">
      <c r="B198" s="1144"/>
      <c r="C198" s="600"/>
      <c r="D198" s="600"/>
      <c r="E198" s="614"/>
      <c r="F198" s="614"/>
      <c r="G198" s="614"/>
      <c r="H198" s="614"/>
      <c r="I198" s="614"/>
      <c r="J198" s="600"/>
      <c r="K198" s="600"/>
      <c r="L198" s="600"/>
      <c r="S198" s="608"/>
      <c r="T198" s="608"/>
      <c r="U198" s="608"/>
      <c r="V198" s="608"/>
      <c r="W198" s="608"/>
      <c r="X198" s="608"/>
      <c r="Y198" s="608"/>
    </row>
    <row r="199" spans="2:25" s="343" customFormat="1">
      <c r="B199" s="1144"/>
      <c r="C199" s="600"/>
      <c r="D199" s="600"/>
      <c r="E199" s="614"/>
      <c r="F199" s="614"/>
      <c r="G199" s="614"/>
      <c r="H199" s="614"/>
      <c r="I199" s="614"/>
      <c r="J199" s="600"/>
      <c r="K199" s="600"/>
      <c r="L199" s="600"/>
      <c r="S199" s="608"/>
      <c r="T199" s="608"/>
      <c r="U199" s="608"/>
      <c r="V199" s="608"/>
      <c r="W199" s="608"/>
      <c r="X199" s="608"/>
      <c r="Y199" s="608"/>
    </row>
    <row r="200" spans="2:25" s="343" customFormat="1">
      <c r="B200" s="1144"/>
      <c r="C200" s="600"/>
      <c r="D200" s="600"/>
      <c r="E200" s="614"/>
      <c r="F200" s="614"/>
      <c r="G200" s="614"/>
      <c r="H200" s="614"/>
      <c r="I200" s="614"/>
      <c r="J200" s="600"/>
      <c r="K200" s="600"/>
      <c r="L200" s="600"/>
      <c r="S200" s="608"/>
      <c r="T200" s="608"/>
      <c r="U200" s="608"/>
      <c r="V200" s="608"/>
      <c r="W200" s="608"/>
      <c r="X200" s="608"/>
      <c r="Y200" s="608"/>
    </row>
    <row r="201" spans="2:25" s="343" customFormat="1">
      <c r="B201" s="1144"/>
      <c r="C201" s="600"/>
      <c r="D201" s="600"/>
      <c r="E201" s="614"/>
      <c r="F201" s="614"/>
      <c r="G201" s="614"/>
      <c r="H201" s="614"/>
      <c r="I201" s="614"/>
      <c r="J201" s="600"/>
      <c r="K201" s="600"/>
      <c r="L201" s="600"/>
      <c r="S201" s="608"/>
      <c r="T201" s="608"/>
      <c r="U201" s="608"/>
      <c r="V201" s="608"/>
      <c r="W201" s="608"/>
      <c r="X201" s="608"/>
      <c r="Y201" s="608"/>
    </row>
    <row r="202" spans="2:25" s="343" customFormat="1">
      <c r="B202" s="1144"/>
      <c r="C202" s="600"/>
      <c r="D202" s="600"/>
      <c r="E202" s="614"/>
      <c r="F202" s="614"/>
      <c r="G202" s="614"/>
      <c r="H202" s="614"/>
      <c r="I202" s="614"/>
      <c r="J202" s="600"/>
      <c r="K202" s="600"/>
      <c r="L202" s="600"/>
      <c r="S202" s="608"/>
      <c r="T202" s="608"/>
      <c r="U202" s="608"/>
      <c r="V202" s="608"/>
      <c r="W202" s="608"/>
      <c r="X202" s="608"/>
      <c r="Y202" s="608"/>
    </row>
    <row r="203" spans="2:25" s="343" customFormat="1">
      <c r="B203" s="1144"/>
      <c r="C203" s="600"/>
      <c r="D203" s="600"/>
      <c r="E203" s="614"/>
      <c r="F203" s="614"/>
      <c r="G203" s="614"/>
      <c r="H203" s="614"/>
      <c r="I203" s="614"/>
      <c r="J203" s="600"/>
      <c r="K203" s="600"/>
      <c r="L203" s="600"/>
      <c r="S203" s="608"/>
      <c r="T203" s="608"/>
      <c r="U203" s="608"/>
      <c r="V203" s="608"/>
      <c r="W203" s="608"/>
      <c r="X203" s="608"/>
      <c r="Y203" s="608"/>
    </row>
    <row r="204" spans="2:25" s="343" customFormat="1">
      <c r="B204" s="1144"/>
      <c r="C204" s="600"/>
      <c r="D204" s="600"/>
      <c r="E204" s="614"/>
      <c r="F204" s="614"/>
      <c r="G204" s="614"/>
      <c r="H204" s="614"/>
      <c r="I204" s="614"/>
      <c r="J204" s="600"/>
      <c r="K204" s="600"/>
      <c r="L204" s="600"/>
      <c r="S204" s="608"/>
      <c r="T204" s="608"/>
      <c r="U204" s="608"/>
      <c r="V204" s="608"/>
      <c r="W204" s="608"/>
      <c r="X204" s="608"/>
      <c r="Y204" s="608"/>
    </row>
    <row r="205" spans="2:25" s="343" customFormat="1">
      <c r="B205" s="1144"/>
      <c r="C205" s="600"/>
      <c r="D205" s="600"/>
      <c r="E205" s="614"/>
      <c r="F205" s="614"/>
      <c r="G205" s="614"/>
      <c r="H205" s="614"/>
      <c r="I205" s="614"/>
      <c r="J205" s="600"/>
      <c r="K205" s="600"/>
      <c r="L205" s="600"/>
      <c r="S205" s="608"/>
      <c r="T205" s="608"/>
      <c r="U205" s="608"/>
      <c r="V205" s="608"/>
      <c r="W205" s="608"/>
      <c r="X205" s="608"/>
      <c r="Y205" s="608"/>
    </row>
    <row r="206" spans="2:25" s="343" customFormat="1">
      <c r="B206" s="1144"/>
      <c r="C206" s="600"/>
      <c r="D206" s="600"/>
      <c r="E206" s="614"/>
      <c r="F206" s="614"/>
      <c r="G206" s="614"/>
      <c r="H206" s="614"/>
      <c r="I206" s="614"/>
      <c r="J206" s="600"/>
      <c r="K206" s="600"/>
      <c r="L206" s="600"/>
      <c r="S206" s="608"/>
      <c r="T206" s="608"/>
      <c r="U206" s="608"/>
      <c r="V206" s="608"/>
      <c r="W206" s="608"/>
      <c r="X206" s="608"/>
      <c r="Y206" s="608"/>
    </row>
    <row r="207" spans="2:25" s="343" customFormat="1">
      <c r="B207" s="1144"/>
      <c r="C207" s="600"/>
      <c r="D207" s="600"/>
      <c r="E207" s="614"/>
      <c r="F207" s="614"/>
      <c r="G207" s="614"/>
      <c r="H207" s="614"/>
      <c r="I207" s="614"/>
      <c r="J207" s="600"/>
      <c r="K207" s="600"/>
      <c r="L207" s="600"/>
      <c r="S207" s="608"/>
      <c r="T207" s="608"/>
      <c r="U207" s="608"/>
      <c r="V207" s="608"/>
      <c r="W207" s="608"/>
      <c r="X207" s="608"/>
      <c r="Y207" s="608"/>
    </row>
    <row r="208" spans="2:25" s="343" customFormat="1">
      <c r="B208" s="1144"/>
      <c r="C208" s="600"/>
      <c r="D208" s="600"/>
      <c r="E208" s="614"/>
      <c r="F208" s="614"/>
      <c r="G208" s="614"/>
      <c r="H208" s="614"/>
      <c r="I208" s="614"/>
      <c r="J208" s="600"/>
      <c r="K208" s="600"/>
      <c r="L208" s="600"/>
      <c r="S208" s="608"/>
      <c r="T208" s="608"/>
      <c r="U208" s="608"/>
      <c r="V208" s="608"/>
      <c r="W208" s="608"/>
      <c r="X208" s="608"/>
      <c r="Y208" s="608"/>
    </row>
    <row r="209" spans="2:25" s="343" customFormat="1">
      <c r="B209" s="1144"/>
      <c r="C209" s="600"/>
      <c r="D209" s="600"/>
      <c r="E209" s="614"/>
      <c r="F209" s="614"/>
      <c r="G209" s="614"/>
      <c r="H209" s="614"/>
      <c r="I209" s="614"/>
      <c r="J209" s="600"/>
      <c r="K209" s="600"/>
      <c r="L209" s="600"/>
      <c r="S209" s="608"/>
      <c r="T209" s="608"/>
      <c r="U209" s="608"/>
      <c r="V209" s="608"/>
      <c r="W209" s="608"/>
      <c r="X209" s="608"/>
      <c r="Y209" s="608"/>
    </row>
    <row r="210" spans="2:25" s="343" customFormat="1">
      <c r="B210" s="1144"/>
      <c r="C210" s="600"/>
      <c r="D210" s="600"/>
      <c r="E210" s="614"/>
      <c r="F210" s="614"/>
      <c r="G210" s="614"/>
      <c r="H210" s="614"/>
      <c r="I210" s="614"/>
      <c r="J210" s="600"/>
      <c r="K210" s="600"/>
      <c r="L210" s="600"/>
      <c r="S210" s="608"/>
      <c r="T210" s="608"/>
      <c r="U210" s="608"/>
      <c r="V210" s="608"/>
      <c r="W210" s="608"/>
      <c r="X210" s="608"/>
      <c r="Y210" s="608"/>
    </row>
    <row r="211" spans="2:25" s="343" customFormat="1">
      <c r="B211" s="1144"/>
      <c r="C211" s="600"/>
      <c r="D211" s="600"/>
      <c r="E211" s="614"/>
      <c r="F211" s="614"/>
      <c r="G211" s="614"/>
      <c r="H211" s="614"/>
      <c r="I211" s="614"/>
      <c r="J211" s="600"/>
      <c r="K211" s="600"/>
      <c r="L211" s="600"/>
      <c r="S211" s="608"/>
      <c r="T211" s="608"/>
      <c r="U211" s="608"/>
      <c r="V211" s="608"/>
      <c r="W211" s="608"/>
      <c r="X211" s="608"/>
      <c r="Y211" s="608"/>
    </row>
    <row r="212" spans="2:25" s="343" customFormat="1">
      <c r="B212" s="1144"/>
      <c r="C212" s="600"/>
      <c r="D212" s="600"/>
      <c r="E212" s="614"/>
      <c r="F212" s="614"/>
      <c r="G212" s="614"/>
      <c r="H212" s="614"/>
      <c r="I212" s="614"/>
      <c r="J212" s="600"/>
      <c r="K212" s="600"/>
      <c r="L212" s="600"/>
      <c r="S212" s="608"/>
      <c r="T212" s="608"/>
      <c r="U212" s="608"/>
      <c r="V212" s="608"/>
      <c r="W212" s="608"/>
      <c r="X212" s="608"/>
      <c r="Y212" s="608"/>
    </row>
    <row r="213" spans="2:25" s="343" customFormat="1">
      <c r="B213" s="1144"/>
      <c r="C213" s="600"/>
      <c r="D213" s="600"/>
      <c r="E213" s="614"/>
      <c r="F213" s="614"/>
      <c r="G213" s="614"/>
      <c r="H213" s="614"/>
      <c r="I213" s="614"/>
      <c r="J213" s="600"/>
      <c r="K213" s="600"/>
      <c r="L213" s="600"/>
      <c r="S213" s="608"/>
      <c r="T213" s="608"/>
      <c r="U213" s="608"/>
      <c r="V213" s="608"/>
      <c r="W213" s="608"/>
      <c r="X213" s="608"/>
      <c r="Y213" s="608"/>
    </row>
    <row r="214" spans="2:25" s="343" customFormat="1">
      <c r="B214" s="1144"/>
      <c r="C214" s="600"/>
      <c r="D214" s="600"/>
      <c r="E214" s="614"/>
      <c r="F214" s="614"/>
      <c r="G214" s="614"/>
      <c r="H214" s="614"/>
      <c r="I214" s="614"/>
      <c r="J214" s="600"/>
      <c r="K214" s="600"/>
      <c r="L214" s="600"/>
      <c r="S214" s="608"/>
      <c r="T214" s="608"/>
      <c r="U214" s="608"/>
      <c r="V214" s="608"/>
      <c r="W214" s="608"/>
      <c r="X214" s="608"/>
      <c r="Y214" s="608"/>
    </row>
    <row r="215" spans="2:25" s="343" customFormat="1">
      <c r="B215" s="1144"/>
      <c r="C215" s="600"/>
      <c r="D215" s="600"/>
      <c r="E215" s="614"/>
      <c r="F215" s="614"/>
      <c r="G215" s="614"/>
      <c r="H215" s="614"/>
      <c r="I215" s="614"/>
      <c r="J215" s="600"/>
      <c r="K215" s="600"/>
      <c r="L215" s="600"/>
      <c r="S215" s="608"/>
      <c r="T215" s="608"/>
      <c r="U215" s="608"/>
      <c r="V215" s="608"/>
      <c r="W215" s="608"/>
      <c r="X215" s="608"/>
      <c r="Y215" s="608"/>
    </row>
    <row r="216" spans="2:25" s="343" customFormat="1">
      <c r="B216" s="1144"/>
      <c r="C216" s="600"/>
      <c r="D216" s="600"/>
      <c r="E216" s="614"/>
      <c r="F216" s="614"/>
      <c r="G216" s="614"/>
      <c r="H216" s="614"/>
      <c r="I216" s="614"/>
      <c r="J216" s="600"/>
      <c r="K216" s="600"/>
      <c r="L216" s="600"/>
      <c r="S216" s="608"/>
      <c r="T216" s="608"/>
      <c r="U216" s="608"/>
      <c r="V216" s="608"/>
      <c r="W216" s="608"/>
      <c r="X216" s="608"/>
      <c r="Y216" s="608"/>
    </row>
    <row r="217" spans="2:25" s="343" customFormat="1">
      <c r="B217" s="1144"/>
      <c r="C217" s="600"/>
      <c r="D217" s="600"/>
      <c r="E217" s="614"/>
      <c r="F217" s="614"/>
      <c r="G217" s="614"/>
      <c r="H217" s="614"/>
      <c r="I217" s="614"/>
      <c r="J217" s="600"/>
      <c r="K217" s="600"/>
      <c r="L217" s="600"/>
      <c r="S217" s="608"/>
      <c r="T217" s="608"/>
      <c r="U217" s="608"/>
      <c r="V217" s="608"/>
      <c r="W217" s="608"/>
      <c r="X217" s="608"/>
      <c r="Y217" s="608"/>
    </row>
    <row r="218" spans="2:25" s="343" customFormat="1">
      <c r="B218" s="1144"/>
      <c r="C218" s="600"/>
      <c r="D218" s="600"/>
      <c r="E218" s="614"/>
      <c r="F218" s="614"/>
      <c r="G218" s="614"/>
      <c r="H218" s="614"/>
      <c r="I218" s="614"/>
      <c r="J218" s="600"/>
      <c r="K218" s="600"/>
      <c r="L218" s="600"/>
      <c r="S218" s="608"/>
      <c r="T218" s="608"/>
      <c r="U218" s="608"/>
      <c r="V218" s="608"/>
      <c r="W218" s="608"/>
      <c r="X218" s="608"/>
      <c r="Y218" s="608"/>
    </row>
    <row r="219" spans="2:25" s="343" customFormat="1">
      <c r="B219" s="1144"/>
      <c r="C219" s="600"/>
      <c r="D219" s="600"/>
      <c r="E219" s="614"/>
      <c r="F219" s="614"/>
      <c r="G219" s="614"/>
      <c r="H219" s="614"/>
      <c r="I219" s="614"/>
      <c r="J219" s="600"/>
      <c r="K219" s="600"/>
      <c r="L219" s="600"/>
      <c r="S219" s="608"/>
      <c r="T219" s="608"/>
      <c r="U219" s="608"/>
      <c r="V219" s="608"/>
      <c r="W219" s="608"/>
      <c r="X219" s="608"/>
      <c r="Y219" s="608"/>
    </row>
    <row r="220" spans="2:25" s="343" customFormat="1">
      <c r="B220" s="1144"/>
      <c r="C220" s="600"/>
      <c r="D220" s="600"/>
      <c r="E220" s="614"/>
      <c r="F220" s="614"/>
      <c r="G220" s="614"/>
      <c r="H220" s="614"/>
      <c r="I220" s="614"/>
      <c r="J220" s="600"/>
      <c r="K220" s="600"/>
      <c r="L220" s="600"/>
      <c r="S220" s="608"/>
      <c r="T220" s="608"/>
      <c r="U220" s="608"/>
      <c r="V220" s="608"/>
      <c r="W220" s="608"/>
      <c r="X220" s="608"/>
      <c r="Y220" s="608"/>
    </row>
    <row r="221" spans="2:25" s="343" customFormat="1">
      <c r="B221" s="1144"/>
      <c r="C221" s="600"/>
      <c r="D221" s="600"/>
      <c r="E221" s="614"/>
      <c r="F221" s="614"/>
      <c r="G221" s="614"/>
      <c r="H221" s="614"/>
      <c r="I221" s="614"/>
      <c r="J221" s="600"/>
      <c r="K221" s="600"/>
      <c r="L221" s="600"/>
      <c r="S221" s="608"/>
      <c r="T221" s="608"/>
      <c r="U221" s="608"/>
      <c r="V221" s="608"/>
      <c r="W221" s="608"/>
      <c r="X221" s="608"/>
      <c r="Y221" s="608"/>
    </row>
    <row r="222" spans="2:25" s="343" customFormat="1">
      <c r="B222" s="1144"/>
      <c r="C222" s="600"/>
      <c r="D222" s="600"/>
      <c r="E222" s="614"/>
      <c r="F222" s="614"/>
      <c r="G222" s="614"/>
      <c r="H222" s="614"/>
      <c r="I222" s="614"/>
      <c r="J222" s="600"/>
      <c r="K222" s="600"/>
      <c r="L222" s="600"/>
      <c r="S222" s="608"/>
      <c r="T222" s="608"/>
      <c r="U222" s="608"/>
      <c r="V222" s="608"/>
      <c r="W222" s="608"/>
      <c r="X222" s="608"/>
      <c r="Y222" s="608"/>
    </row>
    <row r="223" spans="2:25" s="343" customFormat="1">
      <c r="B223" s="1144"/>
      <c r="C223" s="600"/>
      <c r="D223" s="600"/>
      <c r="E223" s="614"/>
      <c r="F223" s="614"/>
      <c r="G223" s="614"/>
      <c r="H223" s="614"/>
      <c r="I223" s="614"/>
      <c r="J223" s="600"/>
      <c r="K223" s="600"/>
      <c r="L223" s="600"/>
      <c r="S223" s="608"/>
      <c r="T223" s="608"/>
      <c r="U223" s="608"/>
      <c r="V223" s="608"/>
      <c r="W223" s="608"/>
      <c r="X223" s="608"/>
      <c r="Y223" s="608"/>
    </row>
    <row r="224" spans="2:25" s="343" customFormat="1">
      <c r="B224" s="1144"/>
      <c r="C224" s="600"/>
      <c r="D224" s="600"/>
      <c r="E224" s="614"/>
      <c r="F224" s="614"/>
      <c r="G224" s="614"/>
      <c r="H224" s="614"/>
      <c r="I224" s="614"/>
      <c r="J224" s="600"/>
      <c r="K224" s="600"/>
      <c r="L224" s="600"/>
      <c r="S224" s="608"/>
      <c r="T224" s="608"/>
      <c r="U224" s="608"/>
      <c r="V224" s="608"/>
      <c r="W224" s="608"/>
      <c r="X224" s="608"/>
      <c r="Y224" s="608"/>
    </row>
    <row r="225" spans="2:25" s="343" customFormat="1">
      <c r="B225" s="1144"/>
      <c r="C225" s="600"/>
      <c r="D225" s="600"/>
      <c r="E225" s="614"/>
      <c r="F225" s="614"/>
      <c r="G225" s="614"/>
      <c r="H225" s="614"/>
      <c r="I225" s="614"/>
      <c r="J225" s="600"/>
      <c r="K225" s="600"/>
      <c r="L225" s="600"/>
      <c r="S225" s="608"/>
      <c r="T225" s="608"/>
      <c r="U225" s="608"/>
      <c r="V225" s="608"/>
      <c r="W225" s="608"/>
      <c r="X225" s="608"/>
      <c r="Y225" s="608"/>
    </row>
    <row r="226" spans="2:25" s="343" customFormat="1">
      <c r="B226" s="1144"/>
      <c r="C226" s="600"/>
      <c r="D226" s="600"/>
      <c r="E226" s="614"/>
      <c r="F226" s="614"/>
      <c r="G226" s="614"/>
      <c r="H226" s="614"/>
      <c r="I226" s="614"/>
      <c r="J226" s="600"/>
      <c r="K226" s="600"/>
      <c r="L226" s="600"/>
      <c r="S226" s="608"/>
      <c r="T226" s="608"/>
      <c r="U226" s="608"/>
      <c r="V226" s="608"/>
      <c r="W226" s="608"/>
      <c r="X226" s="608"/>
      <c r="Y226" s="608"/>
    </row>
    <row r="227" spans="2:25" s="343" customFormat="1">
      <c r="B227" s="1144"/>
      <c r="C227" s="600"/>
      <c r="D227" s="600"/>
      <c r="E227" s="614"/>
      <c r="F227" s="614"/>
      <c r="G227" s="614"/>
      <c r="H227" s="614"/>
      <c r="I227" s="614"/>
      <c r="J227" s="600"/>
      <c r="K227" s="600"/>
      <c r="L227" s="600"/>
      <c r="S227" s="608"/>
      <c r="T227" s="608"/>
      <c r="U227" s="608"/>
      <c r="V227" s="608"/>
      <c r="W227" s="608"/>
      <c r="X227" s="608"/>
      <c r="Y227" s="608"/>
    </row>
    <row r="228" spans="2:25" s="343" customFormat="1">
      <c r="B228" s="1144"/>
      <c r="C228" s="600"/>
      <c r="D228" s="600"/>
      <c r="E228" s="614"/>
      <c r="F228" s="614"/>
      <c r="G228" s="614"/>
      <c r="H228" s="614"/>
      <c r="I228" s="614"/>
      <c r="J228" s="600"/>
      <c r="K228" s="600"/>
      <c r="L228" s="600"/>
      <c r="S228" s="608"/>
      <c r="T228" s="608"/>
      <c r="U228" s="608"/>
      <c r="V228" s="608"/>
      <c r="W228" s="608"/>
      <c r="X228" s="608"/>
      <c r="Y228" s="608"/>
    </row>
    <row r="229" spans="2:25" s="343" customFormat="1">
      <c r="B229" s="1144"/>
      <c r="C229" s="600"/>
      <c r="D229" s="600"/>
      <c r="E229" s="614"/>
      <c r="F229" s="614"/>
      <c r="G229" s="614"/>
      <c r="H229" s="614"/>
      <c r="I229" s="614"/>
      <c r="J229" s="600"/>
      <c r="K229" s="600"/>
      <c r="L229" s="600"/>
      <c r="S229" s="608"/>
      <c r="T229" s="608"/>
      <c r="U229" s="608"/>
      <c r="V229" s="608"/>
      <c r="W229" s="608"/>
      <c r="X229" s="608"/>
      <c r="Y229" s="608"/>
    </row>
    <row r="230" spans="2:25" s="343" customFormat="1">
      <c r="B230" s="1144"/>
      <c r="C230" s="600"/>
      <c r="D230" s="600"/>
      <c r="E230" s="614"/>
      <c r="F230" s="614"/>
      <c r="G230" s="614"/>
      <c r="H230" s="614"/>
      <c r="I230" s="614"/>
      <c r="J230" s="600"/>
      <c r="K230" s="600"/>
      <c r="L230" s="600"/>
      <c r="S230" s="608"/>
      <c r="T230" s="608"/>
      <c r="U230" s="608"/>
      <c r="V230" s="608"/>
      <c r="W230" s="608"/>
      <c r="X230" s="608"/>
      <c r="Y230" s="608"/>
    </row>
    <row r="231" spans="2:25" s="343" customFormat="1">
      <c r="B231" s="1144"/>
      <c r="C231" s="600"/>
      <c r="D231" s="600"/>
      <c r="E231" s="614"/>
      <c r="F231" s="614"/>
      <c r="G231" s="614"/>
      <c r="H231" s="614"/>
      <c r="I231" s="614"/>
      <c r="J231" s="600"/>
      <c r="K231" s="600"/>
      <c r="L231" s="600"/>
      <c r="S231" s="608"/>
      <c r="T231" s="608"/>
      <c r="U231" s="608"/>
      <c r="V231" s="608"/>
      <c r="W231" s="608"/>
      <c r="X231" s="608"/>
      <c r="Y231" s="608"/>
    </row>
    <row r="232" spans="2:25" s="343" customFormat="1">
      <c r="B232" s="1144"/>
      <c r="C232" s="600"/>
      <c r="D232" s="600"/>
      <c r="E232" s="614"/>
      <c r="F232" s="614"/>
      <c r="G232" s="614"/>
      <c r="H232" s="614"/>
      <c r="I232" s="614"/>
      <c r="J232" s="600"/>
      <c r="K232" s="600"/>
      <c r="L232" s="600"/>
      <c r="S232" s="608"/>
      <c r="T232" s="608"/>
      <c r="U232" s="608"/>
      <c r="V232" s="608"/>
      <c r="W232" s="608"/>
      <c r="X232" s="608"/>
      <c r="Y232" s="608"/>
    </row>
    <row r="233" spans="2:25" s="343" customFormat="1">
      <c r="B233" s="1144"/>
      <c r="C233" s="600"/>
      <c r="D233" s="600"/>
      <c r="E233" s="614"/>
      <c r="F233" s="614"/>
      <c r="G233" s="614"/>
      <c r="H233" s="614"/>
      <c r="I233" s="614"/>
      <c r="J233" s="600"/>
      <c r="K233" s="600"/>
      <c r="L233" s="600"/>
      <c r="S233" s="608"/>
      <c r="T233" s="608"/>
      <c r="U233" s="608"/>
      <c r="V233" s="608"/>
      <c r="W233" s="608"/>
      <c r="X233" s="608"/>
      <c r="Y233" s="608"/>
    </row>
    <row r="234" spans="2:25" s="343" customFormat="1">
      <c r="B234" s="1144"/>
      <c r="C234" s="600"/>
      <c r="D234" s="600"/>
      <c r="E234" s="614"/>
      <c r="F234" s="614"/>
      <c r="G234" s="614"/>
      <c r="H234" s="614"/>
      <c r="I234" s="614"/>
      <c r="J234" s="600"/>
      <c r="K234" s="600"/>
      <c r="L234" s="600"/>
      <c r="S234" s="608"/>
      <c r="T234" s="608"/>
      <c r="U234" s="608"/>
      <c r="V234" s="608"/>
      <c r="W234" s="608"/>
      <c r="X234" s="608"/>
      <c r="Y234" s="608"/>
    </row>
    <row r="235" spans="2:25" s="343" customFormat="1">
      <c r="B235" s="1144"/>
      <c r="C235" s="600"/>
      <c r="D235" s="600"/>
      <c r="E235" s="614"/>
      <c r="F235" s="614"/>
      <c r="G235" s="614"/>
      <c r="H235" s="614"/>
      <c r="I235" s="614"/>
      <c r="J235" s="600"/>
      <c r="K235" s="600"/>
      <c r="L235" s="600"/>
      <c r="S235" s="608"/>
      <c r="T235" s="608"/>
      <c r="U235" s="608"/>
      <c r="V235" s="608"/>
      <c r="W235" s="608"/>
      <c r="X235" s="608"/>
      <c r="Y235" s="608"/>
    </row>
    <row r="236" spans="2:25" s="343" customFormat="1">
      <c r="B236" s="1144"/>
      <c r="C236" s="600"/>
      <c r="D236" s="600"/>
      <c r="E236" s="614"/>
      <c r="F236" s="614"/>
      <c r="G236" s="614"/>
      <c r="H236" s="614"/>
      <c r="I236" s="614"/>
      <c r="J236" s="600"/>
      <c r="K236" s="600"/>
      <c r="L236" s="600"/>
      <c r="S236" s="608"/>
      <c r="T236" s="608"/>
      <c r="U236" s="608"/>
      <c r="V236" s="608"/>
      <c r="W236" s="608"/>
      <c r="X236" s="608"/>
      <c r="Y236" s="608"/>
    </row>
    <row r="237" spans="2:25" s="343" customFormat="1">
      <c r="B237" s="1144"/>
      <c r="C237" s="600"/>
      <c r="D237" s="600"/>
      <c r="E237" s="614"/>
      <c r="F237" s="614"/>
      <c r="G237" s="614"/>
      <c r="H237" s="614"/>
      <c r="I237" s="614"/>
      <c r="J237" s="600"/>
      <c r="K237" s="600"/>
      <c r="L237" s="600"/>
      <c r="S237" s="608"/>
      <c r="T237" s="608"/>
      <c r="U237" s="608"/>
      <c r="V237" s="608"/>
      <c r="W237" s="608"/>
      <c r="X237" s="608"/>
      <c r="Y237" s="608"/>
    </row>
    <row r="238" spans="2:25" s="343" customFormat="1">
      <c r="B238" s="1144"/>
      <c r="C238" s="600"/>
      <c r="D238" s="600"/>
      <c r="E238" s="614"/>
      <c r="F238" s="614"/>
      <c r="G238" s="614"/>
      <c r="H238" s="614"/>
      <c r="I238" s="614"/>
      <c r="J238" s="600"/>
      <c r="K238" s="600"/>
      <c r="L238" s="600"/>
      <c r="S238" s="608"/>
      <c r="T238" s="608"/>
      <c r="U238" s="608"/>
      <c r="V238" s="608"/>
      <c r="W238" s="608"/>
      <c r="X238" s="608"/>
      <c r="Y238" s="608"/>
    </row>
    <row r="239" spans="2:25" s="343" customFormat="1">
      <c r="B239" s="1144"/>
      <c r="C239" s="600"/>
      <c r="D239" s="600"/>
      <c r="E239" s="614"/>
      <c r="F239" s="614"/>
      <c r="G239" s="614"/>
      <c r="H239" s="614"/>
      <c r="I239" s="614"/>
      <c r="J239" s="600"/>
      <c r="K239" s="600"/>
      <c r="L239" s="600"/>
      <c r="S239" s="608"/>
      <c r="T239" s="608"/>
      <c r="U239" s="608"/>
      <c r="V239" s="608"/>
      <c r="W239" s="608"/>
      <c r="X239" s="608"/>
      <c r="Y239" s="608"/>
    </row>
    <row r="240" spans="2:25" s="343" customFormat="1">
      <c r="B240" s="1144"/>
      <c r="C240" s="600"/>
      <c r="D240" s="600"/>
      <c r="E240" s="614"/>
      <c r="F240" s="614"/>
      <c r="G240" s="614"/>
      <c r="H240" s="614"/>
      <c r="I240" s="614"/>
      <c r="J240" s="600"/>
      <c r="K240" s="600"/>
      <c r="L240" s="600"/>
      <c r="S240" s="608"/>
      <c r="T240" s="608"/>
      <c r="U240" s="608"/>
      <c r="V240" s="608"/>
      <c r="W240" s="608"/>
      <c r="X240" s="608"/>
      <c r="Y240" s="608"/>
    </row>
    <row r="241" spans="2:25" s="343" customFormat="1">
      <c r="B241" s="1144"/>
      <c r="C241" s="600"/>
      <c r="D241" s="600"/>
      <c r="E241" s="614"/>
      <c r="F241" s="614"/>
      <c r="G241" s="614"/>
      <c r="H241" s="614"/>
      <c r="I241" s="614"/>
      <c r="J241" s="600"/>
      <c r="K241" s="600"/>
      <c r="L241" s="600"/>
      <c r="S241" s="608"/>
      <c r="T241" s="608"/>
      <c r="U241" s="608"/>
      <c r="V241" s="608"/>
      <c r="W241" s="608"/>
      <c r="X241" s="608"/>
      <c r="Y241" s="608"/>
    </row>
    <row r="242" spans="2:25" s="343" customFormat="1">
      <c r="B242" s="1144"/>
      <c r="C242" s="600"/>
      <c r="D242" s="600"/>
      <c r="E242" s="614"/>
      <c r="F242" s="614"/>
      <c r="G242" s="614"/>
      <c r="H242" s="614"/>
      <c r="I242" s="614"/>
      <c r="J242" s="600"/>
      <c r="K242" s="600"/>
      <c r="L242" s="600"/>
      <c r="S242" s="608"/>
      <c r="T242" s="608"/>
      <c r="U242" s="608"/>
      <c r="V242" s="608"/>
      <c r="W242" s="608"/>
      <c r="X242" s="608"/>
      <c r="Y242" s="608"/>
    </row>
    <row r="243" spans="2:25" s="343" customFormat="1">
      <c r="B243" s="1144"/>
      <c r="C243" s="600"/>
      <c r="D243" s="600"/>
      <c r="E243" s="614"/>
      <c r="F243" s="614"/>
      <c r="G243" s="614"/>
      <c r="H243" s="614"/>
      <c r="I243" s="614"/>
      <c r="J243" s="600"/>
      <c r="K243" s="600"/>
      <c r="L243" s="600"/>
      <c r="S243" s="608"/>
      <c r="T243" s="608"/>
      <c r="U243" s="608"/>
      <c r="V243" s="608"/>
      <c r="W243" s="608"/>
      <c r="X243" s="608"/>
      <c r="Y243" s="608"/>
    </row>
    <row r="244" spans="2:25" s="343" customFormat="1">
      <c r="B244" s="1144"/>
      <c r="C244" s="600"/>
      <c r="D244" s="600"/>
      <c r="E244" s="614"/>
      <c r="F244" s="614"/>
      <c r="G244" s="614"/>
      <c r="H244" s="614"/>
      <c r="I244" s="614"/>
      <c r="J244" s="600"/>
      <c r="K244" s="600"/>
      <c r="L244" s="600"/>
      <c r="S244" s="608"/>
      <c r="T244" s="608"/>
      <c r="U244" s="608"/>
      <c r="V244" s="608"/>
      <c r="W244" s="608"/>
      <c r="X244" s="608"/>
      <c r="Y244" s="608"/>
    </row>
    <row r="245" spans="2:25" s="343" customFormat="1">
      <c r="B245" s="1144"/>
      <c r="C245" s="600"/>
      <c r="D245" s="600"/>
      <c r="E245" s="614"/>
      <c r="F245" s="614"/>
      <c r="G245" s="614"/>
      <c r="H245" s="614"/>
      <c r="I245" s="614"/>
      <c r="J245" s="600"/>
      <c r="K245" s="600"/>
      <c r="L245" s="600"/>
      <c r="S245" s="608"/>
      <c r="T245" s="608"/>
      <c r="U245" s="608"/>
      <c r="V245" s="608"/>
      <c r="W245" s="608"/>
      <c r="X245" s="608"/>
      <c r="Y245" s="608"/>
    </row>
    <row r="246" spans="2:25" s="343" customFormat="1">
      <c r="B246" s="1144"/>
      <c r="C246" s="600"/>
      <c r="D246" s="600"/>
      <c r="E246" s="614"/>
      <c r="F246" s="614"/>
      <c r="G246" s="614"/>
      <c r="H246" s="614"/>
      <c r="I246" s="614"/>
      <c r="J246" s="600"/>
      <c r="K246" s="600"/>
      <c r="L246" s="600"/>
      <c r="S246" s="608"/>
      <c r="T246" s="608"/>
      <c r="U246" s="608"/>
      <c r="V246" s="608"/>
      <c r="W246" s="608"/>
      <c r="X246" s="608"/>
      <c r="Y246" s="608"/>
    </row>
    <row r="247" spans="2:25" s="343" customFormat="1">
      <c r="B247" s="1144"/>
      <c r="C247" s="600"/>
      <c r="D247" s="600"/>
      <c r="E247" s="614"/>
      <c r="F247" s="614"/>
      <c r="G247" s="614"/>
      <c r="H247" s="614"/>
      <c r="I247" s="614"/>
      <c r="J247" s="600"/>
      <c r="K247" s="600"/>
      <c r="L247" s="600"/>
      <c r="S247" s="608"/>
      <c r="T247" s="608"/>
      <c r="U247" s="608"/>
      <c r="V247" s="608"/>
      <c r="W247" s="608"/>
      <c r="X247" s="608"/>
      <c r="Y247" s="608"/>
    </row>
    <row r="248" spans="2:25" s="343" customFormat="1">
      <c r="B248" s="1144"/>
      <c r="C248" s="600"/>
      <c r="D248" s="600"/>
      <c r="E248" s="614"/>
      <c r="F248" s="614"/>
      <c r="G248" s="614"/>
      <c r="H248" s="614"/>
      <c r="I248" s="614"/>
      <c r="J248" s="600"/>
      <c r="K248" s="600"/>
      <c r="L248" s="600"/>
      <c r="S248" s="608"/>
      <c r="T248" s="608"/>
      <c r="U248" s="608"/>
      <c r="V248" s="608"/>
      <c r="W248" s="608"/>
      <c r="X248" s="608"/>
      <c r="Y248" s="608"/>
    </row>
    <row r="249" spans="2:25" s="343" customFormat="1">
      <c r="B249" s="1144"/>
      <c r="C249" s="600"/>
      <c r="D249" s="600"/>
      <c r="E249" s="614"/>
      <c r="F249" s="614"/>
      <c r="G249" s="614"/>
      <c r="H249" s="614"/>
      <c r="I249" s="614"/>
      <c r="J249" s="600"/>
      <c r="K249" s="600"/>
      <c r="L249" s="600"/>
      <c r="S249" s="608"/>
      <c r="T249" s="608"/>
      <c r="U249" s="608"/>
      <c r="V249" s="608"/>
      <c r="W249" s="608"/>
      <c r="X249" s="608"/>
      <c r="Y249" s="608"/>
    </row>
    <row r="250" spans="2:25" s="343" customFormat="1">
      <c r="B250" s="1144"/>
      <c r="C250" s="600"/>
      <c r="D250" s="600"/>
      <c r="E250" s="614"/>
      <c r="F250" s="614"/>
      <c r="G250" s="614"/>
      <c r="H250" s="614"/>
      <c r="I250" s="614"/>
      <c r="J250" s="600"/>
      <c r="K250" s="600"/>
      <c r="L250" s="600"/>
      <c r="S250" s="608"/>
      <c r="T250" s="608"/>
      <c r="U250" s="608"/>
      <c r="V250" s="608"/>
      <c r="W250" s="608"/>
      <c r="X250" s="608"/>
      <c r="Y250" s="608"/>
    </row>
    <row r="251" spans="2:25" s="343" customFormat="1">
      <c r="B251" s="1144"/>
      <c r="C251" s="600"/>
      <c r="D251" s="600"/>
      <c r="E251" s="614"/>
      <c r="F251" s="614"/>
      <c r="G251" s="614"/>
      <c r="H251" s="614"/>
      <c r="I251" s="614"/>
      <c r="J251" s="600"/>
      <c r="K251" s="600"/>
      <c r="L251" s="600"/>
      <c r="S251" s="608"/>
      <c r="T251" s="608"/>
      <c r="U251" s="608"/>
      <c r="V251" s="608"/>
      <c r="W251" s="608"/>
      <c r="X251" s="608"/>
      <c r="Y251" s="608"/>
    </row>
    <row r="252" spans="2:25" s="343" customFormat="1">
      <c r="B252" s="1144"/>
      <c r="C252" s="600"/>
      <c r="D252" s="600"/>
      <c r="E252" s="614"/>
      <c r="F252" s="614"/>
      <c r="G252" s="614"/>
      <c r="H252" s="614"/>
      <c r="I252" s="614"/>
      <c r="J252" s="600"/>
      <c r="K252" s="600"/>
      <c r="L252" s="600"/>
      <c r="S252" s="608"/>
      <c r="T252" s="608"/>
      <c r="U252" s="608"/>
      <c r="V252" s="608"/>
      <c r="W252" s="608"/>
      <c r="X252" s="608"/>
      <c r="Y252" s="608"/>
    </row>
    <row r="253" spans="2:25" s="343" customFormat="1">
      <c r="B253" s="1144"/>
      <c r="C253" s="600"/>
      <c r="D253" s="600"/>
      <c r="E253" s="614"/>
      <c r="F253" s="614"/>
      <c r="G253" s="614"/>
      <c r="H253" s="614"/>
      <c r="I253" s="614"/>
      <c r="J253" s="600"/>
      <c r="K253" s="600"/>
      <c r="L253" s="600"/>
      <c r="S253" s="608"/>
      <c r="T253" s="608"/>
      <c r="U253" s="608"/>
      <c r="V253" s="608"/>
      <c r="W253" s="608"/>
      <c r="X253" s="608"/>
      <c r="Y253" s="608"/>
    </row>
    <row r="254" spans="2:25" s="343" customFormat="1">
      <c r="B254" s="1144"/>
      <c r="C254" s="600"/>
      <c r="D254" s="600"/>
      <c r="E254" s="614"/>
      <c r="F254" s="614"/>
      <c r="G254" s="614"/>
      <c r="H254" s="614"/>
      <c r="I254" s="614"/>
      <c r="J254" s="600"/>
      <c r="K254" s="600"/>
      <c r="L254" s="600"/>
      <c r="S254" s="608"/>
      <c r="T254" s="608"/>
      <c r="U254" s="608"/>
      <c r="V254" s="608"/>
      <c r="W254" s="608"/>
      <c r="X254" s="608"/>
      <c r="Y254" s="608"/>
    </row>
    <row r="255" spans="2:25" s="343" customFormat="1">
      <c r="B255" s="1144"/>
      <c r="C255" s="600"/>
      <c r="D255" s="600"/>
      <c r="E255" s="614"/>
      <c r="F255" s="614"/>
      <c r="G255" s="614"/>
      <c r="H255" s="614"/>
      <c r="I255" s="614"/>
      <c r="J255" s="600"/>
      <c r="K255" s="600"/>
      <c r="L255" s="600"/>
      <c r="S255" s="608"/>
      <c r="T255" s="608"/>
      <c r="U255" s="608"/>
      <c r="V255" s="608"/>
      <c r="W255" s="608"/>
      <c r="X255" s="608"/>
      <c r="Y255" s="608"/>
    </row>
    <row r="256" spans="2:25" s="343" customFormat="1">
      <c r="B256" s="1144"/>
      <c r="C256" s="600"/>
      <c r="D256" s="600"/>
      <c r="E256" s="614"/>
      <c r="F256" s="614"/>
      <c r="G256" s="614"/>
      <c r="H256" s="614"/>
      <c r="I256" s="614"/>
      <c r="J256" s="600"/>
      <c r="K256" s="600"/>
      <c r="L256" s="600"/>
      <c r="S256" s="608"/>
      <c r="T256" s="608"/>
      <c r="U256" s="608"/>
      <c r="V256" s="608"/>
      <c r="W256" s="608"/>
      <c r="X256" s="608"/>
      <c r="Y256" s="608"/>
    </row>
    <row r="257" spans="2:25" s="343" customFormat="1">
      <c r="B257" s="1144"/>
      <c r="C257" s="600"/>
      <c r="D257" s="600"/>
      <c r="E257" s="614"/>
      <c r="F257" s="614"/>
      <c r="G257" s="614"/>
      <c r="H257" s="614"/>
      <c r="I257" s="614"/>
      <c r="J257" s="600"/>
      <c r="K257" s="600"/>
      <c r="L257" s="600"/>
      <c r="S257" s="608"/>
      <c r="T257" s="608"/>
      <c r="U257" s="608"/>
      <c r="V257" s="608"/>
      <c r="W257" s="608"/>
      <c r="X257" s="608"/>
      <c r="Y257" s="608"/>
    </row>
    <row r="258" spans="2:25" s="343" customFormat="1">
      <c r="B258" s="1144"/>
      <c r="C258" s="600"/>
      <c r="D258" s="600"/>
      <c r="E258" s="614"/>
      <c r="F258" s="614"/>
      <c r="G258" s="614"/>
      <c r="H258" s="614"/>
      <c r="I258" s="614"/>
      <c r="J258" s="600"/>
      <c r="K258" s="600"/>
      <c r="L258" s="600"/>
      <c r="S258" s="608"/>
      <c r="T258" s="608"/>
      <c r="U258" s="608"/>
      <c r="V258" s="608"/>
      <c r="W258" s="608"/>
      <c r="X258" s="608"/>
      <c r="Y258" s="608"/>
    </row>
    <row r="259" spans="2:25" s="343" customFormat="1">
      <c r="B259" s="1144"/>
      <c r="C259" s="600"/>
      <c r="D259" s="600"/>
      <c r="E259" s="614"/>
      <c r="F259" s="614"/>
      <c r="G259" s="614"/>
      <c r="H259" s="614"/>
      <c r="I259" s="614"/>
      <c r="J259" s="600"/>
      <c r="K259" s="600"/>
      <c r="L259" s="600"/>
      <c r="S259" s="608"/>
      <c r="T259" s="608"/>
      <c r="U259" s="608"/>
      <c r="V259" s="608"/>
      <c r="W259" s="608"/>
      <c r="X259" s="608"/>
      <c r="Y259" s="608"/>
    </row>
    <row r="260" spans="2:25" s="343" customFormat="1">
      <c r="B260" s="1144"/>
      <c r="C260" s="600"/>
      <c r="D260" s="600"/>
      <c r="E260" s="614"/>
      <c r="F260" s="614"/>
      <c r="G260" s="614"/>
      <c r="H260" s="614"/>
      <c r="I260" s="614"/>
      <c r="J260" s="600"/>
      <c r="K260" s="600"/>
      <c r="L260" s="600"/>
      <c r="S260" s="608"/>
      <c r="T260" s="608"/>
      <c r="U260" s="608"/>
      <c r="V260" s="608"/>
      <c r="W260" s="608"/>
      <c r="X260" s="608"/>
      <c r="Y260" s="608"/>
    </row>
    <row r="261" spans="2:25" s="343" customFormat="1">
      <c r="B261" s="1144"/>
      <c r="C261" s="600"/>
      <c r="D261" s="600"/>
      <c r="E261" s="614"/>
      <c r="F261" s="614"/>
      <c r="G261" s="614"/>
      <c r="H261" s="614"/>
      <c r="I261" s="614"/>
      <c r="J261" s="600"/>
      <c r="K261" s="600"/>
      <c r="L261" s="600"/>
      <c r="S261" s="608"/>
      <c r="T261" s="608"/>
      <c r="U261" s="608"/>
      <c r="V261" s="608"/>
      <c r="W261" s="608"/>
      <c r="X261" s="608"/>
      <c r="Y261" s="608"/>
    </row>
    <row r="262" spans="2:25" s="343" customFormat="1">
      <c r="B262" s="1144"/>
      <c r="C262" s="600"/>
      <c r="D262" s="600"/>
      <c r="E262" s="614"/>
      <c r="F262" s="614"/>
      <c r="G262" s="614"/>
      <c r="H262" s="614"/>
      <c r="I262" s="614"/>
      <c r="J262" s="600"/>
      <c r="K262" s="600"/>
      <c r="L262" s="600"/>
      <c r="S262" s="608"/>
      <c r="T262" s="608"/>
      <c r="U262" s="608"/>
      <c r="V262" s="608"/>
      <c r="W262" s="608"/>
      <c r="X262" s="608"/>
      <c r="Y262" s="608"/>
    </row>
    <row r="263" spans="2:25" s="343" customFormat="1">
      <c r="B263" s="1144"/>
      <c r="C263" s="600"/>
      <c r="D263" s="600"/>
      <c r="E263" s="614"/>
      <c r="F263" s="614"/>
      <c r="G263" s="614"/>
      <c r="H263" s="614"/>
      <c r="I263" s="614"/>
      <c r="J263" s="600"/>
      <c r="K263" s="600"/>
      <c r="L263" s="600"/>
      <c r="S263" s="608"/>
      <c r="T263" s="608"/>
      <c r="U263" s="608"/>
      <c r="V263" s="608"/>
      <c r="W263" s="608"/>
      <c r="X263" s="608"/>
      <c r="Y263" s="608"/>
    </row>
    <row r="264" spans="2:25" s="343" customFormat="1">
      <c r="B264" s="1144"/>
      <c r="C264" s="600"/>
      <c r="D264" s="600"/>
      <c r="E264" s="614"/>
      <c r="F264" s="614"/>
      <c r="G264" s="614"/>
      <c r="H264" s="614"/>
      <c r="I264" s="614"/>
      <c r="J264" s="600"/>
      <c r="K264" s="600"/>
      <c r="L264" s="600"/>
      <c r="S264" s="608"/>
      <c r="T264" s="608"/>
      <c r="U264" s="608"/>
      <c r="V264" s="608"/>
      <c r="W264" s="608"/>
      <c r="X264" s="608"/>
      <c r="Y264" s="608"/>
    </row>
    <row r="265" spans="2:25" s="343" customFormat="1">
      <c r="B265" s="1144"/>
      <c r="C265" s="600"/>
      <c r="D265" s="600"/>
      <c r="E265" s="614"/>
      <c r="F265" s="614"/>
      <c r="G265" s="614"/>
      <c r="H265" s="614"/>
      <c r="I265" s="614"/>
      <c r="J265" s="600"/>
      <c r="K265" s="600"/>
      <c r="L265" s="600"/>
      <c r="S265" s="608"/>
      <c r="T265" s="608"/>
      <c r="U265" s="608"/>
      <c r="V265" s="608"/>
      <c r="W265" s="608"/>
      <c r="X265" s="608"/>
      <c r="Y265" s="608"/>
    </row>
    <row r="266" spans="2:25" s="343" customFormat="1">
      <c r="B266" s="1144"/>
      <c r="C266" s="600"/>
      <c r="D266" s="600"/>
      <c r="E266" s="614"/>
      <c r="F266" s="614"/>
      <c r="G266" s="614"/>
      <c r="H266" s="614"/>
      <c r="I266" s="614"/>
      <c r="J266" s="600"/>
      <c r="K266" s="600"/>
      <c r="L266" s="600"/>
      <c r="S266" s="608"/>
      <c r="T266" s="608"/>
      <c r="U266" s="608"/>
      <c r="V266" s="608"/>
      <c r="W266" s="608"/>
      <c r="X266" s="608"/>
      <c r="Y266" s="608"/>
    </row>
    <row r="267" spans="2:25" s="343" customFormat="1">
      <c r="B267" s="1144"/>
      <c r="C267" s="600"/>
      <c r="D267" s="600"/>
      <c r="E267" s="614"/>
      <c r="F267" s="614"/>
      <c r="G267" s="614"/>
      <c r="H267" s="614"/>
      <c r="I267" s="614"/>
      <c r="J267" s="600"/>
      <c r="K267" s="600"/>
      <c r="L267" s="600"/>
      <c r="S267" s="608"/>
      <c r="T267" s="608"/>
      <c r="U267" s="608"/>
      <c r="V267" s="608"/>
      <c r="W267" s="608"/>
      <c r="X267" s="608"/>
      <c r="Y267" s="608"/>
    </row>
    <row r="268" spans="2:25" s="343" customFormat="1">
      <c r="B268" s="1144"/>
      <c r="C268" s="600"/>
      <c r="D268" s="600"/>
      <c r="E268" s="614"/>
      <c r="F268" s="614"/>
      <c r="G268" s="614"/>
      <c r="H268" s="614"/>
      <c r="I268" s="614"/>
      <c r="J268" s="600"/>
      <c r="K268" s="600"/>
      <c r="L268" s="600"/>
      <c r="S268" s="608"/>
      <c r="T268" s="608"/>
      <c r="U268" s="608"/>
      <c r="V268" s="608"/>
      <c r="W268" s="608"/>
      <c r="X268" s="608"/>
      <c r="Y268" s="608"/>
    </row>
    <row r="269" spans="2:25" s="343" customFormat="1">
      <c r="B269" s="1144"/>
      <c r="C269" s="600"/>
      <c r="D269" s="600"/>
      <c r="E269" s="614"/>
      <c r="F269" s="614"/>
      <c r="G269" s="614"/>
      <c r="H269" s="614"/>
      <c r="I269" s="614"/>
      <c r="J269" s="600"/>
      <c r="K269" s="600"/>
      <c r="L269" s="600"/>
      <c r="S269" s="608"/>
      <c r="T269" s="608"/>
      <c r="U269" s="608"/>
      <c r="V269" s="608"/>
      <c r="W269" s="608"/>
      <c r="X269" s="608"/>
      <c r="Y269" s="608"/>
    </row>
    <row r="270" spans="2:25" s="343" customFormat="1">
      <c r="B270" s="1144"/>
      <c r="C270" s="600"/>
      <c r="D270" s="600"/>
      <c r="E270" s="614"/>
      <c r="F270" s="614"/>
      <c r="G270" s="614"/>
      <c r="H270" s="614"/>
      <c r="I270" s="614"/>
      <c r="J270" s="600"/>
      <c r="K270" s="600"/>
      <c r="L270" s="600"/>
      <c r="S270" s="608"/>
      <c r="T270" s="608"/>
      <c r="U270" s="608"/>
      <c r="V270" s="608"/>
      <c r="W270" s="608"/>
      <c r="X270" s="608"/>
      <c r="Y270" s="608"/>
    </row>
    <row r="271" spans="2:25" s="343" customFormat="1">
      <c r="B271" s="1144"/>
      <c r="C271" s="600"/>
      <c r="D271" s="600"/>
      <c r="E271" s="614"/>
      <c r="F271" s="614"/>
      <c r="G271" s="614"/>
      <c r="H271" s="614"/>
      <c r="I271" s="614"/>
      <c r="J271" s="600"/>
      <c r="K271" s="600"/>
      <c r="L271" s="600"/>
      <c r="S271" s="608"/>
      <c r="T271" s="608"/>
      <c r="U271" s="608"/>
      <c r="V271" s="608"/>
      <c r="W271" s="608"/>
      <c r="X271" s="608"/>
      <c r="Y271" s="608"/>
    </row>
    <row r="272" spans="2:25" s="343" customFormat="1">
      <c r="B272" s="1144"/>
      <c r="C272" s="600"/>
      <c r="D272" s="600"/>
      <c r="E272" s="614"/>
      <c r="F272" s="614"/>
      <c r="G272" s="614"/>
      <c r="H272" s="614"/>
      <c r="I272" s="614"/>
      <c r="J272" s="600"/>
      <c r="K272" s="600"/>
      <c r="L272" s="600"/>
      <c r="S272" s="608"/>
      <c r="T272" s="608"/>
      <c r="U272" s="608"/>
      <c r="V272" s="608"/>
      <c r="W272" s="608"/>
      <c r="X272" s="608"/>
      <c r="Y272" s="608"/>
    </row>
    <row r="273" spans="2:25" s="343" customFormat="1">
      <c r="B273" s="1144"/>
      <c r="C273" s="600"/>
      <c r="D273" s="600"/>
      <c r="E273" s="614"/>
      <c r="F273" s="614"/>
      <c r="G273" s="614"/>
      <c r="H273" s="614"/>
      <c r="I273" s="614"/>
      <c r="J273" s="600"/>
      <c r="K273" s="600"/>
      <c r="L273" s="600"/>
      <c r="S273" s="608"/>
      <c r="T273" s="608"/>
      <c r="U273" s="608"/>
      <c r="V273" s="608"/>
      <c r="W273" s="608"/>
      <c r="X273" s="608"/>
      <c r="Y273" s="608"/>
    </row>
    <row r="274" spans="2:25" s="343" customFormat="1">
      <c r="B274" s="1144"/>
      <c r="C274" s="600"/>
      <c r="D274" s="600"/>
      <c r="E274" s="614"/>
      <c r="F274" s="614"/>
      <c r="G274" s="614"/>
      <c r="H274" s="614"/>
      <c r="I274" s="614"/>
      <c r="J274" s="600"/>
      <c r="K274" s="600"/>
      <c r="L274" s="600"/>
      <c r="S274" s="608"/>
      <c r="T274" s="608"/>
      <c r="U274" s="608"/>
      <c r="V274" s="608"/>
      <c r="W274" s="608"/>
      <c r="X274" s="608"/>
      <c r="Y274" s="608"/>
    </row>
    <row r="275" spans="2:25" s="343" customFormat="1">
      <c r="B275" s="1144"/>
      <c r="C275" s="600"/>
      <c r="D275" s="600"/>
      <c r="E275" s="614"/>
      <c r="F275" s="614"/>
      <c r="G275" s="614"/>
      <c r="H275" s="614"/>
      <c r="I275" s="614"/>
      <c r="J275" s="600"/>
      <c r="K275" s="600"/>
      <c r="L275" s="600"/>
      <c r="S275" s="608"/>
      <c r="T275" s="608"/>
      <c r="U275" s="608"/>
      <c r="V275" s="608"/>
      <c r="W275" s="608"/>
      <c r="X275" s="608"/>
      <c r="Y275" s="608"/>
    </row>
    <row r="276" spans="2:25" s="343" customFormat="1">
      <c r="B276" s="1144"/>
      <c r="C276" s="600"/>
      <c r="D276" s="600"/>
      <c r="E276" s="614"/>
      <c r="F276" s="614"/>
      <c r="G276" s="614"/>
      <c r="H276" s="614"/>
      <c r="I276" s="614"/>
      <c r="J276" s="600"/>
      <c r="K276" s="600"/>
      <c r="L276" s="600"/>
      <c r="S276" s="608"/>
      <c r="T276" s="608"/>
      <c r="U276" s="608"/>
      <c r="V276" s="608"/>
      <c r="W276" s="608"/>
      <c r="X276" s="608"/>
      <c r="Y276" s="608"/>
    </row>
    <row r="277" spans="2:25" s="343" customFormat="1">
      <c r="B277" s="1144"/>
      <c r="C277" s="600"/>
      <c r="D277" s="600"/>
      <c r="E277" s="614"/>
      <c r="F277" s="614"/>
      <c r="G277" s="614"/>
      <c r="H277" s="614"/>
      <c r="I277" s="614"/>
      <c r="J277" s="600"/>
      <c r="K277" s="600"/>
      <c r="L277" s="600"/>
      <c r="S277" s="608"/>
      <c r="T277" s="608"/>
      <c r="U277" s="608"/>
      <c r="V277" s="608"/>
      <c r="W277" s="608"/>
      <c r="X277" s="608"/>
      <c r="Y277" s="608"/>
    </row>
    <row r="278" spans="2:25" s="343" customFormat="1">
      <c r="B278" s="1144"/>
      <c r="C278" s="600"/>
      <c r="D278" s="600"/>
      <c r="E278" s="614"/>
      <c r="F278" s="614"/>
      <c r="G278" s="614"/>
      <c r="H278" s="614"/>
      <c r="I278" s="614"/>
      <c r="J278" s="600"/>
      <c r="K278" s="600"/>
      <c r="L278" s="600"/>
      <c r="S278" s="608"/>
      <c r="T278" s="608"/>
      <c r="U278" s="608"/>
      <c r="V278" s="608"/>
      <c r="W278" s="608"/>
      <c r="X278" s="608"/>
      <c r="Y278" s="608"/>
    </row>
    <row r="279" spans="2:25" s="343" customFormat="1">
      <c r="B279" s="1144"/>
      <c r="C279" s="600"/>
      <c r="D279" s="600"/>
      <c r="E279" s="614"/>
      <c r="F279" s="614"/>
      <c r="G279" s="614"/>
      <c r="H279" s="614"/>
      <c r="I279" s="614"/>
      <c r="J279" s="600"/>
      <c r="K279" s="600"/>
      <c r="L279" s="600"/>
      <c r="S279" s="608"/>
      <c r="T279" s="608"/>
      <c r="U279" s="608"/>
      <c r="V279" s="608"/>
      <c r="W279" s="608"/>
      <c r="X279" s="608"/>
      <c r="Y279" s="608"/>
    </row>
    <row r="280" spans="2:25" s="343" customFormat="1">
      <c r="B280" s="1144"/>
      <c r="C280" s="600"/>
      <c r="D280" s="600"/>
      <c r="E280" s="614"/>
      <c r="F280" s="614"/>
      <c r="G280" s="614"/>
      <c r="H280" s="614"/>
      <c r="I280" s="614"/>
      <c r="J280" s="600"/>
      <c r="K280" s="600"/>
      <c r="L280" s="600"/>
      <c r="S280" s="608"/>
      <c r="T280" s="608"/>
      <c r="U280" s="608"/>
      <c r="V280" s="608"/>
      <c r="W280" s="608"/>
      <c r="X280" s="608"/>
      <c r="Y280" s="608"/>
    </row>
    <row r="281" spans="2:25" s="343" customFormat="1">
      <c r="B281" s="1144"/>
      <c r="C281" s="600"/>
      <c r="D281" s="600"/>
      <c r="E281" s="614"/>
      <c r="F281" s="614"/>
      <c r="G281" s="614"/>
      <c r="H281" s="614"/>
      <c r="I281" s="614"/>
      <c r="J281" s="600"/>
      <c r="K281" s="600"/>
      <c r="L281" s="600"/>
      <c r="S281" s="608"/>
      <c r="T281" s="608"/>
      <c r="U281" s="608"/>
      <c r="V281" s="608"/>
      <c r="W281" s="608"/>
      <c r="X281" s="608"/>
      <c r="Y281" s="608"/>
    </row>
    <row r="282" spans="2:25" s="343" customFormat="1">
      <c r="B282" s="1144"/>
      <c r="C282" s="600"/>
      <c r="D282" s="600"/>
      <c r="E282" s="614"/>
      <c r="F282" s="614"/>
      <c r="G282" s="614"/>
      <c r="H282" s="614"/>
      <c r="I282" s="614"/>
      <c r="J282" s="600"/>
      <c r="K282" s="600"/>
      <c r="L282" s="600"/>
      <c r="S282" s="608"/>
      <c r="T282" s="608"/>
      <c r="U282" s="608"/>
      <c r="V282" s="608"/>
      <c r="W282" s="608"/>
      <c r="X282" s="608"/>
      <c r="Y282" s="608"/>
    </row>
    <row r="283" spans="2:25" s="343" customFormat="1">
      <c r="B283" s="1144"/>
      <c r="C283" s="600"/>
      <c r="D283" s="600"/>
      <c r="E283" s="614"/>
      <c r="F283" s="614"/>
      <c r="G283" s="614"/>
      <c r="H283" s="614"/>
      <c r="I283" s="614"/>
      <c r="J283" s="600"/>
      <c r="K283" s="600"/>
      <c r="L283" s="600"/>
      <c r="S283" s="608"/>
      <c r="T283" s="608"/>
      <c r="U283" s="608"/>
      <c r="V283" s="608"/>
      <c r="W283" s="608"/>
      <c r="X283" s="608"/>
      <c r="Y283" s="608"/>
    </row>
    <row r="284" spans="2:25" s="343" customFormat="1">
      <c r="B284" s="1144"/>
      <c r="C284" s="600"/>
      <c r="D284" s="600"/>
      <c r="E284" s="614"/>
      <c r="F284" s="614"/>
      <c r="G284" s="614"/>
      <c r="H284" s="614"/>
      <c r="I284" s="614"/>
      <c r="J284" s="600"/>
      <c r="K284" s="600"/>
      <c r="L284" s="600"/>
      <c r="S284" s="608"/>
      <c r="T284" s="608"/>
      <c r="U284" s="608"/>
      <c r="V284" s="608"/>
      <c r="W284" s="608"/>
      <c r="X284" s="608"/>
      <c r="Y284" s="608"/>
    </row>
    <row r="285" spans="2:25" s="343" customFormat="1">
      <c r="B285" s="1144"/>
      <c r="C285" s="600"/>
      <c r="D285" s="600"/>
      <c r="E285" s="614"/>
      <c r="F285" s="614"/>
      <c r="G285" s="614"/>
      <c r="H285" s="614"/>
      <c r="I285" s="614"/>
      <c r="J285" s="600"/>
      <c r="K285" s="600"/>
      <c r="L285" s="600"/>
      <c r="S285" s="608"/>
      <c r="T285" s="608"/>
      <c r="U285" s="608"/>
      <c r="V285" s="608"/>
      <c r="W285" s="608"/>
      <c r="X285" s="608"/>
      <c r="Y285" s="608"/>
    </row>
    <row r="286" spans="2:25" s="343" customFormat="1">
      <c r="B286" s="1144"/>
      <c r="C286" s="600"/>
      <c r="D286" s="600"/>
      <c r="E286" s="614"/>
      <c r="F286" s="614"/>
      <c r="G286" s="614"/>
      <c r="H286" s="614"/>
      <c r="I286" s="614"/>
      <c r="J286" s="600"/>
      <c r="K286" s="600"/>
      <c r="L286" s="600"/>
      <c r="S286" s="608"/>
      <c r="T286" s="608"/>
      <c r="U286" s="608"/>
      <c r="V286" s="608"/>
      <c r="W286" s="608"/>
      <c r="X286" s="608"/>
      <c r="Y286" s="608"/>
    </row>
    <row r="287" spans="2:25" s="343" customFormat="1">
      <c r="B287" s="1144"/>
      <c r="C287" s="600"/>
      <c r="D287" s="600"/>
      <c r="E287" s="614"/>
      <c r="F287" s="614"/>
      <c r="G287" s="614"/>
      <c r="H287" s="614"/>
      <c r="I287" s="614"/>
      <c r="J287" s="600"/>
      <c r="K287" s="600"/>
      <c r="L287" s="600"/>
      <c r="S287" s="608"/>
      <c r="T287" s="608"/>
      <c r="U287" s="608"/>
      <c r="V287" s="608"/>
      <c r="W287" s="608"/>
      <c r="X287" s="608"/>
      <c r="Y287" s="608"/>
    </row>
    <row r="288" spans="2:25" s="343" customFormat="1">
      <c r="B288" s="1144"/>
      <c r="C288" s="600"/>
      <c r="D288" s="600"/>
      <c r="E288" s="614"/>
      <c r="F288" s="614"/>
      <c r="G288" s="614"/>
      <c r="H288" s="614"/>
      <c r="I288" s="614"/>
      <c r="J288" s="600"/>
      <c r="K288" s="600"/>
      <c r="L288" s="600"/>
      <c r="S288" s="608"/>
      <c r="T288" s="608"/>
      <c r="U288" s="608"/>
      <c r="V288" s="608"/>
      <c r="W288" s="608"/>
      <c r="X288" s="608"/>
      <c r="Y288" s="608"/>
    </row>
    <row r="289" spans="2:25" s="343" customFormat="1">
      <c r="B289" s="1144"/>
      <c r="C289" s="600"/>
      <c r="D289" s="600"/>
      <c r="E289" s="614"/>
      <c r="F289" s="614"/>
      <c r="G289" s="614"/>
      <c r="H289" s="614"/>
      <c r="I289" s="614"/>
      <c r="J289" s="600"/>
      <c r="K289" s="600"/>
      <c r="L289" s="600"/>
      <c r="S289" s="608"/>
      <c r="T289" s="608"/>
      <c r="U289" s="608"/>
      <c r="V289" s="608"/>
      <c r="W289" s="608"/>
      <c r="X289" s="608"/>
      <c r="Y289" s="608"/>
    </row>
    <row r="290" spans="2:25" s="343" customFormat="1">
      <c r="B290" s="1144"/>
      <c r="C290" s="600"/>
      <c r="D290" s="600"/>
      <c r="E290" s="614"/>
      <c r="F290" s="614"/>
      <c r="G290" s="614"/>
      <c r="H290" s="614"/>
      <c r="I290" s="614"/>
      <c r="J290" s="600"/>
      <c r="K290" s="600"/>
      <c r="L290" s="600"/>
      <c r="S290" s="608"/>
      <c r="T290" s="608"/>
      <c r="U290" s="608"/>
      <c r="V290" s="608"/>
      <c r="W290" s="608"/>
      <c r="X290" s="608"/>
      <c r="Y290" s="608"/>
    </row>
    <row r="291" spans="2:25" s="343" customFormat="1">
      <c r="B291" s="1144"/>
      <c r="C291" s="600"/>
      <c r="D291" s="600"/>
      <c r="E291" s="614"/>
      <c r="F291" s="614"/>
      <c r="G291" s="614"/>
      <c r="H291" s="614"/>
      <c r="I291" s="614"/>
      <c r="J291" s="600"/>
      <c r="K291" s="600"/>
      <c r="L291" s="600"/>
      <c r="S291" s="608"/>
      <c r="T291" s="608"/>
      <c r="U291" s="608"/>
      <c r="V291" s="608"/>
      <c r="W291" s="608"/>
      <c r="X291" s="608"/>
      <c r="Y291" s="608"/>
    </row>
    <row r="292" spans="2:25" s="343" customFormat="1">
      <c r="B292" s="1144"/>
      <c r="C292" s="600"/>
      <c r="D292" s="600"/>
      <c r="E292" s="614"/>
      <c r="F292" s="614"/>
      <c r="G292" s="614"/>
      <c r="H292" s="614"/>
      <c r="I292" s="614"/>
      <c r="J292" s="600"/>
      <c r="K292" s="600"/>
      <c r="L292" s="600"/>
      <c r="S292" s="608"/>
      <c r="T292" s="608"/>
      <c r="U292" s="608"/>
      <c r="V292" s="608"/>
      <c r="W292" s="608"/>
      <c r="X292" s="608"/>
      <c r="Y292" s="608"/>
    </row>
    <row r="293" spans="2:25" s="343" customFormat="1">
      <c r="B293" s="1144"/>
      <c r="C293" s="600"/>
      <c r="D293" s="600"/>
      <c r="E293" s="614"/>
      <c r="F293" s="614"/>
      <c r="G293" s="614"/>
      <c r="H293" s="614"/>
      <c r="I293" s="614"/>
      <c r="J293" s="600"/>
      <c r="K293" s="600"/>
      <c r="L293" s="600"/>
      <c r="S293" s="608"/>
      <c r="T293" s="608"/>
      <c r="U293" s="608"/>
      <c r="V293" s="608"/>
      <c r="W293" s="608"/>
      <c r="X293" s="608"/>
      <c r="Y293" s="608"/>
    </row>
    <row r="294" spans="2:25" s="343" customFormat="1">
      <c r="B294" s="1144"/>
      <c r="C294" s="600"/>
      <c r="D294" s="600"/>
      <c r="E294" s="614"/>
      <c r="F294" s="614"/>
      <c r="G294" s="614"/>
      <c r="H294" s="614"/>
      <c r="I294" s="614"/>
      <c r="J294" s="600"/>
      <c r="K294" s="600"/>
      <c r="L294" s="600"/>
      <c r="S294" s="608"/>
      <c r="T294" s="608"/>
      <c r="U294" s="608"/>
      <c r="V294" s="608"/>
      <c r="W294" s="608"/>
      <c r="X294" s="608"/>
      <c r="Y294" s="608"/>
    </row>
    <row r="295" spans="2:25" s="343" customFormat="1">
      <c r="B295" s="1144"/>
      <c r="C295" s="600"/>
      <c r="D295" s="600"/>
      <c r="E295" s="614"/>
      <c r="F295" s="614"/>
      <c r="G295" s="614"/>
      <c r="H295" s="614"/>
      <c r="I295" s="614"/>
      <c r="J295" s="600"/>
      <c r="K295" s="600"/>
      <c r="L295" s="600"/>
      <c r="S295" s="608"/>
      <c r="T295" s="608"/>
      <c r="U295" s="608"/>
      <c r="V295" s="608"/>
      <c r="W295" s="608"/>
      <c r="X295" s="608"/>
      <c r="Y295" s="608"/>
    </row>
    <row r="296" spans="2:25" s="343" customFormat="1">
      <c r="B296" s="1144"/>
      <c r="C296" s="600"/>
      <c r="D296" s="600"/>
      <c r="E296" s="614"/>
      <c r="F296" s="614"/>
      <c r="G296" s="614"/>
      <c r="H296" s="614"/>
      <c r="I296" s="614"/>
      <c r="J296" s="600"/>
      <c r="K296" s="600"/>
      <c r="L296" s="600"/>
      <c r="S296" s="608"/>
      <c r="T296" s="608"/>
      <c r="U296" s="608"/>
      <c r="V296" s="608"/>
      <c r="W296" s="608"/>
      <c r="X296" s="608"/>
      <c r="Y296" s="608"/>
    </row>
    <row r="297" spans="2:25" s="343" customFormat="1">
      <c r="B297" s="1144"/>
      <c r="C297" s="600"/>
      <c r="D297" s="600"/>
      <c r="E297" s="614"/>
      <c r="F297" s="614"/>
      <c r="G297" s="614"/>
      <c r="H297" s="614"/>
      <c r="I297" s="614"/>
      <c r="J297" s="600"/>
      <c r="K297" s="600"/>
      <c r="L297" s="600"/>
      <c r="S297" s="608"/>
      <c r="T297" s="608"/>
      <c r="U297" s="608"/>
      <c r="V297" s="608"/>
      <c r="W297" s="608"/>
      <c r="X297" s="608"/>
      <c r="Y297" s="608"/>
    </row>
    <row r="298" spans="2:25" s="343" customFormat="1">
      <c r="B298" s="1144"/>
      <c r="C298" s="600"/>
      <c r="D298" s="600"/>
      <c r="E298" s="614"/>
      <c r="F298" s="614"/>
      <c r="G298" s="614"/>
      <c r="H298" s="614"/>
      <c r="I298" s="614"/>
      <c r="J298" s="600"/>
      <c r="K298" s="600"/>
      <c r="L298" s="600"/>
      <c r="S298" s="608"/>
      <c r="T298" s="608"/>
      <c r="U298" s="608"/>
      <c r="V298" s="608"/>
      <c r="W298" s="608"/>
      <c r="X298" s="608"/>
      <c r="Y298" s="608"/>
    </row>
    <row r="299" spans="2:25" s="343" customFormat="1">
      <c r="B299" s="1144"/>
      <c r="C299" s="600"/>
      <c r="D299" s="600"/>
      <c r="E299" s="614"/>
      <c r="F299" s="614"/>
      <c r="G299" s="614"/>
      <c r="H299" s="614"/>
      <c r="I299" s="614"/>
      <c r="J299" s="600"/>
      <c r="K299" s="600"/>
      <c r="L299" s="600"/>
      <c r="S299" s="608"/>
      <c r="T299" s="608"/>
      <c r="U299" s="608"/>
      <c r="V299" s="608"/>
      <c r="W299" s="608"/>
      <c r="X299" s="608"/>
      <c r="Y299" s="608"/>
    </row>
    <row r="300" spans="2:25" s="343" customFormat="1">
      <c r="B300" s="1144"/>
      <c r="C300" s="600"/>
      <c r="D300" s="600"/>
      <c r="E300" s="614"/>
      <c r="F300" s="614"/>
      <c r="G300" s="614"/>
      <c r="H300" s="614"/>
      <c r="I300" s="614"/>
      <c r="J300" s="600"/>
      <c r="K300" s="600"/>
      <c r="L300" s="600"/>
      <c r="S300" s="608"/>
      <c r="T300" s="608"/>
      <c r="U300" s="608"/>
      <c r="V300" s="608"/>
      <c r="W300" s="608"/>
      <c r="X300" s="608"/>
      <c r="Y300" s="608"/>
    </row>
    <row r="301" spans="2:25" s="343" customFormat="1">
      <c r="B301" s="1144"/>
      <c r="C301" s="600"/>
      <c r="D301" s="600"/>
      <c r="E301" s="614"/>
      <c r="F301" s="614"/>
      <c r="G301" s="614"/>
      <c r="H301" s="614"/>
      <c r="I301" s="614"/>
      <c r="J301" s="600"/>
      <c r="K301" s="600"/>
      <c r="L301" s="600"/>
      <c r="S301" s="608"/>
      <c r="T301" s="608"/>
      <c r="U301" s="608"/>
      <c r="V301" s="608"/>
      <c r="W301" s="608"/>
      <c r="X301" s="608"/>
      <c r="Y301" s="608"/>
    </row>
    <row r="302" spans="2:25" s="343" customFormat="1">
      <c r="B302" s="1144"/>
      <c r="C302" s="600"/>
      <c r="D302" s="600"/>
      <c r="E302" s="614"/>
      <c r="F302" s="614"/>
      <c r="G302" s="614"/>
      <c r="H302" s="614"/>
      <c r="I302" s="614"/>
      <c r="J302" s="600"/>
      <c r="K302" s="600"/>
      <c r="L302" s="600"/>
      <c r="S302" s="608"/>
      <c r="T302" s="608"/>
      <c r="U302" s="608"/>
      <c r="V302" s="608"/>
      <c r="W302" s="608"/>
      <c r="X302" s="608"/>
      <c r="Y302" s="608"/>
    </row>
    <row r="303" spans="2:25" s="343" customFormat="1">
      <c r="B303" s="1144"/>
      <c r="C303" s="600"/>
      <c r="D303" s="600"/>
      <c r="E303" s="614"/>
      <c r="F303" s="614"/>
      <c r="G303" s="614"/>
      <c r="H303" s="614"/>
      <c r="I303" s="614"/>
      <c r="J303" s="600"/>
      <c r="K303" s="600"/>
      <c r="L303" s="600"/>
      <c r="S303" s="608"/>
      <c r="T303" s="608"/>
      <c r="U303" s="608"/>
      <c r="V303" s="608"/>
      <c r="W303" s="608"/>
      <c r="X303" s="608"/>
      <c r="Y303" s="608"/>
    </row>
    <row r="304" spans="2:25" s="343" customFormat="1">
      <c r="B304" s="1144"/>
      <c r="C304" s="600"/>
      <c r="D304" s="600"/>
      <c r="E304" s="614"/>
      <c r="F304" s="614"/>
      <c r="G304" s="614"/>
      <c r="H304" s="614"/>
      <c r="I304" s="614"/>
      <c r="J304" s="600"/>
      <c r="K304" s="600"/>
      <c r="L304" s="600"/>
      <c r="S304" s="608"/>
      <c r="T304" s="608"/>
      <c r="U304" s="608"/>
      <c r="V304" s="608"/>
      <c r="W304" s="608"/>
      <c r="X304" s="608"/>
      <c r="Y304" s="608"/>
    </row>
    <row r="305" spans="2:25" s="343" customFormat="1">
      <c r="B305" s="1144"/>
      <c r="C305" s="600"/>
      <c r="D305" s="600"/>
      <c r="E305" s="614"/>
      <c r="F305" s="614"/>
      <c r="G305" s="614"/>
      <c r="H305" s="614"/>
      <c r="I305" s="614"/>
      <c r="J305" s="600"/>
      <c r="K305" s="600"/>
      <c r="L305" s="600"/>
      <c r="S305" s="608"/>
      <c r="T305" s="608"/>
      <c r="U305" s="608"/>
      <c r="V305" s="608"/>
      <c r="W305" s="608"/>
      <c r="X305" s="608"/>
      <c r="Y305" s="608"/>
    </row>
    <row r="306" spans="2:25" s="343" customFormat="1">
      <c r="B306" s="1144"/>
      <c r="C306" s="600"/>
      <c r="D306" s="600"/>
      <c r="E306" s="614"/>
      <c r="F306" s="614"/>
      <c r="G306" s="614"/>
      <c r="H306" s="614"/>
      <c r="I306" s="614"/>
      <c r="J306" s="600"/>
      <c r="K306" s="600"/>
      <c r="L306" s="600"/>
      <c r="S306" s="608"/>
      <c r="T306" s="608"/>
      <c r="U306" s="608"/>
      <c r="V306" s="608"/>
      <c r="W306" s="608"/>
      <c r="X306" s="608"/>
      <c r="Y306" s="608"/>
    </row>
    <row r="307" spans="2:25" s="343" customFormat="1">
      <c r="B307" s="1144"/>
      <c r="C307" s="600"/>
      <c r="D307" s="600"/>
      <c r="E307" s="614"/>
      <c r="F307" s="614"/>
      <c r="G307" s="614"/>
      <c r="H307" s="614"/>
      <c r="I307" s="614"/>
      <c r="J307" s="600"/>
      <c r="K307" s="600"/>
      <c r="L307" s="600"/>
      <c r="S307" s="608"/>
      <c r="T307" s="608"/>
      <c r="U307" s="608"/>
      <c r="V307" s="608"/>
      <c r="W307" s="608"/>
      <c r="X307" s="608"/>
      <c r="Y307" s="608"/>
    </row>
    <row r="308" spans="2:25" s="343" customFormat="1">
      <c r="B308" s="1144"/>
      <c r="C308" s="600"/>
      <c r="D308" s="600"/>
      <c r="E308" s="614"/>
      <c r="F308" s="614"/>
      <c r="G308" s="614"/>
      <c r="H308" s="614"/>
      <c r="I308" s="614"/>
      <c r="J308" s="600"/>
      <c r="K308" s="600"/>
      <c r="L308" s="600"/>
      <c r="S308" s="608"/>
      <c r="T308" s="608"/>
      <c r="U308" s="608"/>
      <c r="V308" s="608"/>
      <c r="W308" s="608"/>
      <c r="X308" s="608"/>
      <c r="Y308" s="608"/>
    </row>
    <row r="309" spans="2:25" s="343" customFormat="1">
      <c r="B309" s="1144"/>
      <c r="C309" s="600"/>
      <c r="D309" s="600"/>
      <c r="E309" s="614"/>
      <c r="F309" s="614"/>
      <c r="G309" s="614"/>
      <c r="H309" s="614"/>
      <c r="I309" s="614"/>
      <c r="J309" s="600"/>
      <c r="K309" s="600"/>
      <c r="L309" s="600"/>
      <c r="S309" s="608"/>
      <c r="T309" s="608"/>
      <c r="U309" s="608"/>
      <c r="V309" s="608"/>
      <c r="W309" s="608"/>
      <c r="X309" s="608"/>
      <c r="Y309" s="608"/>
    </row>
    <row r="310" spans="2:25" s="343" customFormat="1">
      <c r="B310" s="1144"/>
      <c r="C310" s="600"/>
      <c r="D310" s="600"/>
      <c r="E310" s="614"/>
      <c r="F310" s="614"/>
      <c r="G310" s="614"/>
      <c r="H310" s="614"/>
      <c r="I310" s="614"/>
      <c r="J310" s="600"/>
      <c r="K310" s="600"/>
      <c r="L310" s="600"/>
      <c r="S310" s="608"/>
      <c r="T310" s="608"/>
      <c r="U310" s="608"/>
      <c r="V310" s="608"/>
      <c r="W310" s="608"/>
      <c r="X310" s="608"/>
      <c r="Y310" s="608"/>
    </row>
    <row r="311" spans="2:25" s="343" customFormat="1">
      <c r="B311" s="1144"/>
      <c r="C311" s="600"/>
      <c r="D311" s="600"/>
      <c r="E311" s="614"/>
      <c r="F311" s="614"/>
      <c r="G311" s="614"/>
      <c r="H311" s="614"/>
      <c r="I311" s="614"/>
      <c r="J311" s="600"/>
      <c r="K311" s="600"/>
      <c r="L311" s="600"/>
      <c r="S311" s="608"/>
      <c r="T311" s="608"/>
      <c r="U311" s="608"/>
      <c r="V311" s="608"/>
      <c r="W311" s="608"/>
      <c r="X311" s="608"/>
      <c r="Y311" s="608"/>
    </row>
    <row r="312" spans="2:25" s="343" customFormat="1">
      <c r="B312" s="1144"/>
      <c r="C312" s="600"/>
      <c r="D312" s="600"/>
      <c r="E312" s="614"/>
      <c r="F312" s="614"/>
      <c r="G312" s="614"/>
      <c r="H312" s="614"/>
      <c r="I312" s="614"/>
      <c r="J312" s="600"/>
      <c r="K312" s="600"/>
      <c r="L312" s="600"/>
      <c r="S312" s="608"/>
      <c r="T312" s="608"/>
      <c r="U312" s="608"/>
      <c r="V312" s="608"/>
      <c r="W312" s="608"/>
      <c r="X312" s="608"/>
      <c r="Y312" s="608"/>
    </row>
    <row r="313" spans="2:25" s="343" customFormat="1">
      <c r="B313" s="1144"/>
      <c r="C313" s="600"/>
      <c r="D313" s="600"/>
      <c r="E313" s="614"/>
      <c r="F313" s="614"/>
      <c r="G313" s="614"/>
      <c r="H313" s="614"/>
      <c r="I313" s="614"/>
      <c r="J313" s="600"/>
      <c r="K313" s="600"/>
      <c r="L313" s="600"/>
      <c r="S313" s="608"/>
      <c r="T313" s="608"/>
      <c r="U313" s="608"/>
      <c r="V313" s="608"/>
      <c r="W313" s="608"/>
      <c r="X313" s="608"/>
      <c r="Y313" s="608"/>
    </row>
    <row r="314" spans="2:25" s="343" customFormat="1">
      <c r="B314" s="1144"/>
      <c r="C314" s="600"/>
      <c r="D314" s="600"/>
      <c r="E314" s="614"/>
      <c r="F314" s="614"/>
      <c r="G314" s="614"/>
      <c r="H314" s="614"/>
      <c r="I314" s="614"/>
      <c r="J314" s="600"/>
      <c r="K314" s="600"/>
      <c r="L314" s="600"/>
      <c r="S314" s="608"/>
      <c r="T314" s="608"/>
      <c r="U314" s="608"/>
      <c r="V314" s="608"/>
      <c r="W314" s="608"/>
      <c r="X314" s="608"/>
      <c r="Y314" s="608"/>
    </row>
    <row r="315" spans="2:25" s="343" customFormat="1">
      <c r="B315" s="1144"/>
      <c r="C315" s="600"/>
      <c r="D315" s="600"/>
      <c r="E315" s="614"/>
      <c r="F315" s="614"/>
      <c r="G315" s="614"/>
      <c r="H315" s="614"/>
      <c r="I315" s="614"/>
      <c r="J315" s="600"/>
      <c r="K315" s="600"/>
      <c r="L315" s="600"/>
      <c r="S315" s="608"/>
      <c r="T315" s="608"/>
      <c r="U315" s="608"/>
      <c r="V315" s="608"/>
      <c r="W315" s="608"/>
      <c r="X315" s="608"/>
      <c r="Y315" s="608"/>
    </row>
    <row r="316" spans="2:25" s="343" customFormat="1">
      <c r="B316" s="1144"/>
      <c r="C316" s="600"/>
      <c r="D316" s="600"/>
      <c r="E316" s="614"/>
      <c r="F316" s="614"/>
      <c r="G316" s="614"/>
      <c r="H316" s="614"/>
      <c r="I316" s="614"/>
      <c r="J316" s="600"/>
      <c r="K316" s="600"/>
      <c r="L316" s="600"/>
      <c r="S316" s="608"/>
      <c r="T316" s="608"/>
      <c r="U316" s="608"/>
      <c r="V316" s="608"/>
      <c r="W316" s="608"/>
      <c r="X316" s="608"/>
      <c r="Y316" s="608"/>
    </row>
    <row r="317" spans="2:25" s="343" customFormat="1">
      <c r="B317" s="1144"/>
      <c r="C317" s="600"/>
      <c r="D317" s="600"/>
      <c r="E317" s="614"/>
      <c r="F317" s="614"/>
      <c r="G317" s="614"/>
      <c r="H317" s="614"/>
      <c r="I317" s="614"/>
      <c r="J317" s="600"/>
      <c r="K317" s="600"/>
      <c r="L317" s="600"/>
      <c r="S317" s="608"/>
      <c r="T317" s="608"/>
      <c r="U317" s="608"/>
      <c r="V317" s="608"/>
      <c r="W317" s="608"/>
      <c r="X317" s="608"/>
      <c r="Y317" s="608"/>
    </row>
    <row r="318" spans="2:25" s="343" customFormat="1">
      <c r="B318" s="1144"/>
      <c r="C318" s="600"/>
      <c r="D318" s="600"/>
      <c r="E318" s="614"/>
      <c r="F318" s="614"/>
      <c r="G318" s="614"/>
      <c r="H318" s="614"/>
      <c r="I318" s="614"/>
      <c r="J318" s="600"/>
      <c r="K318" s="600"/>
      <c r="L318" s="600"/>
      <c r="S318" s="608"/>
      <c r="T318" s="608"/>
      <c r="U318" s="608"/>
      <c r="V318" s="608"/>
      <c r="W318" s="608"/>
      <c r="X318" s="608"/>
      <c r="Y318" s="608"/>
    </row>
    <row r="319" spans="2:25" s="343" customFormat="1">
      <c r="B319" s="1144"/>
      <c r="C319" s="600"/>
      <c r="D319" s="600"/>
      <c r="E319" s="614"/>
      <c r="F319" s="614"/>
      <c r="G319" s="614"/>
      <c r="H319" s="614"/>
      <c r="I319" s="614"/>
      <c r="J319" s="600"/>
      <c r="K319" s="600"/>
      <c r="L319" s="600"/>
      <c r="S319" s="608"/>
      <c r="T319" s="608"/>
      <c r="U319" s="608"/>
      <c r="V319" s="608"/>
      <c r="W319" s="608"/>
      <c r="X319" s="608"/>
      <c r="Y319" s="608"/>
    </row>
    <row r="320" spans="2:25" s="343" customFormat="1">
      <c r="B320" s="1144"/>
      <c r="C320" s="600"/>
      <c r="D320" s="600"/>
      <c r="E320" s="614"/>
      <c r="F320" s="614"/>
      <c r="G320" s="614"/>
      <c r="H320" s="614"/>
      <c r="I320" s="614"/>
      <c r="J320" s="600"/>
      <c r="K320" s="600"/>
      <c r="L320" s="600"/>
      <c r="S320" s="608"/>
      <c r="T320" s="608"/>
      <c r="U320" s="608"/>
      <c r="V320" s="608"/>
      <c r="W320" s="608"/>
      <c r="X320" s="608"/>
      <c r="Y320" s="608"/>
    </row>
    <row r="321" spans="2:25" s="343" customFormat="1">
      <c r="B321" s="1144"/>
      <c r="C321" s="600"/>
      <c r="D321" s="600"/>
      <c r="E321" s="614"/>
      <c r="F321" s="614"/>
      <c r="G321" s="614"/>
      <c r="H321" s="614"/>
      <c r="I321" s="614"/>
      <c r="J321" s="600"/>
      <c r="K321" s="600"/>
      <c r="L321" s="600"/>
      <c r="S321" s="608"/>
      <c r="T321" s="608"/>
      <c r="U321" s="608"/>
      <c r="V321" s="608"/>
      <c r="W321" s="608"/>
      <c r="X321" s="608"/>
      <c r="Y321" s="608"/>
    </row>
    <row r="322" spans="2:25" s="343" customFormat="1">
      <c r="B322" s="1144"/>
      <c r="C322" s="600"/>
      <c r="D322" s="600"/>
      <c r="E322" s="614"/>
      <c r="F322" s="614"/>
      <c r="G322" s="614"/>
      <c r="H322" s="614"/>
      <c r="I322" s="614"/>
      <c r="J322" s="600"/>
      <c r="K322" s="600"/>
      <c r="L322" s="600"/>
      <c r="S322" s="608"/>
      <c r="T322" s="608"/>
      <c r="U322" s="608"/>
      <c r="V322" s="608"/>
      <c r="W322" s="608"/>
      <c r="X322" s="608"/>
      <c r="Y322" s="608"/>
    </row>
    <row r="323" spans="2:25" s="343" customFormat="1">
      <c r="B323" s="1144"/>
      <c r="C323" s="600"/>
      <c r="D323" s="600"/>
      <c r="E323" s="614"/>
      <c r="F323" s="614"/>
      <c r="G323" s="614"/>
      <c r="H323" s="614"/>
      <c r="I323" s="614"/>
      <c r="J323" s="600"/>
      <c r="K323" s="600"/>
      <c r="L323" s="600"/>
      <c r="S323" s="608"/>
      <c r="T323" s="608"/>
      <c r="U323" s="608"/>
      <c r="V323" s="608"/>
      <c r="W323" s="608"/>
      <c r="X323" s="608"/>
      <c r="Y323" s="608"/>
    </row>
    <row r="324" spans="2:25" s="343" customFormat="1">
      <c r="B324" s="1144"/>
      <c r="C324" s="600"/>
      <c r="D324" s="600"/>
      <c r="E324" s="614"/>
      <c r="F324" s="614"/>
      <c r="G324" s="614"/>
      <c r="H324" s="614"/>
      <c r="I324" s="614"/>
      <c r="J324" s="600"/>
      <c r="K324" s="600"/>
      <c r="L324" s="600"/>
      <c r="S324" s="608"/>
      <c r="T324" s="608"/>
      <c r="U324" s="608"/>
      <c r="V324" s="608"/>
      <c r="W324" s="608"/>
      <c r="X324" s="608"/>
      <c r="Y324" s="608"/>
    </row>
    <row r="325" spans="2:25" s="343" customFormat="1">
      <c r="B325" s="1144"/>
      <c r="C325" s="600"/>
      <c r="D325" s="600"/>
      <c r="E325" s="614"/>
      <c r="F325" s="614"/>
      <c r="G325" s="614"/>
      <c r="H325" s="614"/>
      <c r="I325" s="614"/>
      <c r="J325" s="600"/>
      <c r="K325" s="600"/>
      <c r="L325" s="600"/>
      <c r="S325" s="608"/>
      <c r="T325" s="608"/>
      <c r="U325" s="608"/>
      <c r="V325" s="608"/>
      <c r="W325" s="608"/>
      <c r="X325" s="608"/>
      <c r="Y325" s="608"/>
    </row>
    <row r="326" spans="2:25" s="343" customFormat="1">
      <c r="B326" s="1144"/>
      <c r="C326" s="600"/>
      <c r="D326" s="600"/>
      <c r="E326" s="614"/>
      <c r="F326" s="614"/>
      <c r="G326" s="614"/>
      <c r="H326" s="614"/>
      <c r="I326" s="614"/>
      <c r="J326" s="600"/>
      <c r="K326" s="600"/>
      <c r="L326" s="600"/>
      <c r="S326" s="608"/>
      <c r="T326" s="608"/>
      <c r="U326" s="608"/>
      <c r="V326" s="608"/>
      <c r="W326" s="608"/>
      <c r="X326" s="608"/>
      <c r="Y326" s="608"/>
    </row>
    <row r="327" spans="2:25" s="343" customFormat="1">
      <c r="B327" s="1144"/>
      <c r="C327" s="600"/>
      <c r="D327" s="600"/>
      <c r="E327" s="614"/>
      <c r="F327" s="614"/>
      <c r="G327" s="614"/>
      <c r="H327" s="614"/>
      <c r="I327" s="614"/>
      <c r="J327" s="600"/>
      <c r="K327" s="600"/>
      <c r="L327" s="600"/>
      <c r="S327" s="608"/>
      <c r="T327" s="608"/>
      <c r="U327" s="608"/>
      <c r="V327" s="608"/>
      <c r="W327" s="608"/>
      <c r="X327" s="608"/>
      <c r="Y327" s="608"/>
    </row>
    <row r="328" spans="2:25" s="343" customFormat="1">
      <c r="B328" s="1144"/>
      <c r="C328" s="600"/>
      <c r="D328" s="600"/>
      <c r="E328" s="614"/>
      <c r="F328" s="614"/>
      <c r="G328" s="614"/>
      <c r="H328" s="614"/>
      <c r="I328" s="614"/>
      <c r="J328" s="600"/>
      <c r="K328" s="600"/>
      <c r="L328" s="600"/>
      <c r="S328" s="608"/>
      <c r="T328" s="608"/>
      <c r="U328" s="608"/>
      <c r="V328" s="608"/>
      <c r="W328" s="608"/>
      <c r="X328" s="608"/>
      <c r="Y328" s="608"/>
    </row>
    <row r="329" spans="2:25" s="343" customFormat="1">
      <c r="B329" s="1144"/>
      <c r="C329" s="600"/>
      <c r="D329" s="600"/>
      <c r="E329" s="614"/>
      <c r="F329" s="614"/>
      <c r="G329" s="614"/>
      <c r="H329" s="614"/>
      <c r="I329" s="614"/>
      <c r="J329" s="600"/>
      <c r="K329" s="600"/>
      <c r="L329" s="600"/>
      <c r="S329" s="608"/>
      <c r="T329" s="608"/>
      <c r="U329" s="608"/>
      <c r="V329" s="608"/>
      <c r="W329" s="608"/>
      <c r="X329" s="608"/>
      <c r="Y329" s="608"/>
    </row>
    <row r="330" spans="2:25" s="343" customFormat="1">
      <c r="B330" s="1144"/>
      <c r="C330" s="600"/>
      <c r="D330" s="600"/>
      <c r="E330" s="614"/>
      <c r="F330" s="614"/>
      <c r="G330" s="614"/>
      <c r="H330" s="614"/>
      <c r="I330" s="614"/>
      <c r="J330" s="600"/>
      <c r="K330" s="600"/>
      <c r="L330" s="600"/>
      <c r="S330" s="608"/>
      <c r="T330" s="608"/>
      <c r="U330" s="608"/>
      <c r="V330" s="608"/>
      <c r="W330" s="608"/>
      <c r="X330" s="608"/>
      <c r="Y330" s="608"/>
    </row>
    <row r="331" spans="2:25" s="343" customFormat="1">
      <c r="B331" s="1144"/>
      <c r="C331" s="600"/>
      <c r="D331" s="600"/>
      <c r="E331" s="614"/>
      <c r="F331" s="614"/>
      <c r="G331" s="614"/>
      <c r="H331" s="614"/>
      <c r="I331" s="614"/>
      <c r="J331" s="600"/>
      <c r="K331" s="600"/>
      <c r="L331" s="600"/>
      <c r="S331" s="608"/>
      <c r="T331" s="608"/>
      <c r="U331" s="608"/>
      <c r="V331" s="608"/>
      <c r="W331" s="608"/>
      <c r="X331" s="608"/>
      <c r="Y331" s="608"/>
    </row>
    <row r="332" spans="2:25" s="343" customFormat="1">
      <c r="B332" s="1144"/>
      <c r="C332" s="600"/>
      <c r="D332" s="600"/>
      <c r="E332" s="614"/>
      <c r="F332" s="614"/>
      <c r="G332" s="614"/>
      <c r="H332" s="614"/>
      <c r="I332" s="614"/>
      <c r="J332" s="600"/>
      <c r="K332" s="600"/>
      <c r="L332" s="600"/>
      <c r="S332" s="608"/>
      <c r="T332" s="608"/>
      <c r="U332" s="608"/>
      <c r="V332" s="608"/>
      <c r="W332" s="608"/>
      <c r="X332" s="608"/>
      <c r="Y332" s="608"/>
    </row>
    <row r="333" spans="2:25" s="343" customFormat="1">
      <c r="B333" s="1144"/>
      <c r="C333" s="600"/>
      <c r="D333" s="600"/>
      <c r="E333" s="614"/>
      <c r="F333" s="614"/>
      <c r="G333" s="614"/>
      <c r="H333" s="614"/>
      <c r="I333" s="614"/>
      <c r="J333" s="600"/>
      <c r="K333" s="600"/>
      <c r="L333" s="600"/>
      <c r="S333" s="608"/>
      <c r="T333" s="608"/>
      <c r="U333" s="608"/>
      <c r="V333" s="608"/>
      <c r="W333" s="608"/>
      <c r="X333" s="608"/>
      <c r="Y333" s="608"/>
    </row>
    <row r="334" spans="2:25" s="343" customFormat="1">
      <c r="B334" s="1144"/>
      <c r="C334" s="600"/>
      <c r="D334" s="600"/>
      <c r="E334" s="614"/>
      <c r="F334" s="614"/>
      <c r="G334" s="614"/>
      <c r="H334" s="614"/>
      <c r="I334" s="614"/>
      <c r="J334" s="600"/>
      <c r="K334" s="600"/>
      <c r="L334" s="600"/>
      <c r="S334" s="608"/>
      <c r="T334" s="608"/>
      <c r="U334" s="608"/>
      <c r="V334" s="608"/>
      <c r="W334" s="608"/>
      <c r="X334" s="608"/>
      <c r="Y334" s="608"/>
    </row>
    <row r="335" spans="2:25" s="343" customFormat="1">
      <c r="B335" s="1144"/>
      <c r="C335" s="600"/>
      <c r="D335" s="600"/>
      <c r="E335" s="614"/>
      <c r="F335" s="614"/>
      <c r="G335" s="614"/>
      <c r="H335" s="614"/>
      <c r="I335" s="614"/>
      <c r="J335" s="600"/>
      <c r="K335" s="600"/>
      <c r="L335" s="600"/>
      <c r="S335" s="608"/>
      <c r="T335" s="608"/>
      <c r="U335" s="608"/>
      <c r="V335" s="608"/>
      <c r="W335" s="608"/>
      <c r="X335" s="608"/>
      <c r="Y335" s="608"/>
    </row>
    <row r="336" spans="2:25" s="343" customFormat="1">
      <c r="B336" s="1144"/>
      <c r="C336" s="600"/>
      <c r="D336" s="600"/>
      <c r="E336" s="614"/>
      <c r="F336" s="614"/>
      <c r="G336" s="614"/>
      <c r="H336" s="614"/>
      <c r="I336" s="614"/>
      <c r="J336" s="600"/>
      <c r="K336" s="600"/>
      <c r="L336" s="600"/>
      <c r="S336" s="608"/>
      <c r="T336" s="608"/>
      <c r="U336" s="608"/>
      <c r="V336" s="608"/>
      <c r="W336" s="608"/>
      <c r="X336" s="608"/>
      <c r="Y336" s="608"/>
    </row>
    <row r="337" spans="2:25" s="343" customFormat="1">
      <c r="B337" s="1144"/>
      <c r="C337" s="600"/>
      <c r="D337" s="600"/>
      <c r="E337" s="614"/>
      <c r="F337" s="614"/>
      <c r="G337" s="614"/>
      <c r="H337" s="614"/>
      <c r="I337" s="614"/>
      <c r="J337" s="600"/>
      <c r="K337" s="600"/>
      <c r="L337" s="600"/>
      <c r="S337" s="608"/>
      <c r="T337" s="608"/>
      <c r="U337" s="608"/>
      <c r="V337" s="608"/>
      <c r="W337" s="608"/>
      <c r="X337" s="608"/>
      <c r="Y337" s="608"/>
    </row>
    <row r="338" spans="2:25" s="343" customFormat="1">
      <c r="B338" s="1144"/>
      <c r="C338" s="600"/>
      <c r="D338" s="600"/>
      <c r="E338" s="614"/>
      <c r="F338" s="614"/>
      <c r="G338" s="614"/>
      <c r="H338" s="614"/>
      <c r="I338" s="614"/>
      <c r="J338" s="600"/>
      <c r="K338" s="600"/>
      <c r="L338" s="600"/>
      <c r="S338" s="608"/>
      <c r="T338" s="608"/>
      <c r="U338" s="608"/>
      <c r="V338" s="608"/>
      <c r="W338" s="608"/>
      <c r="X338" s="608"/>
      <c r="Y338" s="608"/>
    </row>
    <row r="339" spans="2:25" s="343" customFormat="1">
      <c r="B339" s="1144"/>
      <c r="C339" s="600"/>
      <c r="D339" s="600"/>
      <c r="E339" s="614"/>
      <c r="F339" s="614"/>
      <c r="G339" s="614"/>
      <c r="H339" s="614"/>
      <c r="I339" s="614"/>
      <c r="J339" s="600"/>
      <c r="K339" s="600"/>
      <c r="L339" s="600"/>
      <c r="S339" s="608"/>
      <c r="T339" s="608"/>
      <c r="U339" s="608"/>
      <c r="V339" s="608"/>
      <c r="W339" s="608"/>
      <c r="X339" s="608"/>
      <c r="Y339" s="608"/>
    </row>
    <row r="340" spans="2:25" s="343" customFormat="1">
      <c r="B340" s="1144"/>
      <c r="C340" s="600"/>
      <c r="D340" s="600"/>
      <c r="E340" s="614"/>
      <c r="F340" s="614"/>
      <c r="G340" s="614"/>
      <c r="H340" s="614"/>
      <c r="I340" s="614"/>
      <c r="J340" s="600"/>
      <c r="K340" s="600"/>
      <c r="L340" s="600"/>
      <c r="S340" s="608"/>
      <c r="T340" s="608"/>
      <c r="U340" s="608"/>
      <c r="V340" s="608"/>
      <c r="W340" s="608"/>
      <c r="X340" s="608"/>
      <c r="Y340" s="608"/>
    </row>
    <row r="341" spans="2:25" s="343" customFormat="1">
      <c r="B341" s="1144"/>
      <c r="C341" s="600"/>
      <c r="D341" s="600"/>
      <c r="E341" s="614"/>
      <c r="F341" s="614"/>
      <c r="G341" s="614"/>
      <c r="H341" s="614"/>
      <c r="I341" s="614"/>
      <c r="J341" s="600"/>
      <c r="K341" s="600"/>
      <c r="L341" s="600"/>
      <c r="S341" s="608"/>
      <c r="T341" s="608"/>
      <c r="U341" s="608"/>
      <c r="V341" s="608"/>
      <c r="W341" s="608"/>
      <c r="X341" s="608"/>
      <c r="Y341" s="608"/>
    </row>
    <row r="342" spans="2:25" s="343" customFormat="1">
      <c r="B342" s="1144"/>
      <c r="C342" s="600"/>
      <c r="D342" s="600"/>
      <c r="E342" s="614"/>
      <c r="F342" s="614"/>
      <c r="G342" s="614"/>
      <c r="H342" s="614"/>
      <c r="I342" s="614"/>
      <c r="J342" s="600"/>
      <c r="K342" s="600"/>
      <c r="L342" s="600"/>
      <c r="S342" s="608"/>
      <c r="T342" s="608"/>
      <c r="U342" s="608"/>
      <c r="V342" s="608"/>
      <c r="W342" s="608"/>
      <c r="X342" s="608"/>
      <c r="Y342" s="608"/>
    </row>
    <row r="343" spans="2:25" s="343" customFormat="1">
      <c r="B343" s="1144"/>
      <c r="C343" s="600"/>
      <c r="D343" s="600"/>
      <c r="E343" s="614"/>
      <c r="F343" s="614"/>
      <c r="G343" s="614"/>
      <c r="H343" s="614"/>
      <c r="I343" s="614"/>
      <c r="J343" s="600"/>
      <c r="K343" s="600"/>
      <c r="L343" s="600"/>
      <c r="S343" s="608"/>
      <c r="T343" s="608"/>
      <c r="U343" s="608"/>
      <c r="V343" s="608"/>
      <c r="W343" s="608"/>
      <c r="X343" s="608"/>
      <c r="Y343" s="608"/>
    </row>
    <row r="344" spans="2:25" s="343" customFormat="1">
      <c r="B344" s="1144"/>
      <c r="C344" s="600"/>
      <c r="D344" s="600"/>
      <c r="E344" s="614"/>
      <c r="F344" s="614"/>
      <c r="G344" s="614"/>
      <c r="H344" s="614"/>
      <c r="I344" s="614"/>
      <c r="J344" s="600"/>
      <c r="K344" s="600"/>
      <c r="L344" s="600"/>
      <c r="S344" s="608"/>
      <c r="T344" s="608"/>
      <c r="U344" s="608"/>
      <c r="V344" s="608"/>
      <c r="W344" s="608"/>
      <c r="X344" s="608"/>
      <c r="Y344" s="608"/>
    </row>
    <row r="345" spans="2:25" s="343" customFormat="1">
      <c r="B345" s="1144"/>
      <c r="C345" s="600"/>
      <c r="D345" s="600"/>
      <c r="E345" s="614"/>
      <c r="F345" s="614"/>
      <c r="G345" s="614"/>
      <c r="H345" s="614"/>
      <c r="I345" s="614"/>
      <c r="J345" s="600"/>
      <c r="K345" s="600"/>
      <c r="L345" s="600"/>
      <c r="S345" s="608"/>
      <c r="T345" s="608"/>
      <c r="U345" s="608"/>
      <c r="V345" s="608"/>
      <c r="W345" s="608"/>
      <c r="X345" s="608"/>
      <c r="Y345" s="608"/>
    </row>
    <row r="346" spans="2:25" s="343" customFormat="1">
      <c r="B346" s="1144"/>
      <c r="C346" s="600"/>
      <c r="D346" s="600"/>
      <c r="E346" s="614"/>
      <c r="F346" s="614"/>
      <c r="G346" s="614"/>
      <c r="H346" s="614"/>
      <c r="I346" s="614"/>
      <c r="J346" s="600"/>
      <c r="K346" s="600"/>
      <c r="L346" s="600"/>
      <c r="S346" s="608"/>
      <c r="T346" s="608"/>
      <c r="U346" s="608"/>
      <c r="V346" s="608"/>
      <c r="W346" s="608"/>
      <c r="X346" s="608"/>
      <c r="Y346" s="608"/>
    </row>
    <row r="347" spans="2:25" s="343" customFormat="1">
      <c r="B347" s="1144"/>
      <c r="C347" s="600"/>
      <c r="D347" s="600"/>
      <c r="E347" s="614"/>
      <c r="F347" s="614"/>
      <c r="G347" s="614"/>
      <c r="H347" s="614"/>
      <c r="I347" s="614"/>
      <c r="J347" s="600"/>
      <c r="K347" s="600"/>
      <c r="L347" s="600"/>
      <c r="S347" s="608"/>
      <c r="T347" s="608"/>
      <c r="U347" s="608"/>
      <c r="V347" s="608"/>
      <c r="W347" s="608"/>
      <c r="X347" s="608"/>
      <c r="Y347" s="608"/>
    </row>
    <row r="348" spans="2:25" s="343" customFormat="1">
      <c r="B348" s="1144"/>
      <c r="C348" s="600"/>
      <c r="D348" s="600"/>
      <c r="E348" s="614"/>
      <c r="F348" s="614"/>
      <c r="G348" s="614"/>
      <c r="H348" s="614"/>
      <c r="I348" s="614"/>
      <c r="J348" s="600"/>
      <c r="K348" s="600"/>
      <c r="L348" s="600"/>
      <c r="S348" s="608"/>
      <c r="T348" s="608"/>
      <c r="U348" s="608"/>
      <c r="V348" s="608"/>
      <c r="W348" s="608"/>
      <c r="X348" s="608"/>
      <c r="Y348" s="608"/>
    </row>
    <row r="349" spans="2:25" s="343" customFormat="1">
      <c r="B349" s="1144"/>
      <c r="C349" s="600"/>
      <c r="D349" s="600"/>
      <c r="E349" s="614"/>
      <c r="F349" s="614"/>
      <c r="G349" s="614"/>
      <c r="H349" s="614"/>
      <c r="I349" s="614"/>
      <c r="J349" s="600"/>
      <c r="K349" s="600"/>
      <c r="L349" s="600"/>
      <c r="S349" s="608"/>
      <c r="T349" s="608"/>
      <c r="U349" s="608"/>
      <c r="V349" s="608"/>
      <c r="W349" s="608"/>
      <c r="X349" s="608"/>
      <c r="Y349" s="608"/>
    </row>
    <row r="350" spans="2:25" s="343" customFormat="1">
      <c r="B350" s="1144"/>
      <c r="C350" s="600"/>
      <c r="D350" s="600"/>
      <c r="E350" s="614"/>
      <c r="F350" s="614"/>
      <c r="G350" s="614"/>
      <c r="H350" s="614"/>
      <c r="I350" s="614"/>
      <c r="J350" s="600"/>
      <c r="K350" s="600"/>
      <c r="L350" s="600"/>
      <c r="S350" s="608"/>
      <c r="T350" s="608"/>
      <c r="U350" s="608"/>
      <c r="V350" s="608"/>
      <c r="W350" s="608"/>
      <c r="X350" s="608"/>
      <c r="Y350" s="608"/>
    </row>
    <row r="351" spans="2:25" s="343" customFormat="1">
      <c r="B351" s="1144"/>
      <c r="C351" s="600"/>
      <c r="D351" s="600"/>
      <c r="E351" s="614"/>
      <c r="F351" s="614"/>
      <c r="G351" s="614"/>
      <c r="H351" s="614"/>
      <c r="I351" s="614"/>
      <c r="J351" s="600"/>
      <c r="K351" s="600"/>
      <c r="L351" s="600"/>
      <c r="S351" s="608"/>
      <c r="T351" s="608"/>
      <c r="U351" s="608"/>
      <c r="V351" s="608"/>
      <c r="W351" s="608"/>
      <c r="X351" s="608"/>
      <c r="Y351" s="608"/>
    </row>
    <row r="352" spans="2:25" s="343" customFormat="1">
      <c r="B352" s="1144"/>
      <c r="C352" s="600"/>
      <c r="D352" s="600"/>
      <c r="E352" s="614"/>
      <c r="F352" s="614"/>
      <c r="G352" s="614"/>
      <c r="H352" s="614"/>
      <c r="I352" s="614"/>
      <c r="J352" s="600"/>
      <c r="K352" s="600"/>
      <c r="L352" s="600"/>
      <c r="S352" s="608"/>
      <c r="T352" s="608"/>
      <c r="U352" s="608"/>
      <c r="V352" s="608"/>
      <c r="W352" s="608"/>
      <c r="X352" s="608"/>
      <c r="Y352" s="608"/>
    </row>
    <row r="353" spans="2:25" s="343" customFormat="1">
      <c r="B353" s="1144"/>
      <c r="C353" s="600"/>
      <c r="D353" s="600"/>
      <c r="E353" s="614"/>
      <c r="F353" s="614"/>
      <c r="G353" s="614"/>
      <c r="H353" s="614"/>
      <c r="I353" s="614"/>
      <c r="J353" s="600"/>
      <c r="K353" s="600"/>
      <c r="L353" s="600"/>
      <c r="S353" s="608"/>
      <c r="T353" s="608"/>
      <c r="U353" s="608"/>
      <c r="V353" s="608"/>
      <c r="W353" s="608"/>
      <c r="X353" s="608"/>
      <c r="Y353" s="608"/>
    </row>
    <row r="354" spans="2:25" s="343" customFormat="1">
      <c r="B354" s="1144"/>
      <c r="C354" s="600"/>
      <c r="D354" s="600"/>
      <c r="E354" s="614"/>
      <c r="F354" s="614"/>
      <c r="G354" s="614"/>
      <c r="H354" s="614"/>
      <c r="I354" s="614"/>
      <c r="J354" s="600"/>
      <c r="K354" s="600"/>
      <c r="L354" s="600"/>
      <c r="S354" s="608"/>
      <c r="T354" s="608"/>
      <c r="U354" s="608"/>
      <c r="V354" s="608"/>
      <c r="W354" s="608"/>
      <c r="X354" s="608"/>
      <c r="Y354" s="608"/>
    </row>
    <row r="355" spans="2:25" s="343" customFormat="1">
      <c r="B355" s="1144"/>
      <c r="C355" s="600"/>
      <c r="D355" s="600"/>
      <c r="E355" s="614"/>
      <c r="F355" s="614"/>
      <c r="G355" s="614"/>
      <c r="H355" s="614"/>
      <c r="I355" s="614"/>
      <c r="J355" s="600"/>
      <c r="K355" s="600"/>
      <c r="L355" s="600"/>
      <c r="S355" s="608"/>
      <c r="T355" s="608"/>
      <c r="U355" s="608"/>
      <c r="V355" s="608"/>
      <c r="W355" s="608"/>
      <c r="X355" s="608"/>
      <c r="Y355" s="608"/>
    </row>
    <row r="356" spans="2:25" s="343" customFormat="1">
      <c r="B356" s="1144"/>
      <c r="C356" s="600"/>
      <c r="D356" s="600"/>
      <c r="E356" s="614"/>
      <c r="F356" s="614"/>
      <c r="G356" s="614"/>
      <c r="H356" s="614"/>
      <c r="I356" s="614"/>
      <c r="J356" s="600"/>
      <c r="K356" s="600"/>
      <c r="L356" s="600"/>
      <c r="S356" s="608"/>
      <c r="T356" s="608"/>
      <c r="U356" s="608"/>
      <c r="V356" s="608"/>
      <c r="W356" s="608"/>
      <c r="X356" s="608"/>
      <c r="Y356" s="608"/>
    </row>
    <row r="357" spans="2:25" s="343" customFormat="1">
      <c r="B357" s="1144"/>
      <c r="C357" s="600"/>
      <c r="D357" s="600"/>
      <c r="E357" s="614"/>
      <c r="F357" s="614"/>
      <c r="G357" s="614"/>
      <c r="H357" s="614"/>
      <c r="I357" s="614"/>
      <c r="J357" s="600"/>
      <c r="K357" s="600"/>
      <c r="L357" s="600"/>
      <c r="S357" s="608"/>
      <c r="T357" s="608"/>
      <c r="U357" s="608"/>
      <c r="V357" s="608"/>
      <c r="W357" s="608"/>
      <c r="X357" s="608"/>
      <c r="Y357" s="608"/>
    </row>
    <row r="358" spans="2:25" s="343" customFormat="1">
      <c r="B358" s="1144"/>
      <c r="C358" s="600"/>
      <c r="D358" s="600"/>
      <c r="E358" s="614"/>
      <c r="F358" s="614"/>
      <c r="G358" s="614"/>
      <c r="H358" s="614"/>
      <c r="I358" s="614"/>
      <c r="J358" s="600"/>
      <c r="K358" s="600"/>
      <c r="L358" s="600"/>
      <c r="S358" s="608"/>
      <c r="T358" s="608"/>
      <c r="U358" s="608"/>
      <c r="V358" s="608"/>
      <c r="W358" s="608"/>
      <c r="X358" s="608"/>
      <c r="Y358" s="608"/>
    </row>
    <row r="359" spans="2:25" s="343" customFormat="1">
      <c r="B359" s="1144"/>
      <c r="C359" s="600"/>
      <c r="D359" s="600"/>
      <c r="E359" s="614"/>
      <c r="F359" s="614"/>
      <c r="G359" s="614"/>
      <c r="H359" s="614"/>
      <c r="I359" s="614"/>
      <c r="J359" s="600"/>
      <c r="K359" s="600"/>
      <c r="L359" s="600"/>
      <c r="S359" s="608"/>
      <c r="T359" s="608"/>
      <c r="U359" s="608"/>
      <c r="V359" s="608"/>
      <c r="W359" s="608"/>
      <c r="X359" s="608"/>
      <c r="Y359" s="608"/>
    </row>
    <row r="360" spans="2:25" s="343" customFormat="1">
      <c r="B360" s="1144"/>
      <c r="C360" s="600"/>
      <c r="D360" s="600"/>
      <c r="E360" s="614"/>
      <c r="F360" s="614"/>
      <c r="G360" s="614"/>
      <c r="H360" s="614"/>
      <c r="I360" s="614"/>
      <c r="J360" s="600"/>
      <c r="K360" s="600"/>
      <c r="L360" s="600"/>
      <c r="S360" s="608"/>
      <c r="T360" s="608"/>
      <c r="U360" s="608"/>
      <c r="V360" s="608"/>
      <c r="W360" s="608"/>
      <c r="X360" s="608"/>
      <c r="Y360" s="608"/>
    </row>
    <row r="361" spans="2:25" s="343" customFormat="1">
      <c r="B361" s="1144"/>
      <c r="C361" s="600"/>
      <c r="D361" s="600"/>
      <c r="E361" s="614"/>
      <c r="F361" s="614"/>
      <c r="G361" s="614"/>
      <c r="H361" s="614"/>
      <c r="I361" s="614"/>
      <c r="J361" s="600"/>
      <c r="K361" s="600"/>
      <c r="L361" s="600"/>
      <c r="S361" s="608"/>
      <c r="T361" s="608"/>
      <c r="U361" s="608"/>
      <c r="V361" s="608"/>
      <c r="W361" s="608"/>
      <c r="X361" s="608"/>
      <c r="Y361" s="608"/>
    </row>
    <row r="362" spans="2:25" s="343" customFormat="1">
      <c r="B362" s="1144"/>
      <c r="C362" s="600"/>
      <c r="D362" s="600"/>
      <c r="E362" s="614"/>
      <c r="F362" s="614"/>
      <c r="G362" s="614"/>
      <c r="H362" s="614"/>
      <c r="I362" s="614"/>
      <c r="J362" s="600"/>
      <c r="K362" s="600"/>
      <c r="L362" s="600"/>
      <c r="S362" s="608"/>
      <c r="T362" s="608"/>
      <c r="U362" s="608"/>
      <c r="V362" s="608"/>
      <c r="W362" s="608"/>
      <c r="X362" s="608"/>
      <c r="Y362" s="608"/>
    </row>
    <row r="363" spans="2:25" s="343" customFormat="1">
      <c r="B363" s="1144"/>
      <c r="C363" s="600"/>
      <c r="D363" s="600"/>
      <c r="E363" s="614"/>
      <c r="F363" s="614"/>
      <c r="G363" s="614"/>
      <c r="H363" s="614"/>
      <c r="I363" s="614"/>
      <c r="J363" s="600"/>
      <c r="K363" s="600"/>
      <c r="L363" s="600"/>
      <c r="S363" s="608"/>
      <c r="T363" s="608"/>
      <c r="U363" s="608"/>
      <c r="V363" s="608"/>
      <c r="W363" s="608"/>
      <c r="X363" s="608"/>
      <c r="Y363" s="608"/>
    </row>
    <row r="364" spans="2:25" s="343" customFormat="1">
      <c r="B364" s="1144"/>
      <c r="C364" s="600"/>
      <c r="D364" s="600"/>
      <c r="E364" s="614"/>
      <c r="F364" s="614"/>
      <c r="G364" s="614"/>
      <c r="H364" s="614"/>
      <c r="I364" s="614"/>
      <c r="J364" s="600"/>
      <c r="K364" s="600"/>
      <c r="L364" s="600"/>
      <c r="S364" s="608"/>
      <c r="T364" s="608"/>
      <c r="U364" s="608"/>
      <c r="V364" s="608"/>
      <c r="W364" s="608"/>
      <c r="X364" s="608"/>
      <c r="Y364" s="608"/>
    </row>
    <row r="365" spans="2:25" s="343" customFormat="1">
      <c r="B365" s="1144"/>
      <c r="C365" s="600"/>
      <c r="D365" s="600"/>
      <c r="E365" s="614"/>
      <c r="F365" s="614"/>
      <c r="G365" s="614"/>
      <c r="H365" s="614"/>
      <c r="I365" s="614"/>
      <c r="J365" s="600"/>
      <c r="K365" s="600"/>
      <c r="L365" s="600"/>
      <c r="S365" s="608"/>
      <c r="T365" s="608"/>
      <c r="U365" s="608"/>
      <c r="V365" s="608"/>
      <c r="W365" s="608"/>
      <c r="X365" s="608"/>
      <c r="Y365" s="608"/>
    </row>
    <row r="366" spans="2:25" s="343" customFormat="1">
      <c r="B366" s="1144"/>
      <c r="C366" s="600"/>
      <c r="D366" s="600"/>
      <c r="E366" s="614"/>
      <c r="F366" s="614"/>
      <c r="G366" s="614"/>
      <c r="H366" s="614"/>
      <c r="I366" s="614"/>
      <c r="J366" s="600"/>
      <c r="K366" s="600"/>
      <c r="L366" s="600"/>
      <c r="S366" s="608"/>
      <c r="T366" s="608"/>
      <c r="U366" s="608"/>
      <c r="V366" s="608"/>
      <c r="W366" s="608"/>
      <c r="X366" s="608"/>
      <c r="Y366" s="608"/>
    </row>
    <row r="367" spans="2:25" s="343" customFormat="1">
      <c r="B367" s="1144"/>
      <c r="C367" s="600"/>
      <c r="D367" s="600"/>
      <c r="E367" s="614"/>
      <c r="F367" s="614"/>
      <c r="G367" s="614"/>
      <c r="H367" s="614"/>
      <c r="I367" s="614"/>
      <c r="J367" s="600"/>
      <c r="K367" s="600"/>
      <c r="L367" s="600"/>
      <c r="S367" s="608"/>
      <c r="T367" s="608"/>
      <c r="U367" s="608"/>
      <c r="V367" s="608"/>
      <c r="W367" s="608"/>
      <c r="X367" s="608"/>
      <c r="Y367" s="608"/>
    </row>
    <row r="368" spans="2:25" s="343" customFormat="1">
      <c r="B368" s="1144"/>
      <c r="C368" s="600"/>
      <c r="D368" s="600"/>
      <c r="E368" s="614"/>
      <c r="F368" s="614"/>
      <c r="G368" s="614"/>
      <c r="H368" s="614"/>
      <c r="I368" s="614"/>
      <c r="J368" s="600"/>
      <c r="K368" s="600"/>
      <c r="L368" s="600"/>
      <c r="S368" s="608"/>
      <c r="T368" s="608"/>
      <c r="U368" s="608"/>
      <c r="V368" s="608"/>
      <c r="W368" s="608"/>
      <c r="X368" s="608"/>
      <c r="Y368" s="608"/>
    </row>
    <row r="369" spans="2:25" s="343" customFormat="1">
      <c r="B369" s="1144"/>
      <c r="C369" s="600"/>
      <c r="D369" s="600"/>
      <c r="E369" s="614"/>
      <c r="F369" s="614"/>
      <c r="G369" s="614"/>
      <c r="H369" s="614"/>
      <c r="I369" s="614"/>
      <c r="J369" s="600"/>
      <c r="K369" s="600"/>
      <c r="L369" s="600"/>
      <c r="S369" s="608"/>
      <c r="T369" s="608"/>
      <c r="U369" s="608"/>
      <c r="V369" s="608"/>
      <c r="W369" s="608"/>
      <c r="X369" s="608"/>
      <c r="Y369" s="608"/>
    </row>
    <row r="370" spans="2:25" s="343" customFormat="1">
      <c r="B370" s="1144"/>
      <c r="C370" s="600"/>
      <c r="D370" s="600"/>
      <c r="E370" s="614"/>
      <c r="F370" s="614"/>
      <c r="G370" s="614"/>
      <c r="H370" s="614"/>
      <c r="I370" s="614"/>
      <c r="J370" s="600"/>
      <c r="K370" s="600"/>
      <c r="L370" s="600"/>
      <c r="S370" s="608"/>
      <c r="T370" s="608"/>
      <c r="U370" s="608"/>
      <c r="V370" s="608"/>
      <c r="W370" s="608"/>
      <c r="X370" s="608"/>
      <c r="Y370" s="608"/>
    </row>
    <row r="371" spans="2:25" s="343" customFormat="1">
      <c r="B371" s="1144"/>
      <c r="C371" s="600"/>
      <c r="D371" s="600"/>
      <c r="E371" s="614"/>
      <c r="F371" s="614"/>
      <c r="G371" s="614"/>
      <c r="H371" s="614"/>
      <c r="I371" s="614"/>
      <c r="J371" s="600"/>
      <c r="K371" s="600"/>
      <c r="L371" s="600"/>
      <c r="S371" s="608"/>
      <c r="T371" s="608"/>
      <c r="U371" s="608"/>
      <c r="V371" s="608"/>
      <c r="W371" s="608"/>
      <c r="X371" s="608"/>
      <c r="Y371" s="608"/>
    </row>
    <row r="372" spans="2:25" s="343" customFormat="1">
      <c r="B372" s="1144"/>
      <c r="C372" s="600"/>
      <c r="D372" s="600"/>
      <c r="E372" s="614"/>
      <c r="F372" s="614"/>
      <c r="G372" s="614"/>
      <c r="H372" s="614"/>
      <c r="I372" s="614"/>
      <c r="J372" s="600"/>
      <c r="K372" s="600"/>
      <c r="L372" s="600"/>
      <c r="S372" s="608"/>
      <c r="T372" s="608"/>
      <c r="U372" s="608"/>
      <c r="V372" s="608"/>
      <c r="W372" s="608"/>
      <c r="X372" s="608"/>
      <c r="Y372" s="608"/>
    </row>
    <row r="373" spans="2:25" s="343" customFormat="1">
      <c r="B373" s="1144"/>
      <c r="C373" s="600"/>
      <c r="D373" s="600"/>
      <c r="E373" s="614"/>
      <c r="F373" s="614"/>
      <c r="G373" s="614"/>
      <c r="H373" s="614"/>
      <c r="I373" s="614"/>
      <c r="J373" s="600"/>
      <c r="K373" s="600"/>
      <c r="L373" s="600"/>
      <c r="S373" s="608"/>
      <c r="T373" s="608"/>
      <c r="U373" s="608"/>
      <c r="V373" s="608"/>
      <c r="W373" s="608"/>
      <c r="X373" s="608"/>
      <c r="Y373" s="608"/>
    </row>
    <row r="374" spans="2:25" s="343" customFormat="1">
      <c r="B374" s="1144"/>
      <c r="C374" s="600"/>
      <c r="D374" s="600"/>
      <c r="E374" s="614"/>
      <c r="F374" s="614"/>
      <c r="G374" s="614"/>
      <c r="H374" s="614"/>
      <c r="I374" s="614"/>
      <c r="J374" s="600"/>
      <c r="K374" s="600"/>
      <c r="L374" s="600"/>
      <c r="S374" s="608"/>
      <c r="T374" s="608"/>
      <c r="U374" s="608"/>
      <c r="V374" s="608"/>
      <c r="W374" s="608"/>
      <c r="X374" s="608"/>
      <c r="Y374" s="608"/>
    </row>
    <row r="375" spans="2:25" s="343" customFormat="1">
      <c r="B375" s="1144"/>
      <c r="C375" s="600"/>
      <c r="D375" s="600"/>
      <c r="E375" s="614"/>
      <c r="F375" s="614"/>
      <c r="G375" s="614"/>
      <c r="H375" s="614"/>
      <c r="I375" s="614"/>
      <c r="J375" s="600"/>
      <c r="K375" s="600"/>
      <c r="L375" s="600"/>
      <c r="S375" s="608"/>
      <c r="T375" s="608"/>
      <c r="U375" s="608"/>
      <c r="V375" s="608"/>
      <c r="W375" s="608"/>
      <c r="X375" s="608"/>
      <c r="Y375" s="608"/>
    </row>
    <row r="376" spans="2:25" s="343" customFormat="1">
      <c r="B376" s="1144"/>
      <c r="C376" s="600"/>
      <c r="D376" s="600"/>
      <c r="E376" s="614"/>
      <c r="F376" s="614"/>
      <c r="G376" s="614"/>
      <c r="H376" s="614"/>
      <c r="I376" s="614"/>
      <c r="J376" s="600"/>
      <c r="K376" s="600"/>
      <c r="L376" s="600"/>
      <c r="S376" s="608"/>
      <c r="T376" s="608"/>
      <c r="U376" s="608"/>
      <c r="V376" s="608"/>
      <c r="W376" s="608"/>
      <c r="X376" s="608"/>
      <c r="Y376" s="608"/>
    </row>
    <row r="377" spans="2:25" s="343" customFormat="1">
      <c r="B377" s="1144"/>
      <c r="C377" s="600"/>
      <c r="D377" s="600"/>
      <c r="E377" s="614"/>
      <c r="F377" s="614"/>
      <c r="G377" s="614"/>
      <c r="H377" s="614"/>
      <c r="I377" s="614"/>
      <c r="J377" s="600"/>
      <c r="K377" s="600"/>
      <c r="L377" s="600"/>
      <c r="S377" s="608"/>
      <c r="T377" s="608"/>
      <c r="U377" s="608"/>
      <c r="V377" s="608"/>
      <c r="W377" s="608"/>
      <c r="X377" s="608"/>
      <c r="Y377" s="608"/>
    </row>
    <row r="378" spans="2:25" s="343" customFormat="1">
      <c r="B378" s="1144"/>
      <c r="C378" s="600"/>
      <c r="D378" s="600"/>
      <c r="E378" s="614"/>
      <c r="F378" s="614"/>
      <c r="G378" s="614"/>
      <c r="H378" s="614"/>
      <c r="I378" s="614"/>
      <c r="J378" s="600"/>
      <c r="K378" s="600"/>
      <c r="L378" s="600"/>
      <c r="S378" s="608"/>
      <c r="T378" s="608"/>
      <c r="U378" s="608"/>
      <c r="V378" s="608"/>
      <c r="W378" s="608"/>
      <c r="X378" s="608"/>
      <c r="Y378" s="608"/>
    </row>
    <row r="379" spans="2:25" s="343" customFormat="1">
      <c r="B379" s="1144"/>
      <c r="C379" s="600"/>
      <c r="D379" s="600"/>
      <c r="E379" s="614"/>
      <c r="F379" s="614"/>
      <c r="G379" s="614"/>
      <c r="H379" s="614"/>
      <c r="I379" s="614"/>
      <c r="J379" s="600"/>
      <c r="K379" s="600"/>
      <c r="L379" s="600"/>
      <c r="S379" s="608"/>
      <c r="T379" s="608"/>
      <c r="U379" s="608"/>
      <c r="V379" s="608"/>
      <c r="W379" s="608"/>
      <c r="X379" s="608"/>
      <c r="Y379" s="608"/>
    </row>
    <row r="380" spans="2:25" s="343" customFormat="1">
      <c r="B380" s="1144"/>
      <c r="C380" s="600"/>
      <c r="D380" s="600"/>
      <c r="E380" s="614"/>
      <c r="F380" s="614"/>
      <c r="G380" s="614"/>
      <c r="H380" s="614"/>
      <c r="I380" s="614"/>
      <c r="J380" s="600"/>
      <c r="K380" s="600"/>
      <c r="L380" s="600"/>
      <c r="S380" s="608"/>
      <c r="T380" s="608"/>
      <c r="U380" s="608"/>
      <c r="V380" s="608"/>
      <c r="W380" s="608"/>
      <c r="X380" s="608"/>
      <c r="Y380" s="608"/>
    </row>
    <row r="381" spans="2:25" s="343" customFormat="1">
      <c r="B381" s="1144"/>
      <c r="C381" s="600"/>
      <c r="D381" s="600"/>
      <c r="E381" s="614"/>
      <c r="F381" s="614"/>
      <c r="G381" s="614"/>
      <c r="H381" s="614"/>
      <c r="I381" s="614"/>
      <c r="J381" s="600"/>
      <c r="K381" s="600"/>
      <c r="L381" s="600"/>
      <c r="S381" s="608"/>
      <c r="T381" s="608"/>
      <c r="U381" s="608"/>
      <c r="V381" s="608"/>
      <c r="W381" s="608"/>
      <c r="X381" s="608"/>
      <c r="Y381" s="608"/>
    </row>
  </sheetData>
  <sheetProtection password="96EF" sheet="1" objects="1" scenarios="1"/>
  <mergeCells count="2">
    <mergeCell ref="B8:N8"/>
    <mergeCell ref="B9:N9"/>
  </mergeCells>
  <pageMargins left="0.75" right="0.375" top="0.25" bottom="0.25" header="0.75" footer="0.25"/>
  <pageSetup orientation="landscape" blackAndWhite="1" r:id="rId1"/>
  <headerFooter alignWithMargins="0">
    <oddHeader>&amp;L&amp;6
&amp;Z&amp;F&amp;R&amp;P                                &amp;N</oddHeader>
    <oddFooter>&amp;L&amp;D   &amp;T&amp;C&amp;8Rev. 8.0</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1">
    <tabColor indexed="16"/>
    <pageSetUpPr fitToPage="1"/>
  </sheetPr>
  <dimension ref="A2:AN428"/>
  <sheetViews>
    <sheetView showGridLines="0" view="pageBreakPreview" zoomScaleSheetLayoutView="100" workbookViewId="0"/>
  </sheetViews>
  <sheetFormatPr defaultRowHeight="12.75"/>
  <cols>
    <col min="1" max="1" width="24.7109375" style="337" customWidth="1"/>
    <col min="2" max="2" width="7.140625" customWidth="1"/>
    <col min="3" max="7" width="8.7109375" customWidth="1"/>
    <col min="8" max="8" width="8.5703125" customWidth="1"/>
    <col min="9" max="9" width="10.7109375" customWidth="1"/>
    <col min="10" max="10" width="8.7109375" customWidth="1"/>
    <col min="11" max="11" width="8.5703125" customWidth="1"/>
    <col min="12" max="12" width="8.7109375" customWidth="1"/>
    <col min="13" max="40" width="9.140625" style="337"/>
  </cols>
  <sheetData>
    <row r="2" spans="1:24">
      <c r="O2" s="1522"/>
      <c r="P2" s="1522"/>
      <c r="Q2" s="1522"/>
      <c r="R2" s="1522"/>
      <c r="S2" s="1522"/>
      <c r="T2" s="1522"/>
      <c r="U2" s="1522"/>
      <c r="V2" s="1522"/>
    </row>
    <row r="3" spans="1:24">
      <c r="O3" s="339"/>
      <c r="P3" s="339"/>
      <c r="Q3" s="339"/>
      <c r="R3" s="339"/>
      <c r="S3" s="339"/>
      <c r="T3" s="339"/>
      <c r="U3" s="339"/>
      <c r="V3" s="339"/>
    </row>
    <row r="4" spans="1:24">
      <c r="O4" s="339"/>
      <c r="P4" s="339"/>
    </row>
    <row r="5" spans="1:24">
      <c r="O5" s="340"/>
      <c r="P5" s="340"/>
      <c r="Q5" s="338"/>
      <c r="R5" s="338"/>
      <c r="S5" s="338"/>
      <c r="T5" s="338"/>
      <c r="U5" s="338"/>
      <c r="V5" s="338"/>
      <c r="W5" s="338"/>
      <c r="X5" s="338"/>
    </row>
    <row r="6" spans="1:24">
      <c r="O6" s="338"/>
      <c r="P6" s="338"/>
      <c r="Q6" s="390"/>
      <c r="R6" s="338"/>
      <c r="S6" s="338"/>
      <c r="T6" s="338"/>
      <c r="U6" s="338"/>
      <c r="V6" s="338"/>
      <c r="W6" s="338"/>
      <c r="X6" s="338"/>
    </row>
    <row r="7" spans="1:24">
      <c r="O7" s="338"/>
      <c r="P7" s="338"/>
      <c r="Q7" s="390"/>
      <c r="R7" s="338"/>
      <c r="S7" s="338"/>
      <c r="T7" s="338"/>
      <c r="U7" s="338"/>
      <c r="V7" s="338"/>
      <c r="W7" s="338"/>
      <c r="X7" s="338"/>
    </row>
    <row r="8" spans="1:24" ht="19.5" customHeight="1" thickBot="1">
      <c r="B8" s="1598" t="str">
        <f>"Live Load on Column"&amp;IF(NoSupports=1,"","s")</f>
        <v>Live Load on Column</v>
      </c>
      <c r="C8" s="1598"/>
      <c r="D8" s="1598"/>
      <c r="E8" s="1598"/>
      <c r="F8" s="1598"/>
      <c r="G8" s="1598"/>
      <c r="H8" s="1598"/>
      <c r="I8" s="1598"/>
      <c r="J8" s="1598"/>
      <c r="K8" s="1598"/>
      <c r="L8" s="1598"/>
      <c r="O8" s="338"/>
      <c r="P8" s="338"/>
      <c r="Q8" s="338"/>
      <c r="R8" s="338"/>
      <c r="S8" s="338"/>
      <c r="T8" s="338"/>
      <c r="U8" s="338"/>
      <c r="V8" s="338"/>
      <c r="W8" s="338"/>
      <c r="X8" s="338"/>
    </row>
    <row r="9" spans="1:24" ht="6.75" customHeight="1" thickTop="1"/>
    <row r="10" spans="1:24">
      <c r="B10" s="321" t="s">
        <v>31</v>
      </c>
    </row>
    <row r="11" spans="1:24">
      <c r="B11" s="322"/>
      <c r="F11" s="39" t="s">
        <v>1263</v>
      </c>
      <c r="G11" s="325">
        <f>NumLanes</f>
        <v>4</v>
      </c>
      <c r="I11" s="61"/>
      <c r="J11" s="244" t="s">
        <v>1264</v>
      </c>
      <c r="K11" s="245">
        <f>IF(G11=1,1.2,IF(G11=2,1,IF(G11=3,0.85,0.65)))</f>
        <v>0.65</v>
      </c>
    </row>
    <row r="12" spans="1:24">
      <c r="A12" s="337" t="str">
        <f t="shared" ref="A12:A40" si="0">IF(NoSupports&lt;&gt;1,"*","")</f>
        <v/>
      </c>
      <c r="B12" s="322"/>
      <c r="F12" s="39" t="s">
        <v>814</v>
      </c>
      <c r="G12" s="299">
        <f>IF(C17="",0,IF(C17&gt;0,1,0))+IF(E17="",0,IF(E17&gt;0,1,0))+IF(G17="",0,IF(G17&gt;0,1,0))+IF(I17="",0,IF(I17&gt;0,1,0))+IF(K17="",0,IF(K17&gt;0,1,0))</f>
        <v>2</v>
      </c>
      <c r="H12" s="245"/>
      <c r="I12" s="61"/>
      <c r="J12" s="244" t="s">
        <v>1264</v>
      </c>
      <c r="K12" s="245">
        <f>IF(G12=1,1.2,IF(G12=2,1,IF(G12=3,0.85,0.65)))</f>
        <v>1</v>
      </c>
      <c r="M12" s="1130" t="s">
        <v>816</v>
      </c>
    </row>
    <row r="13" spans="1:24">
      <c r="A13" s="337" t="str">
        <f t="shared" si="0"/>
        <v/>
      </c>
      <c r="B13" s="322"/>
      <c r="F13" s="39" t="s">
        <v>815</v>
      </c>
      <c r="G13" s="299">
        <f>IF(C20="",0,IF(C20&lt;0,1,0))+IF(E20="",0,IF(E20&lt;0,1,0))+IF(G20="",0,IF(G20&lt;0,1,0))+IF(I20="",0,IF(I20&lt;0,1,0))+IF(K20="",0,IF(K20&lt;0,1,0))</f>
        <v>2</v>
      </c>
      <c r="H13" s="245"/>
      <c r="I13" s="61"/>
      <c r="J13" s="244" t="s">
        <v>1264</v>
      </c>
      <c r="K13" s="245">
        <f>IF(G13=1,1.2,IF(G13=2,1,IF(G13=3,0.85,0.65)))</f>
        <v>1</v>
      </c>
      <c r="M13" s="1130" t="s">
        <v>817</v>
      </c>
    </row>
    <row r="14" spans="1:24">
      <c r="A14" s="337" t="str">
        <f t="shared" si="0"/>
        <v/>
      </c>
      <c r="B14" s="321" t="s">
        <v>1265</v>
      </c>
    </row>
    <row r="15" spans="1:24">
      <c r="A15" s="337" t="str">
        <f t="shared" si="0"/>
        <v/>
      </c>
      <c r="B15" s="322"/>
      <c r="C15" t="s">
        <v>818</v>
      </c>
      <c r="M15" s="1130" t="s">
        <v>820</v>
      </c>
    </row>
    <row r="16" spans="1:24">
      <c r="A16" s="337" t="str">
        <f t="shared" si="0"/>
        <v/>
      </c>
      <c r="C16" s="1683" t="str">
        <f>IF($G$11&gt;=1,"Lane 1","")</f>
        <v>Lane 1</v>
      </c>
      <c r="D16" s="1683"/>
      <c r="E16" s="1683" t="str">
        <f>IF($G$11&gt;=2,"Lane 2","")</f>
        <v>Lane 2</v>
      </c>
      <c r="F16" s="1683"/>
      <c r="G16" s="1683" t="str">
        <f>IF($G$11&gt;=3,"Lane 3","")</f>
        <v>Lane 3</v>
      </c>
      <c r="H16" s="1683"/>
      <c r="I16" s="1683" t="str">
        <f>IF($G$11&gt;=4,"Lane 4","")</f>
        <v>Lane 4</v>
      </c>
      <c r="J16" s="1683"/>
      <c r="K16" s="1683" t="str">
        <f>IF($G$11&gt;=5,"Lane 5","")</f>
        <v/>
      </c>
      <c r="L16" s="1683"/>
      <c r="M16" s="1130"/>
    </row>
    <row r="17" spans="1:13">
      <c r="A17" s="337" t="str">
        <f t="shared" si="0"/>
        <v/>
      </c>
      <c r="C17" s="318">
        <f>DeckWidth/2-6-Col_Offset</f>
        <v>19</v>
      </c>
      <c r="D17" s="250" t="s">
        <v>156</v>
      </c>
      <c r="E17" s="318">
        <f>IF(E16&lt;&gt;"",C$17-12,"")</f>
        <v>7</v>
      </c>
      <c r="F17" s="250" t="str">
        <f>IF(E17&lt;&gt;"","ft","")</f>
        <v>ft</v>
      </c>
      <c r="G17" s="318">
        <f>IF(G16&lt;&gt;"",E$17-12,"")</f>
        <v>-5</v>
      </c>
      <c r="H17" s="250" t="str">
        <f>IF(G17&lt;&gt;"","ft","")</f>
        <v>ft</v>
      </c>
      <c r="I17" s="318">
        <f>IF(I16&lt;&gt;"",G$17-12,"")</f>
        <v>-17</v>
      </c>
      <c r="J17" s="250" t="str">
        <f>IF(I17&lt;&gt;"","ft","")</f>
        <v>ft</v>
      </c>
      <c r="K17" s="245" t="str">
        <f>IF(K16&lt;&gt;"",I$17-12,"")</f>
        <v/>
      </c>
      <c r="L17" t="str">
        <f>IF(K17&lt;&gt;"","ft","")</f>
        <v/>
      </c>
      <c r="M17" s="1130" t="s">
        <v>810</v>
      </c>
    </row>
    <row r="18" spans="1:13">
      <c r="A18" s="337" t="str">
        <f t="shared" si="0"/>
        <v/>
      </c>
      <c r="C18" t="s">
        <v>819</v>
      </c>
      <c r="M18" s="1130" t="s">
        <v>821</v>
      </c>
    </row>
    <row r="19" spans="1:13">
      <c r="A19" s="337" t="str">
        <f t="shared" si="0"/>
        <v/>
      </c>
      <c r="C19" s="1683" t="str">
        <f>IF($G$11&gt;=1,"Lane 1","")</f>
        <v>Lane 1</v>
      </c>
      <c r="D19" s="1683"/>
      <c r="E19" s="1683" t="str">
        <f>IF($G$11&gt;=2,"Lane 2","")</f>
        <v>Lane 2</v>
      </c>
      <c r="F19" s="1683"/>
      <c r="G19" s="1683" t="str">
        <f>IF($G$11&gt;=3,"Lane 3","")</f>
        <v>Lane 3</v>
      </c>
      <c r="H19" s="1683"/>
      <c r="I19" s="1683" t="str">
        <f>IF($G$11&gt;=4,"Lane 4","")</f>
        <v>Lane 4</v>
      </c>
      <c r="J19" s="1683"/>
      <c r="K19" s="1684" t="str">
        <f>IF($G$11&gt;=5,"Lane 5","")</f>
        <v/>
      </c>
      <c r="L19" s="1684"/>
      <c r="M19" s="1130"/>
    </row>
    <row r="20" spans="1:13">
      <c r="A20" s="337" t="str">
        <f t="shared" si="0"/>
        <v/>
      </c>
      <c r="C20" s="318">
        <f>-DeckWidth/2+6-Col_Offset</f>
        <v>-19</v>
      </c>
      <c r="D20" s="250" t="s">
        <v>156</v>
      </c>
      <c r="E20" s="318">
        <f>IF(E19&lt;&gt;"",C$20+12,"")</f>
        <v>-7</v>
      </c>
      <c r="F20" s="250" t="str">
        <f>IF(E20&lt;&gt;"","ft","")</f>
        <v>ft</v>
      </c>
      <c r="G20" s="318">
        <f>IF(G19&lt;&gt;"",E$20+12,"")</f>
        <v>5</v>
      </c>
      <c r="H20" s="250" t="str">
        <f>IF(G20&lt;&gt;"","ft","")</f>
        <v>ft</v>
      </c>
      <c r="I20" s="318">
        <f>IF(I19&lt;&gt;"",G$20+12,"")</f>
        <v>17</v>
      </c>
      <c r="J20" s="250" t="str">
        <f>IF(I20&lt;&gt;"","ft","")</f>
        <v>ft</v>
      </c>
      <c r="K20" s="245" t="str">
        <f>IF(K19&lt;&gt;"",I$20+12,"")</f>
        <v/>
      </c>
      <c r="L20" t="str">
        <f>IF(K20&lt;&gt;"","ft","")</f>
        <v/>
      </c>
      <c r="M20" s="1130" t="s">
        <v>811</v>
      </c>
    </row>
    <row r="21" spans="1:13">
      <c r="A21" s="337" t="str">
        <f t="shared" si="0"/>
        <v/>
      </c>
      <c r="B21" s="321" t="s">
        <v>1266</v>
      </c>
      <c r="C21" s="318"/>
      <c r="D21" s="250"/>
      <c r="E21" s="318"/>
      <c r="F21" s="250"/>
      <c r="G21" s="318"/>
      <c r="H21" s="250"/>
      <c r="I21" s="318"/>
      <c r="J21" s="250"/>
      <c r="K21" s="245"/>
    </row>
    <row r="22" spans="1:13">
      <c r="A22" s="337" t="str">
        <f t="shared" si="0"/>
        <v/>
      </c>
      <c r="C22" s="318"/>
      <c r="E22" s="39" t="s">
        <v>1271</v>
      </c>
      <c r="F22" s="326">
        <f>'Live Load'!$F$22+'Live Load'!$F$18</f>
        <v>137.54666666666668</v>
      </c>
      <c r="G22" s="61" t="s">
        <v>876</v>
      </c>
      <c r="H22" s="250"/>
      <c r="I22" s="318"/>
      <c r="J22" s="250"/>
      <c r="K22" s="245"/>
    </row>
    <row r="23" spans="1:13">
      <c r="A23" s="337" t="str">
        <f t="shared" si="0"/>
        <v/>
      </c>
      <c r="C23" s="318"/>
      <c r="E23" s="39" t="s">
        <v>360</v>
      </c>
      <c r="F23" s="45">
        <f>'Live Load'!F28</f>
        <v>22.1584</v>
      </c>
      <c r="G23" s="61" t="s">
        <v>876</v>
      </c>
      <c r="I23" s="250"/>
      <c r="J23" s="250"/>
      <c r="K23" s="245"/>
    </row>
    <row r="24" spans="1:13">
      <c r="A24" s="337" t="str">
        <f t="shared" si="0"/>
        <v/>
      </c>
      <c r="F24" s="226" t="s">
        <v>186</v>
      </c>
      <c r="G24" s="765">
        <f>F22*MultiPresTot*IF(AND(ABS(G25)=ABS(G26),curvedirection="right"),-1,1)*IF(ABS(G25)&gt;=ABS(G26),SUM($C$17,$E$17,$G$17,$I$17,$K$17),SUM($C$20,$E$20,$G$20,$I$20,$K$20))</f>
        <v>357.62133333333338</v>
      </c>
      <c r="I24" s="324" t="str">
        <f>"{"&amp;FIXED(F22,2)&amp;" k/lane x "&amp;FIXED($K$11,2)&amp;" x "&amp;IF(AND(ABS(G25)=ABS(G26),curvedirection="right"),"- (","(")&amp;IF(ABS(G25)&gt;=ABS(G26),FIXED($C$17,2)&amp;" ft "&amp;IF($E$17="","","+ "&amp;FIXED($E$17,2)&amp;" ft")&amp;IF($G$17="","","+ "&amp;FIXED($G$17,2)&amp;" ft ")&amp;IF($I$17="","","+ "&amp;FIXED($I$17,2)&amp;" ft ")&amp;IF($K$17="","","+ "&amp;FIXED($K$17,2)&amp;" ft"),FIXED($C$20,2)&amp;" ft "&amp;IF($E$20="","","+ "&amp;FIXED($E$20,2)&amp;" ft ")&amp;IF($G$20="","","+ "&amp;FIXED($G$20,2)&amp;" ft ")&amp;IF($I$20="","","+ "&amp;FIXED($I$20,2)&amp;" ft ")&amp;IF($K$20="","","+ "&amp;FIXED($K$20,2)&amp;" ft"))&amp;")}"</f>
        <v>{137.55 k/lane x 0.65 x (19.00 ft + 7.00 ft+ -5.00 ft + -17.00 ft )}</v>
      </c>
      <c r="M24" s="1130" t="s">
        <v>862</v>
      </c>
    </row>
    <row r="25" spans="1:13">
      <c r="A25" s="337" t="str">
        <f t="shared" si="0"/>
        <v/>
      </c>
      <c r="F25" s="226" t="str">
        <f>"LL - Rightmost Lane"&amp;IF($G$12&gt;1,"s","")&amp;" Loaded ="</f>
        <v>LL - Rightmost Lanes Loaded =</v>
      </c>
      <c r="G25" s="765">
        <f>F22*K12*(C17+IF(G12&gt;1,E17,0)+IF(G12&gt;2,G17,0))</f>
        <v>3576.2133333333336</v>
      </c>
      <c r="I25" s="324" t="str">
        <f>"{"&amp;FIXED(F22,2)&amp;" k/lane x "&amp;FIXED(K12,2)&amp;" x ("&amp;FIXED(C17,2)&amp;" ft "&amp;IF(G12&gt;1," + "&amp;FIXED(E17,2)&amp;" ft","")&amp;IF(G12&gt;2," + "&amp;FIXED(G17,2)&amp;" ft","")&amp;")}"</f>
        <v>{137.55 k/lane x 1.00 x (19.00 ft  + 7.00 ft)}</v>
      </c>
      <c r="M25" s="1130" t="s">
        <v>812</v>
      </c>
    </row>
    <row r="26" spans="1:13">
      <c r="A26" s="337" t="str">
        <f t="shared" si="0"/>
        <v/>
      </c>
      <c r="F26" s="226" t="str">
        <f>"LL - Leftmost Lane"&amp;IF($G$13&gt;1,"s","")&amp;" Loaded ="</f>
        <v>LL - Leftmost Lanes Loaded =</v>
      </c>
      <c r="G26" s="765">
        <f>F22*K13*(C20+IF(G13&gt;1,E20,0)+IF(G13&gt;2,G20,0))</f>
        <v>-3576.2133333333336</v>
      </c>
      <c r="I26" s="324" t="str">
        <f>"{"&amp;FIXED(F22,2)&amp;" k/lane x "&amp;FIXED(K13,2)&amp;" x ("&amp;FIXED(C20,2)&amp;" ft "&amp;IF(G13&gt;1," + "&amp;FIXED(E20,2)&amp;" ft","")&amp;IF(G13&gt;2," + "&amp;FIXED(G20,2)&amp;" ft","")&amp;")}"</f>
        <v>{137.55 k/lane x 1.00 x (-19.00 ft  + -7.00 ft)}</v>
      </c>
      <c r="M26" s="1130" t="s">
        <v>813</v>
      </c>
    </row>
    <row r="27" spans="1:13">
      <c r="A27" s="337" t="str">
        <f t="shared" si="0"/>
        <v/>
      </c>
      <c r="F27" s="226" t="s">
        <v>187</v>
      </c>
      <c r="G27" s="765">
        <f>F23*MultiPresTot*IF(AND(ABS(G28)=ABS(G29),curvedirection="right"),-1,1)*IF(ABS(G28)&gt;=ABS(G29),SUM($C$17,$E$17,$G$17,$I$17,$K$17),SUM($C$20,$E$20,$G$20,$I$20,$K$20))</f>
        <v>57.611840000000001</v>
      </c>
      <c r="I27" s="324" t="str">
        <f>"{"&amp;FIXED(F23,2)&amp;" k/lane x "&amp;FIXED($K$11,2)&amp;" x "&amp;IF(AND(ABS(G28)=ABS(G29),curvedirection="right"),"- (","(")&amp;IF(ABS(G28)&gt;=ABS(G29),FIXED($C$17,2)&amp;" ft "&amp;IF($E$17="","","+ "&amp;FIXED($E$17,2)&amp;" ft")&amp;IF($G$17="","","+ "&amp;FIXED($G$17,2)&amp;" ft ")&amp;IF($I$17="","","+ "&amp;FIXED($I$17,2)&amp;" ft ")&amp;IF($K$17="","","+ "&amp;FIXED($K$17,2)&amp;" ft"),FIXED($C$20,2)&amp;" ft "&amp;IF($E$20="","","+ "&amp;FIXED($E$20,2)&amp;" ft ")&amp;IF($G$20="","","+ "&amp;FIXED($G$20,2)&amp;" ft ")&amp;IF($I$20="","","+ "&amp;FIXED($I$20,2)&amp;" ft ")&amp;IF($K$20="","","+ "&amp;FIXED($K$20,2)&amp;" ft"))&amp;")}"</f>
        <v>{22.16 k/lane x 0.65 x (19.00 ft + 7.00 ft+ -5.00 ft + -17.00 ft )}</v>
      </c>
      <c r="M27" s="1130" t="s">
        <v>1362</v>
      </c>
    </row>
    <row r="28" spans="1:13">
      <c r="A28" s="337" t="str">
        <f t="shared" si="0"/>
        <v/>
      </c>
      <c r="F28" s="226" t="str">
        <f>"IM - Rightmost Lane"&amp;IF($G$12&gt;1,"s","")&amp;" Loaded ="</f>
        <v>IM - Rightmost Lanes Loaded =</v>
      </c>
      <c r="G28" s="765">
        <f>F23*K12*(C17+IF(G12&gt;1,E17,0)+IF(G12&gt;2,G17,0))</f>
        <v>576.11840000000007</v>
      </c>
      <c r="I28" s="324" t="str">
        <f>"{"&amp;FIXED(F23,2)&amp;" k/lane x "&amp;FIXED(K12,2)&amp;" x ("&amp;FIXED(C17,2)&amp;" ft "&amp;IF(G12&gt;1," + "&amp;FIXED(E17,2)&amp;" ft","")&amp;IF(G12&gt;2," + "&amp;FIXED(G17,2)&amp;" ft","")&amp;")}"</f>
        <v>{22.16 k/lane x 1.00 x (19.00 ft  + 7.00 ft)}</v>
      </c>
      <c r="M28" s="1130" t="s">
        <v>812</v>
      </c>
    </row>
    <row r="29" spans="1:13">
      <c r="A29" s="337" t="str">
        <f t="shared" si="0"/>
        <v/>
      </c>
      <c r="F29" s="226" t="str">
        <f>"IM - Leftmost Lane"&amp;IF($G$13&gt;1,"s","")&amp;" Loaded ="</f>
        <v>IM - Leftmost Lanes Loaded =</v>
      </c>
      <c r="G29" s="765">
        <f>F23*K13*(C20+IF(G13&gt;1,E20,0)+IF(G13&gt;2,G20,0))</f>
        <v>-576.11840000000007</v>
      </c>
      <c r="I29" s="324" t="str">
        <f>"{"&amp;FIXED(F23,2)&amp;" k/lane x "&amp;FIXED(K13,2)&amp;" x ("&amp;FIXED(C20,2)&amp;" ft "&amp;IF(G13&gt;1," + "&amp;FIXED(E20,2)&amp;" ft","")&amp;IF(G13&gt;2," + "&amp;FIXED(G20,2)&amp;" ft","")&amp;")}"</f>
        <v>{22.16 k/lane x 1.00 x (-19.00 ft  + -7.00 ft)}</v>
      </c>
      <c r="M29" s="1130" t="s">
        <v>813</v>
      </c>
    </row>
    <row r="30" spans="1:13">
      <c r="A30" s="337" t="str">
        <f t="shared" si="0"/>
        <v/>
      </c>
      <c r="B30" s="321" t="s">
        <v>1272</v>
      </c>
    </row>
    <row r="31" spans="1:13">
      <c r="A31" s="337" t="str">
        <f t="shared" si="0"/>
        <v/>
      </c>
      <c r="E31" s="39" t="s">
        <v>1271</v>
      </c>
      <c r="F31" s="45">
        <f>MAX('Live Load'!F15,'Live Load'!F17)+MAX('Live Load'!F20,'Live Load'!F21)</f>
        <v>104.80000000000001</v>
      </c>
      <c r="G31" s="61" t="s">
        <v>876</v>
      </c>
    </row>
    <row r="32" spans="1:13">
      <c r="A32" s="337" t="str">
        <f t="shared" si="0"/>
        <v/>
      </c>
      <c r="E32" s="39" t="s">
        <v>360</v>
      </c>
      <c r="F32" s="45">
        <f>MAX('Live Load'!F20,'Live Load'!F21)*('Live Load'!F11/100)</f>
        <v>21.912000000000003</v>
      </c>
      <c r="G32" s="61" t="s">
        <v>876</v>
      </c>
    </row>
    <row r="33" spans="1:13">
      <c r="A33" s="337" t="str">
        <f t="shared" si="0"/>
        <v/>
      </c>
      <c r="F33" s="226" t="s">
        <v>186</v>
      </c>
      <c r="G33" s="765">
        <f>F31*MultiPresTot*IF(AND(ABS(G34)=ABS(G35),curvedirection="right"),-1,1)*IF(ABS(G34)&gt;=ABS(G35),SUM($C$17,$E$17,$G$17,$I$17,$K$17),SUM($C$20,$E$20,$G$20,$I$20,$K$20))</f>
        <v>272.48</v>
      </c>
      <c r="I33" s="324" t="str">
        <f>"{"&amp;FIXED(F31,2)&amp;" k/lane x "&amp;FIXED($K$11,2)&amp;" x "&amp;IF(AND(ABS(G34)=ABS(G35),curvedirection="right"),"- (","(")&amp;IF(ABS(G34)&gt;=ABS(G35),FIXED($C$17,2)&amp;" ft "&amp;IF($E$17="","","+ "&amp;FIXED($E$17,2)&amp;" ft")&amp;IF($G$17="","","+ "&amp;FIXED($G$17,2)&amp;" ft ")&amp;IF($I$17="","","+ "&amp;FIXED($I$17,2)&amp;" ft ")&amp;IF($K$17="","","+ "&amp;FIXED($K$17,2)&amp;" ft"),FIXED($C$20,2)&amp;" ft "&amp;IF($E$20="","","+ "&amp;FIXED($E$20,2)&amp;" ft ")&amp;IF($G$20="","","+ "&amp;FIXED($G$20,2)&amp;" ft ")&amp;IF($I$20="","","+ "&amp;FIXED($I$20,2)&amp;" ft ")&amp;IF($K$20="","","+ "&amp;FIXED($K$20,2)&amp;" ft"))&amp;")}"</f>
        <v>{104.80 k/lane x 0.65 x (19.00 ft + 7.00 ft+ -5.00 ft + -17.00 ft )}</v>
      </c>
    </row>
    <row r="34" spans="1:13">
      <c r="A34" s="337" t="str">
        <f t="shared" si="0"/>
        <v/>
      </c>
      <c r="F34" s="226" t="str">
        <f>"LL - Rightmost Lane"&amp;IF($G$12&gt;1,"s","")&amp;" Loaded ="</f>
        <v>LL - Rightmost Lanes Loaded =</v>
      </c>
      <c r="G34" s="765">
        <f>F31*K12*(C17+IF(G12&gt;1,E17,0)+IF(G12&gt;2,G17,0))</f>
        <v>2724.8</v>
      </c>
      <c r="I34" s="34" t="str">
        <f>"{"&amp;FIXED(F31,2)&amp;" k/lane x "&amp;FIXED(K12,2)&amp;" x ("&amp;FIXED(C17,2)&amp;" ft "&amp;IF(G12&gt;1," + "&amp;FIXED(E17,2)&amp;" ft","")&amp;IF(G12&gt;2," + "&amp;FIXED(G17,2)&amp;" ft","")&amp;")}"</f>
        <v>{104.80 k/lane x 1.00 x (19.00 ft  + 7.00 ft)}</v>
      </c>
      <c r="M34" s="1130" t="s">
        <v>812</v>
      </c>
    </row>
    <row r="35" spans="1:13">
      <c r="A35" s="337" t="str">
        <f t="shared" si="0"/>
        <v/>
      </c>
      <c r="F35" s="226" t="str">
        <f>"LL - Leftmost Lane"&amp;IF($G$13&gt;1,"s","")&amp;" Loaded ="</f>
        <v>LL - Leftmost Lanes Loaded =</v>
      </c>
      <c r="G35" s="765">
        <f>F31*K13*(C20+IF(G13&gt;1,E20,0)+IF(G13&gt;2,G20,0))</f>
        <v>-2724.8</v>
      </c>
      <c r="I35" s="34" t="str">
        <f>"{"&amp;FIXED(F31,2)&amp;" k/lane x "&amp;FIXED(K13,2)&amp;" x ("&amp;FIXED(C20,2)&amp;" ft "&amp;IF(G13&gt;1," + "&amp;FIXED(E20,2)&amp;" ft","")&amp;IF(G13&gt;2," + "&amp;FIXED(G20,2)&amp;" ft","")&amp;")}"</f>
        <v>{104.80 k/lane x 1.00 x (-19.00 ft  + -7.00 ft)}</v>
      </c>
      <c r="M35" s="1130" t="s">
        <v>813</v>
      </c>
    </row>
    <row r="36" spans="1:13">
      <c r="A36" s="337" t="str">
        <f t="shared" si="0"/>
        <v/>
      </c>
      <c r="F36" s="226" t="s">
        <v>187</v>
      </c>
      <c r="G36" s="765">
        <f>F32*MultiPresTot*IF(AND(ABS(G37)=ABS(G38),curvedirection="right"),-1,1)*IF(ABS(G37)&gt;=ABS(G38),SUM($C$17,$E$17,$G$17,$I$17,$K$17),SUM($C$20,$E$20,$G$20,$I$20,$K$20))</f>
        <v>56.97120000000001</v>
      </c>
      <c r="I36" s="34" t="str">
        <f>"{"&amp;FIXED(F32,2)&amp;" k/lane x "&amp;FIXED($K$11,2)&amp;" x "&amp;IF(AND(ABS(G37)=ABS(G38),curvedirection="right"),"- (","(")&amp;IF(ABS(G37)&gt;=ABS(G38),FIXED($C$17,2)&amp;" ft "&amp;IF($E$17="","","+ "&amp;FIXED($E$17,2)&amp;" ft")&amp;IF($G$17="","","+ "&amp;FIXED($G$17,2)&amp;" ft ")&amp;IF($I$17="","","+ "&amp;FIXED($I$17,2)&amp;" ft ")&amp;IF($K$17="","","+ "&amp;FIXED($K$17,2)&amp;" ft"),FIXED($C$20,2)&amp;" ft "&amp;IF($E$20="","","+ "&amp;FIXED($E$20,2)&amp;" ft ")&amp;IF($G$20="","","+ "&amp;FIXED($G$20,2)&amp;" ft ")&amp;IF($I$20="","","+ "&amp;FIXED($I$20,2)&amp;" ft ")&amp;IF($K$20="","","+ "&amp;FIXED($K$20,2)&amp;" ft"))&amp;")}"</f>
        <v>{21.91 k/lane x 0.65 x (19.00 ft + 7.00 ft+ -5.00 ft + -17.00 ft )}</v>
      </c>
      <c r="M36" s="1130" t="s">
        <v>1362</v>
      </c>
    </row>
    <row r="37" spans="1:13">
      <c r="A37" s="337" t="str">
        <f t="shared" si="0"/>
        <v/>
      </c>
      <c r="F37" s="226" t="str">
        <f>"IM - Rightmost Lane"&amp;IF($G$12&gt;1,"s","")&amp;" Loaded ="</f>
        <v>IM - Rightmost Lanes Loaded =</v>
      </c>
      <c r="G37" s="765">
        <f>F32*K12*(C17+IF(G12&gt;1,E17,0)+IF(G12&gt;2,G17,0))</f>
        <v>569.7120000000001</v>
      </c>
      <c r="I37" s="34" t="str">
        <f>"{"&amp;FIXED(F32,2)&amp;" k/lane x "&amp;FIXED(K12,2)&amp;" x ("&amp;FIXED(C17,2)&amp;" ft "&amp;IF(G12&gt;1," + "&amp;FIXED(E17,2)&amp;" ft","")&amp;IF(G12&gt;2," + "&amp;FIXED(G17,2)&amp;" ft","")&amp;")}"</f>
        <v>{21.91 k/lane x 1.00 x (19.00 ft  + 7.00 ft)}</v>
      </c>
      <c r="M37" s="1130" t="s">
        <v>812</v>
      </c>
    </row>
    <row r="38" spans="1:13">
      <c r="A38" s="337" t="str">
        <f t="shared" si="0"/>
        <v/>
      </c>
      <c r="F38" s="226" t="str">
        <f>"IM - Leftmost Lane"&amp;IF($G$13&gt;1,"s","")&amp;" Loaded ="</f>
        <v>IM - Leftmost Lanes Loaded =</v>
      </c>
      <c r="G38" s="765">
        <f>F32*K13*(C20+IF(G13&gt;1,E20,0)+IF(G13&gt;2,G20,0))</f>
        <v>-569.7120000000001</v>
      </c>
      <c r="I38" s="34" t="str">
        <f>"{"&amp;FIXED(F32,2)&amp;" k/lane x "&amp;FIXED(K13,2)&amp;" x ("&amp;FIXED(C20,2)&amp;" ft "&amp;IF(G13&gt;1," + "&amp;FIXED(E20,2)&amp;" ft","")&amp;IF(G13&gt;2," + "&amp;FIXED(G20,2)&amp;" ft","")&amp;")}"</f>
        <v>{21.91 k/lane x 1.00 x (-19.00 ft  + -7.00 ft)}</v>
      </c>
      <c r="M38" s="1130" t="s">
        <v>813</v>
      </c>
    </row>
    <row r="39" spans="1:13" ht="5.25" customHeight="1">
      <c r="A39" s="337" t="str">
        <f t="shared" si="0"/>
        <v/>
      </c>
      <c r="E39" s="226"/>
      <c r="F39" s="323"/>
      <c r="I39" s="34"/>
    </row>
    <row r="40" spans="1:13">
      <c r="A40" s="337" t="str">
        <f t="shared" si="0"/>
        <v/>
      </c>
      <c r="B40" s="290" t="str">
        <f>IF(NoSupports=1,"* Moments shown are positive to the Right and negative to Left of Column Centerline.","")</f>
        <v>* Moments shown are positive to the Right and negative to Left of Column Centerline.</v>
      </c>
      <c r="M40" s="1130" t="s">
        <v>822</v>
      </c>
    </row>
    <row r="41" spans="1:13">
      <c r="B41" s="321" t="s">
        <v>178</v>
      </c>
    </row>
    <row r="42" spans="1:13" ht="11.25" customHeight="1">
      <c r="F42" s="226" t="s">
        <v>180</v>
      </c>
      <c r="G42" s="762">
        <f>('Live Load'!F15+IF(BkSpanLong&gt;=FdSpanLong,32+32*(BkSpanLong-14)/BkSpanLong+IF((BkSpanLong-28)/BkSpanLong&gt;=(FdSpanLong-14)/FdSpanLong,8*(BkSpanLong-28)/BkSpanLong,0),IF((BkSpanLong-14)/BkSpanLong&gt;(FdSpanLong-28)/FdSpanLong,8*(BkSpanLong-14)/BkSpanLong,0)))</f>
        <v>38.880000000000003</v>
      </c>
      <c r="H42" s="175" t="s">
        <v>876</v>
      </c>
      <c r="I42" s="34" t="str">
        <f>"{"&amp;FIXED('Live Load'!F15,2)&amp;" k"&amp;IF(BkSpanLong&gt;=FdSpanLong," + 32 k + 32 k x ("&amp;FIXED(BkSpanLong,2)&amp;" ft - 14 ft)/"&amp;FIXED(BkSpanLong,2)&amp;" ft "&amp;IF((BkSpanLong-28)/BkSpanLong&gt;=(FdSpanLong-14)/FdSpanLong," + 8 k x("&amp;FIXED(BkSpanLong,2)&amp;" ft - 28 ft)/"&amp;FIXED(BkSpanLong,2)&amp;" ft",""),IF((BkSpanLong-14)/BkSpanLong&gt;(FdSpanLong-28)/FdSpanLong," + 8 k x ("&amp;FIXED(BkSpanLong,2)&amp;" ft - 14 ft)/"&amp;FIXED(BkSpanLong,2)&amp;" ft",""))&amp;")}"</f>
        <v>{32.00 k + 8 k x (100.00 ft - 14 ft)/100.00 ft)}</v>
      </c>
    </row>
    <row r="43" spans="1:13" ht="11.25" customHeight="1">
      <c r="F43" s="226" t="s">
        <v>180</v>
      </c>
      <c r="G43" s="763">
        <f>-BearingDist/12*G42</f>
        <v>-38.880000000000003</v>
      </c>
      <c r="H43" s="175" t="s">
        <v>185</v>
      </c>
      <c r="I43" s="34" t="str">
        <f>"{"&amp;BearingDist&amp;" in x "&amp;FIXED(G42,2)&amp;" k}"</f>
        <v>{12 in x 38.88 k}</v>
      </c>
    </row>
    <row r="44" spans="1:13" ht="11.25" customHeight="1">
      <c r="F44" s="226" t="s">
        <v>182</v>
      </c>
      <c r="G44" s="762">
        <f>-BearingDist/12*('Live Load'!F11/100*(('Live Load'!F15+IF(BkSpanLong&gt;=FdSpanLong,32+32*(BkSpanLong-14)/BkSpanLong+IF((BkSpanLong-28)/BkSpanLong&gt;=(FdSpanLong-14)/FdSpanLong,8*(BkSpanLong-28)/BkSpanLong,0),IF((BkSpanLong-14)/BkSpanLong&gt;(FdSpanLong-28)/FdSpanLong,8*(BkSpanLong-14)/BkSpanLong,0)))-'Live Load'!F15))</f>
        <v>-2.2704000000000009</v>
      </c>
      <c r="H44" s="175" t="s">
        <v>185</v>
      </c>
      <c r="I44" s="34" t="str">
        <f>"{"&amp;BearingDist&amp;" in x ("&amp;FIXED('Live Load'!F11/100,2)&amp;" x ("&amp;FIXED('Live Load'!F15+IF(BkSpanLong&gt;=FdSpanLong,32+32*(BkSpanLong-14)/BkSpanLong+IF((BkSpanLong-28)/BkSpanLong&gt;=(FdSpanLong-14)/FdSpanLong,8*(BkSpanLong-28)/BkSpanLong,0),IF((BkSpanLong-14)/BkSpanLong&gt;(FdSpanLong-28)/FdSpanLong,8*(BkSpanLong-14)/BkSpanLong,0)),2)&amp;" k - "&amp;FIXED('Live Load'!F15,2)&amp;" k))}"</f>
        <v>{12 in x (0.33 x (38.88 k - 32.00 k))}</v>
      </c>
    </row>
    <row r="45" spans="1:13" ht="11.25" customHeight="1">
      <c r="F45" s="226" t="s">
        <v>181</v>
      </c>
      <c r="G45" s="762">
        <f>('Live Load'!F17+IF(FdSpanLong&gt;BkSpanLong,32+32*(FdSpanLong-14)/FdSpanLong+IF((FdSpanLong-28)/FdSpanLong&gt;(BkSpanLong-14)/BkSpanLong,8*(FdSpanLong-28)/FdSpanLong,0),IF((FdSpanLong-14)/FdSpanLong&gt;(BkSpanLong-28)/BkSpanLong,8*(FdSpanLong-14)/FdSpanLong,0)))</f>
        <v>98.666666666666657</v>
      </c>
      <c r="H45" s="175" t="s">
        <v>876</v>
      </c>
      <c r="I45" s="34" t="str">
        <f>"{"&amp;FIXED('Live Load'!F17,2)&amp;" k"&amp;IF(FdSpanLong&gt;BkSpanLong," + 32 k + 32 k x ("&amp;FIXED(FdSpanLong,2)&amp;" ft - 14 ft)/"&amp;FIXED(FdSpanLong,2)&amp;" ft "&amp;IF((FdSpanLong-28)/FdSpanLong&gt;=(BkSpanLong-14)/BkSpanLong," + 8 k x("&amp;FIXED(FdSpanLong,2)&amp;" ft - 28 ft)/"&amp;FIXED(FdSpanLong,2)&amp;" ft",""),IF((FdSpanLong-14)/FdSpanLong&gt;(BkSpanLong-28)/BkSpanLong," + 8 k x ("&amp;FIXED(FdSpanLong,2)&amp;" ft - 14 ft)/"&amp;FIXED(FdSpanLong,2)&amp;" ft",""))&amp;"}"</f>
        <v>{38.40 k + 32 k + 32 k x (120.00 ft - 14 ft)/120.00 ft }</v>
      </c>
    </row>
    <row r="46" spans="1:13" ht="11.25" customHeight="1">
      <c r="F46" s="226" t="s">
        <v>181</v>
      </c>
      <c r="G46" s="762">
        <f>BearingDist/12*G45</f>
        <v>98.666666666666657</v>
      </c>
      <c r="H46" s="175" t="s">
        <v>185</v>
      </c>
      <c r="I46" s="34" t="str">
        <f>"{"&amp;BearingDist&amp;" in x "&amp;FIXED(G45,2)&amp;" k}"</f>
        <v>{12 in x 98.67 k}</v>
      </c>
    </row>
    <row r="47" spans="1:13" ht="11.25" customHeight="1">
      <c r="F47" s="226" t="s">
        <v>183</v>
      </c>
      <c r="G47" s="762">
        <f>BearingDist/12*('Live Load'!F11/100*(('Live Load'!F17+IF(FdSpanLong&gt;BkSpanLong,32+32*(FdSpanLong-14)/FdSpanLong+IF((FdSpanLong-28)/FdSpanLong&gt;(BkSpanLong-14)/BkSpanLong,8*(FdSpanLong-28)/FdSpanLong,0),IF((FdSpanLong-14)/FdSpanLong&gt;(BkSpanLong-28)/BkSpanLong,8*(FdSpanLong-14)/FdSpanLong,0)))-'Live Load'!F17))</f>
        <v>19.887999999999998</v>
      </c>
      <c r="H47" s="175" t="s">
        <v>185</v>
      </c>
      <c r="I47" s="34" t="str">
        <f>"{"&amp;BearingDist&amp;" in x ("&amp;FIXED('Live Load'!F11/100,2)&amp;" x ("&amp;FIXED('Live Load'!F17+IF(FdSpanLong&gt;BkSpanLong,32+32*(FdSpanLong-14)/FdSpanLong+IF((FdSpanLong-28)/FdSpanLong&gt;(BkSpanLong-14)/BkSpanLong,8*(FdSpanLong-28)/FdSpanLong,0),IF((FdSpanLong-14)/FdSpanLong&gt;(BkSpanLong-28)/BkSpanLong,8*(FdSpanLong-14)/FdSpanLong,0)),2)&amp;" k - "&amp;FIXED('Live Load'!F17,2)&amp;" k))}"</f>
        <v>{12 in x (0.33 x (98.67 k - 38.40 k))}</v>
      </c>
    </row>
    <row r="48" spans="1:13" ht="11.25" customHeight="1">
      <c r="F48" s="226" t="s">
        <v>186</v>
      </c>
      <c r="G48" s="767">
        <f>G11*MultiPresTot*(G43+G46)</f>
        <v>155.44533333333331</v>
      </c>
      <c r="H48" s="175" t="s">
        <v>400</v>
      </c>
      <c r="I48" s="34" t="str">
        <f>"{"&amp;G11&amp;" lanes x "&amp;MultiPresTot&amp;" x ("&amp;FIXED(G43,2)&amp;" k-ft + "&amp;FIXED(G46,2)&amp;" k-ft)}"</f>
        <v>{4 lanes x 0.65 x (-38.88 k-ft + 98.67 k-ft)}</v>
      </c>
    </row>
    <row r="49" spans="1:13" ht="11.25" customHeight="1">
      <c r="A49" s="337" t="str">
        <f>IF(NoSupports&lt;&gt;1,"*","")</f>
        <v/>
      </c>
      <c r="F49" s="226" t="str">
        <f>"LL - Rightmost Lane"&amp;IF($G$12&gt;1,"s","")&amp;" Loaded ="</f>
        <v>LL - Rightmost Lanes Loaded =</v>
      </c>
      <c r="G49" s="767">
        <f>NumLanesOut*MultiPresOut*(G43+G46)</f>
        <v>119.57333333333331</v>
      </c>
      <c r="H49" s="175" t="s">
        <v>400</v>
      </c>
      <c r="I49" s="764" t="str">
        <f>"{"&amp;NumLanesOut&amp;" lanes x "&amp;MultiPresOut&amp;"("&amp;FIXED(G43,2)&amp;" k-ft + "&amp;FIXED(G46,2)&amp;" k-ft)}"</f>
        <v>{2 lanes x 1(-38.88 k-ft + 98.67 k-ft)}</v>
      </c>
      <c r="M49" s="1130" t="s">
        <v>812</v>
      </c>
    </row>
    <row r="50" spans="1:13" ht="11.25" customHeight="1">
      <c r="A50" s="337" t="str">
        <f>IF(NoSupports&lt;&gt;1,"*","")</f>
        <v/>
      </c>
      <c r="F50" s="226" t="str">
        <f>"LL -Leftmost Lane"&amp;IF($G$13&gt;1,"s","")&amp;" Loaded ="</f>
        <v>LL -Leftmost Lanes Loaded =</v>
      </c>
      <c r="G50" s="767">
        <f>NumLanesIn*MultiPresIn*(G43+G46)</f>
        <v>119.57333333333331</v>
      </c>
      <c r="H50" s="175" t="s">
        <v>400</v>
      </c>
      <c r="I50" s="764" t="str">
        <f>"{"&amp;NumLanesIn&amp;" lanes x "&amp;MultiPresIn&amp;"("&amp;FIXED(G43,2)&amp;" k-ft + "&amp;FIXED(G46,2)&amp;" k-ft)}"</f>
        <v>{2 lanes x 1(-38.88 k-ft + 98.67 k-ft)}</v>
      </c>
      <c r="M50" s="1130" t="s">
        <v>813</v>
      </c>
    </row>
    <row r="51" spans="1:13" ht="11.25" customHeight="1">
      <c r="B51" s="290"/>
      <c r="F51" s="226" t="s">
        <v>187</v>
      </c>
      <c r="G51" s="767">
        <f>G11*MultiPresTot*(G44+G47)</f>
        <v>45.805759999999992</v>
      </c>
      <c r="H51" s="175" t="s">
        <v>400</v>
      </c>
      <c r="I51" s="764" t="str">
        <f>"{"&amp;G11&amp;" lanes x "&amp;MultiPresTot&amp;" x ("&amp;FIXED(G44,2)&amp;" k-ft + "&amp;FIXED(G47,2)&amp;" k-ft)}"</f>
        <v>{4 lanes x 0.65 x (-2.27 k-ft + 19.89 k-ft)}</v>
      </c>
    </row>
    <row r="52" spans="1:13" ht="11.25" customHeight="1">
      <c r="A52" s="337" t="str">
        <f>IF(NoSupports&lt;&gt;1,"*","")</f>
        <v/>
      </c>
      <c r="B52" s="290"/>
      <c r="F52" s="226" t="str">
        <f>"IM - Rightmost Lane"&amp;IF($G$12&gt;1,"s","")&amp;" Loaded ="</f>
        <v>IM - Rightmost Lanes Loaded =</v>
      </c>
      <c r="G52" s="767">
        <f>NumLanesOut*MultiPresOut*(G44+G47)</f>
        <v>35.235199999999992</v>
      </c>
      <c r="H52" s="175" t="s">
        <v>400</v>
      </c>
      <c r="I52" s="764" t="str">
        <f>"{"&amp;NumLanesOut&amp;" lanes x "&amp;MultiPresOut&amp;"("&amp;FIXED(G44,2)&amp;" k-ft + "&amp;FIXED(G47,2)&amp;" k-ft)}"</f>
        <v>{2 lanes x 1(-2.27 k-ft + 19.89 k-ft)}</v>
      </c>
      <c r="M52" s="1130" t="s">
        <v>812</v>
      </c>
    </row>
    <row r="53" spans="1:13" ht="11.25" customHeight="1">
      <c r="A53" s="337" t="str">
        <f>IF(NoSupports&lt;&gt;1,"*","")</f>
        <v/>
      </c>
      <c r="B53" s="290"/>
      <c r="F53" s="226" t="str">
        <f>"IM - Leftmost Lane"&amp;IF($G$13&gt;1,"s","")&amp;" Loaded ="</f>
        <v>IM - Leftmost Lanes Loaded =</v>
      </c>
      <c r="G53" s="767">
        <f>NumLanesIn*MultiPresIn*(G44+G47)</f>
        <v>35.235199999999992</v>
      </c>
      <c r="H53" s="175" t="s">
        <v>400</v>
      </c>
      <c r="I53" s="764" t="str">
        <f>"{"&amp;NumLanesIn&amp;" lanes x "&amp;MultiPresIn&amp;"("&amp;FIXED(G44,2)&amp;" k-ft + "&amp;FIXED(G47,2)&amp;" k-ft)}"</f>
        <v>{2 lanes x 1(-2.27 k-ft + 19.89 k-ft)}</v>
      </c>
      <c r="M53" s="1130" t="s">
        <v>813</v>
      </c>
    </row>
    <row r="54" spans="1:13">
      <c r="B54" s="321" t="s">
        <v>179</v>
      </c>
    </row>
    <row r="55" spans="1:13" ht="11.25" customHeight="1">
      <c r="B55" s="290"/>
      <c r="F55" s="226" t="s">
        <v>188</v>
      </c>
      <c r="G55" s="762">
        <f>IF(MAX(LLTruckBk+'Live Load'!F15,LLTruckFd+'Live Load'!F17)=LLTruckBk+'Live Load'!F15,-(LLTruckBk+'Live Load'!F15),LLTruckFd+'Live Load'!F17)*BearingDist/12</f>
        <v>104.80000000000001</v>
      </c>
      <c r="H55" s="1036" t="s">
        <v>185</v>
      </c>
      <c r="I55" s="764" t="str">
        <f>"{"&amp;IF(MAX(LLTruckBk+'Live Load'!F15,LLTruckFd+'Live Load'!F17)=LLTruckBk+'Live Load'!F15,"-("&amp;FIXED(LLTruckBk,2)&amp;" k + "&amp;FIXED('Live Load'!F15,2)&amp;" k)",FIXED(LLTruckFd,2)&amp;" k + "&amp;FIXED('Live Load'!F17,2)&amp;" k")&amp;" x "&amp;FIXED(BearingDist,1)&amp;" in / 12}"</f>
        <v>{66.40 k + 38.40 k x 12.0 in / 12}</v>
      </c>
    </row>
    <row r="56" spans="1:13" ht="11.25" customHeight="1">
      <c r="B56" s="290"/>
      <c r="F56" s="226" t="s">
        <v>189</v>
      </c>
      <c r="G56" s="762">
        <f>IF(MAX(LLTruckBk,LLTruckFd)=LLTruckBk,-LLTruckBk,LLTruckFd)*'Live Load'!F11/100*BearingDist/12</f>
        <v>21.912000000000003</v>
      </c>
      <c r="H56" s="1036" t="s">
        <v>185</v>
      </c>
      <c r="I56" s="764" t="str">
        <f>"{"&amp;IF(MAX(LLTruckBk,LLTruckFd)=LLTruckBk,-FIXED(LLTruckBk,2),FIXED(LLTruckFd,2))&amp;" k x "&amp;FIXED('Live Load'!F11/100,2)&amp;"  x "&amp;FIXED(BearingDist,1)&amp;" in / 12}"</f>
        <v>{66.40 k x 0.33  x 12.0 in / 12}</v>
      </c>
    </row>
    <row r="57" spans="1:13" ht="11.25" customHeight="1">
      <c r="B57" s="290"/>
      <c r="F57" s="226" t="s">
        <v>186</v>
      </c>
      <c r="G57" s="767">
        <f>G11*MultiPresTot*G55</f>
        <v>272.48</v>
      </c>
      <c r="H57" s="175" t="s">
        <v>400</v>
      </c>
      <c r="I57" s="764" t="str">
        <f>"{"&amp;G11&amp;" lane(s) x "&amp;MultiPresTot&amp;" x "&amp;FIXED(G55,2)&amp;" k/lane}"</f>
        <v>{4 lane(s) x 0.65 x 104.80 k/lane}</v>
      </c>
    </row>
    <row r="58" spans="1:13" ht="11.25" customHeight="1">
      <c r="A58" s="337" t="str">
        <f>IF(NoSupports&lt;&gt;1,"*","")</f>
        <v/>
      </c>
      <c r="B58" s="290"/>
      <c r="F58" s="226" t="str">
        <f>"LL - Rightmost Lane"&amp;IF($G$12&gt;1,"s","")&amp;" Loaded ="</f>
        <v>LL - Rightmost Lanes Loaded =</v>
      </c>
      <c r="G58" s="767">
        <f>NumLanesOut*MultiPresOut*G55</f>
        <v>209.60000000000002</v>
      </c>
      <c r="H58" s="175" t="s">
        <v>400</v>
      </c>
      <c r="I58" s="764" t="str">
        <f>"{"&amp;G12&amp;" lane(s) x "&amp;MultiPresOut&amp;" x "&amp;FIXED(G55,2)&amp;" k/lane}"</f>
        <v>{2 lane(s) x 1 x 104.80 k/lane}</v>
      </c>
      <c r="M58" s="1130" t="s">
        <v>812</v>
      </c>
    </row>
    <row r="59" spans="1:13" ht="11.25" customHeight="1">
      <c r="A59" s="337" t="str">
        <f>IF(NoSupports&lt;&gt;1,"*","")</f>
        <v/>
      </c>
      <c r="B59" s="290"/>
      <c r="F59" s="226" t="str">
        <f>"LL -Leftmost Lane"&amp;IF($G$13&gt;1,"s","")&amp;" Loaded ="</f>
        <v>LL -Leftmost Lanes Loaded =</v>
      </c>
      <c r="G59" s="767">
        <f>NumLanesIn*MultiPresIn*G55</f>
        <v>209.60000000000002</v>
      </c>
      <c r="H59" s="175" t="s">
        <v>400</v>
      </c>
      <c r="I59" s="764" t="str">
        <f>"{"&amp;G13&amp;" lane(s) x "&amp;MultiPresIn&amp;" x "&amp;FIXED(G55,2)&amp;" k/lane}"</f>
        <v>{2 lane(s) x 1 x 104.80 k/lane}</v>
      </c>
      <c r="M59" s="1130" t="s">
        <v>813</v>
      </c>
    </row>
    <row r="60" spans="1:13" ht="11.25" customHeight="1">
      <c r="B60" s="290"/>
      <c r="F60" s="226" t="s">
        <v>187</v>
      </c>
      <c r="G60" s="767">
        <f>G11*MultiPresTot*G56</f>
        <v>56.97120000000001</v>
      </c>
      <c r="H60" s="175" t="s">
        <v>400</v>
      </c>
      <c r="I60" s="764" t="str">
        <f>"{"&amp;G11&amp;" lane(s) x "&amp;MultiPresTot&amp;" x "&amp;FIXED(G56,2)&amp;" k/lane}"</f>
        <v>{4 lane(s) x 0.65 x 21.91 k/lane}</v>
      </c>
    </row>
    <row r="61" spans="1:13" ht="11.25" customHeight="1">
      <c r="A61" s="337" t="str">
        <f>IF(NoSupports&lt;&gt;1,"*","")</f>
        <v/>
      </c>
      <c r="B61" s="290"/>
      <c r="F61" s="226" t="str">
        <f>"IM - Rightmost Lane"&amp;IF($G$12&gt;1,"s","")&amp;" Loaded ="</f>
        <v>IM - Rightmost Lanes Loaded =</v>
      </c>
      <c r="G61" s="767">
        <f>NumLanesOut*MultiPresOut*G56</f>
        <v>43.824000000000005</v>
      </c>
      <c r="H61" s="175" t="s">
        <v>400</v>
      </c>
      <c r="I61" s="764" t="str">
        <f>"{"&amp;G12&amp;" lane(s) x "&amp;MultiPresOut&amp;" x "&amp;FIXED(G56,2)&amp;" k/lane}"</f>
        <v>{2 lane(s) x 1 x 21.91 k/lane}</v>
      </c>
      <c r="M61" s="1130" t="s">
        <v>812</v>
      </c>
    </row>
    <row r="62" spans="1:13" ht="11.25" customHeight="1">
      <c r="A62" s="337" t="str">
        <f>IF(NoSupports&lt;&gt;1,"*","")</f>
        <v/>
      </c>
      <c r="B62" s="290"/>
      <c r="F62" s="226" t="str">
        <f>"IM - Leftmost Lane"&amp;IF($G$13&gt;1,"s","")&amp;" Loaded ="</f>
        <v>IM - Leftmost Lanes Loaded =</v>
      </c>
      <c r="G62" s="767">
        <f>NumLanesIn*MultiPresIn*G56</f>
        <v>43.824000000000005</v>
      </c>
      <c r="H62" s="175" t="s">
        <v>400</v>
      </c>
      <c r="I62" s="764" t="str">
        <f>"{"&amp;G13&amp;" lane(s) x "&amp;MultiPresIn&amp;" x "&amp;FIXED(G56,2)&amp;" k/lane}"</f>
        <v>{2 lane(s) x 1 x 21.91 k/lane}</v>
      </c>
      <c r="M62" s="1130" t="s">
        <v>813</v>
      </c>
    </row>
    <row r="63" spans="1:13">
      <c r="A63" s="337" t="str">
        <f t="shared" ref="A63" si="1">IF(NoSupports&lt;&gt;1,"*","")</f>
        <v/>
      </c>
      <c r="B63" s="290" t="str">
        <f>IF(NoSupports=1,"* Moments shown are positive towards the forward span and negative towards the back span.","")</f>
        <v>* Moments shown are positive towards the forward span and negative towards the back span.</v>
      </c>
      <c r="C63" s="290"/>
      <c r="D63" s="290"/>
      <c r="E63" s="290"/>
      <c r="F63" s="290"/>
      <c r="G63" s="290"/>
      <c r="H63" s="290"/>
      <c r="I63" s="290"/>
      <c r="J63" s="290"/>
      <c r="K63" s="290"/>
    </row>
    <row r="64" spans="1:13" ht="13.5" thickBot="1">
      <c r="A64" s="358" t="s">
        <v>670</v>
      </c>
      <c r="B64" s="1523" t="s">
        <v>788</v>
      </c>
      <c r="C64" s="1523"/>
      <c r="D64" s="1523"/>
      <c r="E64" s="1523"/>
      <c r="F64" s="1523"/>
      <c r="G64" s="1523"/>
      <c r="H64" s="1523"/>
      <c r="I64" s="1523"/>
      <c r="J64" s="1523"/>
      <c r="K64" s="1523"/>
      <c r="L64" s="1523"/>
    </row>
    <row r="65" spans="2:12">
      <c r="B65" s="704"/>
      <c r="C65" s="704"/>
      <c r="D65" s="704"/>
      <c r="E65" s="704"/>
      <c r="F65" s="704"/>
      <c r="G65" s="704"/>
      <c r="H65" s="704"/>
      <c r="I65" s="704"/>
      <c r="J65" s="704"/>
      <c r="K65" s="704"/>
    </row>
    <row r="66" spans="2:12">
      <c r="B66" s="704"/>
      <c r="C66" s="704"/>
      <c r="D66" s="704"/>
      <c r="E66" s="704"/>
      <c r="F66" s="705" t="s">
        <v>789</v>
      </c>
      <c r="G66" s="1090">
        <v>0</v>
      </c>
      <c r="H66" s="704" t="s">
        <v>1262</v>
      </c>
      <c r="I66" s="707"/>
      <c r="J66" s="704"/>
      <c r="K66" s="704"/>
    </row>
    <row r="67" spans="2:12">
      <c r="B67" s="704"/>
      <c r="C67" s="704"/>
      <c r="D67" s="704"/>
      <c r="E67" s="704"/>
      <c r="F67" s="704"/>
      <c r="G67" s="704"/>
      <c r="H67" s="704"/>
      <c r="I67" s="704"/>
      <c r="J67" s="704"/>
      <c r="K67" s="704"/>
    </row>
    <row r="68" spans="2:12">
      <c r="B68" s="704"/>
      <c r="C68" s="704"/>
      <c r="D68" s="704"/>
      <c r="E68" s="704"/>
      <c r="F68" s="705" t="s">
        <v>790</v>
      </c>
      <c r="G68" s="1090">
        <v>0</v>
      </c>
      <c r="H68" s="704" t="s">
        <v>785</v>
      </c>
      <c r="I68" s="707" t="s">
        <v>809</v>
      </c>
      <c r="J68" s="704"/>
      <c r="K68" s="704"/>
    </row>
    <row r="69" spans="2:12" s="337" customFormat="1">
      <c r="B69" s="704"/>
      <c r="C69" s="704"/>
      <c r="D69" s="704"/>
      <c r="E69" s="704"/>
      <c r="F69" s="705" t="s">
        <v>791</v>
      </c>
      <c r="G69" s="1090">
        <v>0</v>
      </c>
      <c r="H69" s="704" t="s">
        <v>785</v>
      </c>
      <c r="I69" s="707" t="s">
        <v>823</v>
      </c>
      <c r="J69" s="704"/>
      <c r="K69" s="704"/>
      <c r="L69"/>
    </row>
    <row r="70" spans="2:12" s="337" customFormat="1">
      <c r="B70" s="704"/>
      <c r="C70" s="704"/>
      <c r="D70" s="704"/>
      <c r="E70" s="704"/>
      <c r="F70" s="290"/>
      <c r="G70" s="290"/>
      <c r="H70" s="290"/>
      <c r="I70" s="290"/>
      <c r="J70" s="704"/>
      <c r="K70" s="704"/>
    </row>
    <row r="71" spans="2:12" s="337" customFormat="1">
      <c r="B71" s="290"/>
      <c r="C71" s="290"/>
      <c r="D71" s="290"/>
      <c r="E71" s="290"/>
      <c r="F71" s="290"/>
      <c r="G71" s="290"/>
      <c r="H71" s="290"/>
      <c r="I71" s="290"/>
      <c r="J71" s="290"/>
      <c r="K71" s="290"/>
    </row>
    <row r="72" spans="2:12" s="337" customFormat="1">
      <c r="B72" s="290"/>
      <c r="C72"/>
      <c r="D72"/>
      <c r="E72"/>
      <c r="F72"/>
      <c r="G72"/>
      <c r="H72"/>
      <c r="I72"/>
      <c r="J72"/>
      <c r="K72"/>
    </row>
    <row r="73" spans="2:12" s="337" customFormat="1">
      <c r="B73" s="290"/>
      <c r="C73"/>
      <c r="D73"/>
      <c r="E73"/>
      <c r="F73"/>
      <c r="G73"/>
      <c r="H73"/>
      <c r="I73"/>
      <c r="J73"/>
      <c r="K73"/>
    </row>
    <row r="74" spans="2:12" s="337" customFormat="1">
      <c r="B74" s="290"/>
      <c r="C74"/>
      <c r="D74"/>
      <c r="E74"/>
      <c r="F74"/>
      <c r="G74"/>
      <c r="H74"/>
      <c r="I74"/>
      <c r="J74"/>
      <c r="K74"/>
    </row>
    <row r="75" spans="2:12" s="337" customFormat="1">
      <c r="B75" s="290"/>
      <c r="C75"/>
      <c r="D75"/>
      <c r="E75"/>
      <c r="F75"/>
      <c r="G75"/>
      <c r="H75"/>
      <c r="I75"/>
      <c r="J75"/>
      <c r="K75"/>
    </row>
    <row r="76" spans="2:12" s="337" customFormat="1">
      <c r="B76" s="290"/>
      <c r="C76"/>
      <c r="D76"/>
      <c r="E76"/>
      <c r="F76"/>
      <c r="G76"/>
      <c r="H76"/>
      <c r="I76"/>
      <c r="J76"/>
      <c r="K76"/>
    </row>
    <row r="77" spans="2:12" s="337" customFormat="1">
      <c r="B77"/>
      <c r="C77"/>
      <c r="D77"/>
      <c r="E77"/>
      <c r="F77"/>
      <c r="G77"/>
      <c r="H77"/>
      <c r="I77"/>
      <c r="J77"/>
      <c r="K77"/>
    </row>
    <row r="78" spans="2:12" s="337" customFormat="1"/>
    <row r="79" spans="2:12" s="337" customFormat="1"/>
    <row r="80" spans="2:12" s="337" customFormat="1"/>
    <row r="81" s="337" customFormat="1"/>
    <row r="82" s="337" customFormat="1"/>
    <row r="83" s="337" customFormat="1"/>
    <row r="84" s="337" customFormat="1"/>
    <row r="85" s="337" customFormat="1"/>
    <row r="86" s="337" customFormat="1"/>
    <row r="87" s="337" customFormat="1"/>
    <row r="88" s="337" customFormat="1"/>
    <row r="89" s="337" customFormat="1"/>
    <row r="90" s="337" customFormat="1"/>
    <row r="91" s="337" customFormat="1"/>
    <row r="92" s="337" customFormat="1"/>
    <row r="93" s="337" customFormat="1"/>
    <row r="94" s="337" customFormat="1"/>
    <row r="95" s="337" customFormat="1"/>
    <row r="96" s="337" customFormat="1"/>
    <row r="97" s="337" customFormat="1"/>
    <row r="98" s="337" customFormat="1"/>
    <row r="99" s="337" customFormat="1"/>
    <row r="100" s="337" customFormat="1"/>
    <row r="101" s="337" customFormat="1"/>
    <row r="102" s="337" customFormat="1"/>
    <row r="103" s="337" customFormat="1"/>
    <row r="104" s="337" customFormat="1"/>
    <row r="105" s="337" customFormat="1"/>
    <row r="106" s="337" customFormat="1"/>
    <row r="107" s="337" customFormat="1"/>
    <row r="108" s="337" customFormat="1"/>
    <row r="109" s="337" customFormat="1"/>
    <row r="110" s="337" customFormat="1"/>
    <row r="111" s="337" customFormat="1"/>
    <row r="112" s="337" customFormat="1"/>
    <row r="113" s="337" customFormat="1"/>
    <row r="114" s="337" customFormat="1"/>
    <row r="115" s="337" customFormat="1"/>
    <row r="116" s="337" customFormat="1"/>
    <row r="117" s="337" customFormat="1"/>
    <row r="118" s="337" customFormat="1"/>
    <row r="119" s="337" customFormat="1"/>
    <row r="120" s="337" customFormat="1"/>
    <row r="121" s="337" customFormat="1"/>
    <row r="122" s="337" customFormat="1"/>
    <row r="123" s="337" customFormat="1"/>
    <row r="124" s="337" customFormat="1"/>
    <row r="125" s="337" customFormat="1"/>
    <row r="126" s="337" customFormat="1"/>
    <row r="127" s="337" customFormat="1"/>
    <row r="128" s="337" customFormat="1"/>
    <row r="129" s="337" customFormat="1"/>
    <row r="130" s="337" customFormat="1"/>
    <row r="131" s="337" customFormat="1"/>
    <row r="132" s="337" customFormat="1"/>
    <row r="133" s="337" customFormat="1"/>
    <row r="134" s="337" customFormat="1"/>
    <row r="135" s="337" customFormat="1"/>
    <row r="136" s="337" customFormat="1"/>
    <row r="137" s="337" customFormat="1"/>
    <row r="138" s="337" customFormat="1"/>
    <row r="139" s="337" customFormat="1"/>
    <row r="140" s="337" customFormat="1"/>
    <row r="141" s="337" customFormat="1"/>
    <row r="142" s="337" customFormat="1"/>
    <row r="143" s="337" customFormat="1"/>
    <row r="144" s="337" customFormat="1"/>
    <row r="145" s="337" customFormat="1"/>
    <row r="146" s="337" customFormat="1"/>
    <row r="147" s="337" customFormat="1"/>
    <row r="148" s="337" customFormat="1"/>
    <row r="149" s="337" customFormat="1"/>
    <row r="150" s="337" customFormat="1"/>
    <row r="151" s="337" customFormat="1"/>
    <row r="152" s="337" customFormat="1"/>
    <row r="153" s="337" customFormat="1"/>
    <row r="154" s="337" customFormat="1"/>
    <row r="155" s="337" customFormat="1"/>
    <row r="156" s="337" customFormat="1"/>
    <row r="157" s="337" customFormat="1"/>
    <row r="158" s="337" customFormat="1"/>
    <row r="159" s="337" customFormat="1"/>
    <row r="160" s="337" customFormat="1"/>
    <row r="161" s="337" customFormat="1"/>
    <row r="162" s="337" customFormat="1"/>
    <row r="163" s="337" customFormat="1"/>
    <row r="164" s="337" customFormat="1"/>
    <row r="165" s="337" customFormat="1"/>
    <row r="166" s="337" customFormat="1"/>
    <row r="167" s="337" customFormat="1"/>
    <row r="168" s="337" customFormat="1"/>
    <row r="169" s="337" customFormat="1"/>
    <row r="170" s="337" customFormat="1"/>
    <row r="171" s="337" customFormat="1"/>
    <row r="172" s="337" customFormat="1"/>
    <row r="173" s="337" customFormat="1"/>
    <row r="174" s="337" customFormat="1"/>
    <row r="175" s="337" customFormat="1"/>
    <row r="176" s="337" customFormat="1"/>
    <row r="177" s="337" customFormat="1"/>
    <row r="178" s="337" customFormat="1"/>
    <row r="179" s="337" customFormat="1"/>
    <row r="180" s="337" customFormat="1"/>
    <row r="181" s="337" customFormat="1"/>
    <row r="182" s="337" customFormat="1"/>
    <row r="183" s="337" customFormat="1"/>
    <row r="184" s="337" customFormat="1"/>
    <row r="185" s="337" customFormat="1"/>
    <row r="186" s="337" customFormat="1"/>
    <row r="187" s="337" customFormat="1"/>
    <row r="188" s="337" customFormat="1"/>
    <row r="189" s="337" customFormat="1"/>
    <row r="190" s="337" customFormat="1"/>
    <row r="191" s="337" customFormat="1"/>
    <row r="192" s="337" customFormat="1"/>
    <row r="193" s="337" customFormat="1"/>
    <row r="194" s="337" customFormat="1"/>
    <row r="195" s="337" customFormat="1"/>
    <row r="196" s="337" customFormat="1"/>
    <row r="197" s="337" customFormat="1"/>
    <row r="198" s="337" customFormat="1"/>
    <row r="199" s="337" customFormat="1"/>
    <row r="200" s="337" customFormat="1"/>
    <row r="201" s="337" customFormat="1"/>
    <row r="202" s="337" customFormat="1"/>
    <row r="203" s="337" customFormat="1"/>
    <row r="204" s="337" customFormat="1"/>
    <row r="205" s="337" customFormat="1"/>
    <row r="206" s="337" customFormat="1"/>
    <row r="207" s="337" customFormat="1"/>
    <row r="208" s="337" customFormat="1"/>
    <row r="209" s="337" customFormat="1"/>
    <row r="210" s="337" customFormat="1"/>
    <row r="211" s="337" customFormat="1"/>
    <row r="212" s="337" customFormat="1"/>
    <row r="213" s="337" customFormat="1"/>
    <row r="214" s="337" customFormat="1"/>
    <row r="215" s="337" customFormat="1"/>
    <row r="216" s="337" customFormat="1"/>
    <row r="217" s="337" customFormat="1"/>
    <row r="218" s="337" customFormat="1"/>
    <row r="219" s="337" customFormat="1"/>
    <row r="220" s="337" customFormat="1"/>
    <row r="221" s="337" customFormat="1"/>
    <row r="222" s="337" customFormat="1"/>
    <row r="223" s="337" customFormat="1"/>
    <row r="224" s="337" customFormat="1"/>
    <row r="225" s="337" customFormat="1"/>
    <row r="226" s="337" customFormat="1"/>
    <row r="227" s="337" customFormat="1"/>
    <row r="228" s="337" customFormat="1"/>
    <row r="229" s="337" customFormat="1"/>
    <row r="230" s="337" customFormat="1"/>
    <row r="231" s="337" customFormat="1"/>
    <row r="232" s="337" customFormat="1"/>
    <row r="233" s="337" customFormat="1"/>
    <row r="234" s="337" customFormat="1"/>
    <row r="235" s="337" customFormat="1"/>
    <row r="236" s="337" customFormat="1"/>
    <row r="237" s="337" customFormat="1"/>
    <row r="238" s="337" customFormat="1"/>
    <row r="239" s="337" customFormat="1"/>
    <row r="240" s="337" customFormat="1"/>
    <row r="241" s="337" customFormat="1"/>
    <row r="242" s="337" customFormat="1"/>
    <row r="243" s="337" customFormat="1"/>
    <row r="244" s="337" customFormat="1"/>
    <row r="245" s="337" customFormat="1"/>
    <row r="246" s="337" customFormat="1"/>
    <row r="247" s="337" customFormat="1"/>
    <row r="248" s="337" customFormat="1"/>
    <row r="249" s="337" customFormat="1"/>
    <row r="250" s="337" customFormat="1"/>
    <row r="251" s="337" customFormat="1"/>
    <row r="252" s="337" customFormat="1"/>
    <row r="253" s="337" customFormat="1"/>
    <row r="254" s="337" customFormat="1"/>
    <row r="255" s="337" customFormat="1"/>
    <row r="256" s="337" customFormat="1"/>
    <row r="257" s="337" customFormat="1"/>
    <row r="258" s="337" customFormat="1"/>
    <row r="259" s="337" customFormat="1"/>
    <row r="260" s="337" customFormat="1"/>
    <row r="261" s="337" customFormat="1"/>
    <row r="262" s="337" customFormat="1"/>
    <row r="263" s="337" customFormat="1"/>
    <row r="264" s="337" customFormat="1"/>
    <row r="265" s="337" customFormat="1"/>
    <row r="266" s="337" customFormat="1"/>
    <row r="267" s="337" customFormat="1"/>
    <row r="268" s="337" customFormat="1"/>
    <row r="269" s="337" customFormat="1"/>
    <row r="270" s="337" customFormat="1"/>
    <row r="271" s="337" customFormat="1"/>
    <row r="272" s="337" customFormat="1"/>
    <row r="273" s="337" customFormat="1"/>
    <row r="274" s="337" customFormat="1"/>
    <row r="275" s="337" customFormat="1"/>
    <row r="276" s="337" customFormat="1"/>
    <row r="277" s="337" customFormat="1"/>
    <row r="278" s="337" customFormat="1"/>
    <row r="279" s="337" customFormat="1"/>
    <row r="280" s="337" customFormat="1"/>
    <row r="281" s="337" customFormat="1"/>
    <row r="282" s="337" customFormat="1"/>
    <row r="283" s="337" customFormat="1"/>
    <row r="284" s="337" customFormat="1"/>
    <row r="285" s="337" customFormat="1"/>
    <row r="286" s="337" customFormat="1"/>
    <row r="287" s="337" customFormat="1"/>
    <row r="288" s="337" customFormat="1"/>
    <row r="289" s="337" customFormat="1"/>
    <row r="290" s="337" customFormat="1"/>
    <row r="291" s="337" customFormat="1"/>
    <row r="292" s="337" customFormat="1"/>
    <row r="293" s="337" customFormat="1"/>
    <row r="294" s="337" customFormat="1"/>
    <row r="295" s="337" customFormat="1"/>
    <row r="296" s="337" customFormat="1"/>
    <row r="297" s="337" customFormat="1"/>
    <row r="298" s="337" customFormat="1"/>
    <row r="299" s="337" customFormat="1"/>
    <row r="300" s="337" customFormat="1"/>
    <row r="301" s="337" customFormat="1"/>
    <row r="302" s="337" customFormat="1"/>
    <row r="303" s="337" customFormat="1"/>
    <row r="304" s="337" customFormat="1"/>
    <row r="305" s="337" customFormat="1"/>
    <row r="306" s="337" customFormat="1"/>
    <row r="307" s="337" customFormat="1"/>
    <row r="308" s="337" customFormat="1"/>
    <row r="309" s="337" customFormat="1"/>
    <row r="310" s="337" customFormat="1"/>
    <row r="311" s="337" customFormat="1"/>
    <row r="312" s="337" customFormat="1"/>
    <row r="313" s="337" customFormat="1"/>
    <row r="314" s="337" customFormat="1"/>
    <row r="315" s="337" customFormat="1"/>
    <row r="316" s="337" customFormat="1"/>
    <row r="317" s="337" customFormat="1"/>
    <row r="318" s="337" customFormat="1"/>
    <row r="319" s="337" customFormat="1"/>
    <row r="320" s="337" customFormat="1"/>
    <row r="321" s="337" customFormat="1"/>
    <row r="322" s="337" customFormat="1"/>
    <row r="323" s="337" customFormat="1"/>
    <row r="324" s="337" customFormat="1"/>
    <row r="325" s="337" customFormat="1"/>
    <row r="326" s="337" customFormat="1"/>
    <row r="327" s="337" customFormat="1"/>
    <row r="328" s="337" customFormat="1"/>
    <row r="329" s="337" customFormat="1"/>
    <row r="330" s="337" customFormat="1"/>
    <row r="331" s="337" customFormat="1"/>
    <row r="332" s="337" customFormat="1"/>
    <row r="333" s="337" customFormat="1"/>
    <row r="334" s="337" customFormat="1"/>
    <row r="335" s="337" customFormat="1"/>
    <row r="336" s="337" customFormat="1"/>
    <row r="337" s="337" customFormat="1"/>
    <row r="338" s="337" customFormat="1"/>
    <row r="339" s="337" customFormat="1"/>
    <row r="340" s="337" customFormat="1"/>
    <row r="341" s="337" customFormat="1"/>
    <row r="342" s="337" customFormat="1"/>
    <row r="343" s="337" customFormat="1"/>
    <row r="344" s="337" customFormat="1"/>
    <row r="345" s="337" customFormat="1"/>
    <row r="346" s="337" customFormat="1"/>
    <row r="347" s="337" customFormat="1"/>
    <row r="348" s="337" customFormat="1"/>
    <row r="349" s="337" customFormat="1"/>
    <row r="350" s="337" customFormat="1"/>
    <row r="351" s="337" customFormat="1"/>
    <row r="352" s="337" customFormat="1"/>
    <row r="353" s="337" customFormat="1"/>
    <row r="354" s="337" customFormat="1"/>
    <row r="355" s="337" customFormat="1"/>
    <row r="356" s="337" customFormat="1"/>
    <row r="357" s="337" customFormat="1"/>
    <row r="358" s="337" customFormat="1"/>
    <row r="359" s="337" customFormat="1"/>
    <row r="360" s="337" customFormat="1"/>
    <row r="361" s="337" customFormat="1"/>
    <row r="362" s="337" customFormat="1"/>
    <row r="363" s="337" customFormat="1"/>
    <row r="364" s="337" customFormat="1"/>
    <row r="365" s="337" customFormat="1"/>
    <row r="366" s="337" customFormat="1"/>
    <row r="367" s="337" customFormat="1"/>
    <row r="368" s="337" customFormat="1"/>
    <row r="369" s="337" customFormat="1"/>
    <row r="370" s="337" customFormat="1"/>
    <row r="371" s="337" customFormat="1"/>
    <row r="372" s="337" customFormat="1"/>
    <row r="373" s="337" customFormat="1"/>
    <row r="374" s="337" customFormat="1"/>
    <row r="375" s="337" customFormat="1"/>
    <row r="376" s="337" customFormat="1"/>
    <row r="377" s="337" customFormat="1"/>
    <row r="378" s="337" customFormat="1"/>
    <row r="379" s="337" customFormat="1"/>
    <row r="380" s="337" customFormat="1"/>
    <row r="381" s="337" customFormat="1"/>
    <row r="382" s="337" customFormat="1"/>
    <row r="383" s="337" customFormat="1"/>
    <row r="384" s="337" customFormat="1"/>
    <row r="385" s="337" customFormat="1"/>
    <row r="386" s="337" customFormat="1"/>
    <row r="387" s="337" customFormat="1"/>
    <row r="388" s="337" customFormat="1"/>
    <row r="389" s="337" customFormat="1"/>
    <row r="390" s="337" customFormat="1"/>
    <row r="391" s="337" customFormat="1"/>
    <row r="392" s="337" customFormat="1"/>
    <row r="393" s="337" customFormat="1"/>
    <row r="394" s="337" customFormat="1"/>
    <row r="395" s="337" customFormat="1"/>
    <row r="396" s="337" customFormat="1"/>
    <row r="397" s="337" customFormat="1"/>
    <row r="398" s="337" customFormat="1"/>
    <row r="399" s="337" customFormat="1"/>
    <row r="400" s="337" customFormat="1"/>
    <row r="401" s="337" customFormat="1"/>
    <row r="402" s="337" customFormat="1"/>
    <row r="403" s="337" customFormat="1"/>
    <row r="404" s="337" customFormat="1"/>
    <row r="405" s="337" customFormat="1"/>
    <row r="406" s="337" customFormat="1"/>
    <row r="407" s="337" customFormat="1"/>
    <row r="408" s="337" customFormat="1"/>
    <row r="409" s="337" customFormat="1"/>
    <row r="410" s="337" customFormat="1"/>
    <row r="411" s="337" customFormat="1"/>
    <row r="412" s="337" customFormat="1"/>
    <row r="413" s="337" customFormat="1"/>
    <row r="414" s="337" customFormat="1"/>
    <row r="415" s="337" customFormat="1"/>
    <row r="416" s="337" customFormat="1"/>
    <row r="417" spans="2:11" s="337" customFormat="1"/>
    <row r="418" spans="2:11" s="337" customFormat="1"/>
    <row r="419" spans="2:11" s="337" customFormat="1"/>
    <row r="420" spans="2:11">
      <c r="B420" s="337"/>
      <c r="C420" s="337"/>
      <c r="D420" s="337"/>
      <c r="E420" s="337"/>
      <c r="F420" s="337"/>
      <c r="G420" s="337"/>
      <c r="H420" s="337"/>
      <c r="I420" s="337"/>
      <c r="J420" s="337"/>
      <c r="K420" s="337"/>
    </row>
    <row r="421" spans="2:11">
      <c r="B421" s="337"/>
      <c r="C421" s="337"/>
      <c r="D421" s="337"/>
      <c r="E421" s="337"/>
      <c r="F421" s="337"/>
      <c r="G421" s="337"/>
      <c r="H421" s="337"/>
      <c r="I421" s="337"/>
      <c r="J421" s="337"/>
      <c r="K421" s="337"/>
    </row>
    <row r="422" spans="2:11">
      <c r="B422" s="337"/>
      <c r="C422" s="337"/>
      <c r="D422" s="337"/>
      <c r="E422" s="337"/>
      <c r="F422" s="337"/>
      <c r="G422" s="337"/>
      <c r="H422" s="337"/>
      <c r="I422" s="337"/>
      <c r="J422" s="337"/>
      <c r="K422" s="337"/>
    </row>
    <row r="423" spans="2:11">
      <c r="B423" s="337"/>
      <c r="C423" s="337"/>
      <c r="D423" s="337"/>
      <c r="E423" s="337"/>
      <c r="F423" s="337"/>
      <c r="G423" s="337"/>
      <c r="H423" s="337"/>
      <c r="I423" s="337"/>
      <c r="J423" s="337"/>
      <c r="K423" s="337"/>
    </row>
    <row r="424" spans="2:11">
      <c r="B424" s="337"/>
      <c r="C424" s="337"/>
      <c r="D424" s="337"/>
      <c r="E424" s="337"/>
      <c r="F424" s="337"/>
      <c r="G424" s="337"/>
      <c r="H424" s="337"/>
      <c r="I424" s="337"/>
      <c r="J424" s="337"/>
      <c r="K424" s="337"/>
    </row>
    <row r="425" spans="2:11">
      <c r="B425" s="337"/>
      <c r="C425" s="337"/>
      <c r="D425" s="337"/>
      <c r="E425" s="337"/>
      <c r="F425" s="337"/>
      <c r="G425" s="337"/>
      <c r="H425" s="337"/>
      <c r="I425" s="337"/>
      <c r="J425" s="337"/>
      <c r="K425" s="337"/>
    </row>
    <row r="426" spans="2:11">
      <c r="B426" s="337"/>
      <c r="C426" s="337"/>
      <c r="D426" s="337"/>
      <c r="E426" s="337"/>
      <c r="F426" s="337"/>
      <c r="G426" s="337"/>
      <c r="H426" s="337"/>
      <c r="I426" s="337"/>
      <c r="J426" s="337"/>
      <c r="K426" s="337"/>
    </row>
    <row r="427" spans="2:11">
      <c r="B427" s="337"/>
      <c r="C427" s="337"/>
      <c r="D427" s="337"/>
      <c r="E427" s="337"/>
      <c r="F427" s="337"/>
      <c r="G427" s="337"/>
      <c r="H427" s="337"/>
      <c r="I427" s="337"/>
      <c r="J427" s="337"/>
      <c r="K427" s="337"/>
    </row>
    <row r="428" spans="2:11">
      <c r="B428" s="337"/>
      <c r="C428" s="337"/>
      <c r="D428" s="337"/>
      <c r="E428" s="337"/>
      <c r="F428" s="337"/>
      <c r="G428" s="337"/>
      <c r="H428" s="337"/>
      <c r="I428" s="337"/>
      <c r="J428" s="337"/>
      <c r="K428" s="337"/>
    </row>
  </sheetData>
  <sheetProtection algorithmName="SHA-512" hashValue="AQEV+t9ro4qEs1T0zVIZUw4QLIW0J4FxnxigSk1S0yeQx6dc7ybqn8fk7wZ77UW9AbFSnCr3yyhaQ/tBoF35+A==" saltValue="M1VigV4gDE6ebZJZnJidhw==" spinCount="100000" sheet="1" objects="1" scenarios="1"/>
  <mergeCells count="16">
    <mergeCell ref="B64:L64"/>
    <mergeCell ref="B8:L8"/>
    <mergeCell ref="U2:V2"/>
    <mergeCell ref="Q2:R2"/>
    <mergeCell ref="S2:T2"/>
    <mergeCell ref="O2:P2"/>
    <mergeCell ref="C16:D16"/>
    <mergeCell ref="E16:F16"/>
    <mergeCell ref="G16:H16"/>
    <mergeCell ref="I16:J16"/>
    <mergeCell ref="K19:L19"/>
    <mergeCell ref="C19:D19"/>
    <mergeCell ref="E19:F19"/>
    <mergeCell ref="G19:H19"/>
    <mergeCell ref="I19:J19"/>
    <mergeCell ref="K16:L16"/>
  </mergeCells>
  <phoneticPr fontId="0" type="noConversion"/>
  <conditionalFormatting sqref="F39 I24:I29 I33">
    <cfRule type="cellIs" dxfId="1" priority="1" stopIfTrue="1" operator="equal">
      <formula>0</formula>
    </cfRule>
  </conditionalFormatting>
  <pageMargins left="0.75" right="0.375" top="0.25" bottom="0.25" header="0.75" footer="0.25"/>
  <pageSetup scale="99" fitToHeight="0" orientation="portrait" blackAndWhite="1" r:id="rId1"/>
  <headerFooter alignWithMargins="0">
    <oddHeader>&amp;L&amp;6
&amp;Z&amp;F&amp;R&amp;P                                &amp;N</oddHeader>
    <oddFooter>&amp;L&amp;D   &amp;T&amp;C&amp;8Rev.  8.0</oddFooter>
  </headerFooter>
  <ignoredErrors>
    <ignoredError sqref="E17:J20 K17:L20" formula="1"/>
  </ignoredError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1">
    <tabColor indexed="16"/>
  </sheetPr>
  <dimension ref="A2:AT122"/>
  <sheetViews>
    <sheetView showGridLines="0" view="pageBreakPreview" topLeftCell="A10" zoomScaleSheetLayoutView="115" workbookViewId="0">
      <selection activeCell="F24" sqref="F24"/>
    </sheetView>
  </sheetViews>
  <sheetFormatPr defaultColWidth="9.140625" defaultRowHeight="12.75"/>
  <cols>
    <col min="1" max="1" width="24.7109375" style="359" customWidth="1"/>
    <col min="2" max="2" width="7.140625" style="1" customWidth="1"/>
    <col min="3" max="7" width="8.7109375" style="1" customWidth="1"/>
    <col min="8" max="8" width="8.5703125" style="1" customWidth="1"/>
    <col min="9" max="9" width="10.7109375" style="1" customWidth="1"/>
    <col min="10" max="10" width="8.7109375" style="1" customWidth="1"/>
    <col min="11" max="11" width="8.5703125" style="1" customWidth="1"/>
    <col min="12" max="12" width="8.7109375" style="1" customWidth="1"/>
    <col min="13" max="46" width="9.140625" style="344"/>
    <col min="47" max="16384" width="9.140625" style="1"/>
  </cols>
  <sheetData>
    <row r="2" spans="2:24">
      <c r="O2" s="1687"/>
      <c r="P2" s="1687"/>
      <c r="Q2" s="1687"/>
      <c r="R2" s="1687"/>
      <c r="S2" s="1687"/>
      <c r="T2" s="1687"/>
      <c r="U2" s="1687"/>
      <c r="V2" s="1687"/>
    </row>
    <row r="3" spans="2:24">
      <c r="O3" s="386"/>
      <c r="P3" s="386"/>
      <c r="Q3" s="386"/>
      <c r="R3" s="386"/>
      <c r="S3" s="386"/>
      <c r="T3" s="386"/>
      <c r="U3" s="386"/>
      <c r="V3" s="386"/>
    </row>
    <row r="4" spans="2:24">
      <c r="O4" s="386"/>
      <c r="P4" s="386"/>
    </row>
    <row r="5" spans="2:24">
      <c r="O5" s="387"/>
      <c r="P5" s="387"/>
      <c r="Q5" s="388"/>
      <c r="R5" s="388"/>
      <c r="S5" s="388"/>
      <c r="T5" s="388"/>
      <c r="U5" s="388"/>
      <c r="V5" s="388"/>
      <c r="W5" s="388"/>
      <c r="X5" s="388"/>
    </row>
    <row r="6" spans="2:24">
      <c r="O6" s="388"/>
      <c r="P6" s="388"/>
      <c r="Q6" s="389"/>
      <c r="R6" s="388"/>
      <c r="S6" s="388"/>
      <c r="T6" s="388"/>
      <c r="U6" s="388"/>
      <c r="V6" s="388"/>
      <c r="W6" s="388"/>
      <c r="X6" s="388"/>
    </row>
    <row r="7" spans="2:24">
      <c r="O7" s="388"/>
      <c r="P7" s="388"/>
      <c r="Q7" s="389"/>
      <c r="R7" s="388"/>
      <c r="S7" s="388"/>
      <c r="T7" s="388"/>
      <c r="U7" s="388"/>
      <c r="V7" s="388"/>
      <c r="W7" s="388"/>
      <c r="X7" s="388"/>
    </row>
    <row r="8" spans="2:24" ht="19.5" customHeight="1" thickBot="1">
      <c r="B8" s="1598" t="s">
        <v>1129</v>
      </c>
      <c r="C8" s="1598"/>
      <c r="D8" s="1598"/>
      <c r="E8" s="1598"/>
      <c r="F8" s="1598"/>
      <c r="G8" s="1598"/>
      <c r="H8" s="1598"/>
      <c r="I8" s="1598"/>
      <c r="J8" s="1598"/>
      <c r="K8" s="1598"/>
      <c r="L8" s="1598"/>
      <c r="O8" s="388"/>
      <c r="P8" s="388"/>
      <c r="Q8" s="388"/>
      <c r="R8" s="388"/>
      <c r="S8" s="388"/>
      <c r="T8" s="388"/>
      <c r="U8" s="388"/>
      <c r="V8" s="388"/>
      <c r="W8" s="388"/>
      <c r="X8" s="388"/>
    </row>
    <row r="9" spans="2:24" ht="13.5" thickTop="1"/>
    <row r="10" spans="2:24">
      <c r="B10" s="330" t="s">
        <v>1465</v>
      </c>
      <c r="M10" s="1226"/>
    </row>
    <row r="12" spans="2:24">
      <c r="E12" s="228" t="s">
        <v>1130</v>
      </c>
      <c r="F12" s="331">
        <f>4/3</f>
        <v>1.3333333333333333</v>
      </c>
    </row>
    <row r="13" spans="2:24">
      <c r="E13" s="228" t="s">
        <v>1131</v>
      </c>
      <c r="F13" s="332">
        <f>IF(super?="Yes",IF(PGLradius=0,dsgnspeed,MAX(dsgnspeed,SQRT(15*PGLradius*(crossslope+0.15)))),dsgnspeed)</f>
        <v>50</v>
      </c>
      <c r="G13" s="1" t="s">
        <v>723</v>
      </c>
      <c r="H13" s="13" t="str">
        <f>IF(super?="Yes","{v = SQRT [15* Radius x (e + 0.15)]}","")</f>
        <v>{v = SQRT [15* Radius x (e + 0.15)]}</v>
      </c>
      <c r="L13" s="1236" t="s">
        <v>1602</v>
      </c>
      <c r="M13" s="1226"/>
      <c r="N13" s="1307" t="s">
        <v>1466</v>
      </c>
      <c r="P13" s="1226"/>
    </row>
    <row r="14" spans="2:24">
      <c r="E14" s="228" t="s">
        <v>1132</v>
      </c>
      <c r="F14" s="333">
        <f>F13*5280/3600</f>
        <v>73.333333333333329</v>
      </c>
      <c r="G14" s="1" t="s">
        <v>1133</v>
      </c>
      <c r="H14" s="335" t="str">
        <f>"{"&amp;FIXED(F13,0)&amp;" mph x (5280 ft/m) / (3600 s/hr)}"</f>
        <v>{50 mph x (5280 ft/m) / (3600 s/hr)}</v>
      </c>
      <c r="M14" s="1226"/>
    </row>
    <row r="15" spans="2:24">
      <c r="E15" s="228" t="s">
        <v>1134</v>
      </c>
      <c r="F15" s="1">
        <v>32.200000000000003</v>
      </c>
      <c r="G15" s="1" t="s">
        <v>1135</v>
      </c>
    </row>
    <row r="16" spans="2:24">
      <c r="E16" s="228" t="s">
        <v>1136</v>
      </c>
      <c r="F16" s="1">
        <f>IF(PGLradius=0,0,PGLradius+IF(curvedirection="Right",-PGLdist-(DeckWidth/2),PGLdist+(DeckWidth/2)))</f>
        <v>0</v>
      </c>
      <c r="G16" s="1" t="s">
        <v>156</v>
      </c>
      <c r="H16" s="335" t="s">
        <v>1139</v>
      </c>
      <c r="N16" s="1307" t="s">
        <v>1467</v>
      </c>
    </row>
    <row r="17" spans="1:14">
      <c r="E17" s="228" t="s">
        <v>1140</v>
      </c>
      <c r="F17" s="331">
        <f>IF(F16=0,0.0001,F12*F14*F14/F15/F16)</f>
        <v>1E-4</v>
      </c>
      <c r="H17" s="229" t="s">
        <v>1409</v>
      </c>
      <c r="N17" s="1307" t="s">
        <v>1468</v>
      </c>
    </row>
    <row r="19" spans="1:14">
      <c r="E19" s="228"/>
      <c r="F19" s="331"/>
      <c r="H19" s="229"/>
    </row>
    <row r="20" spans="1:14">
      <c r="D20" s="1131" t="str">
        <f>"Curve direction is "&amp;curvedirection&amp;" , therefore CE force is to the "&amp;IF(curvedirection="left","right - Sign is Positive.","left - Sign is Negative.")</f>
        <v>Curve direction is Left , therefore CE force is to the right - Sign is Positive.</v>
      </c>
      <c r="F20" s="331"/>
      <c r="H20" s="229"/>
      <c r="N20" s="1133" t="s">
        <v>829</v>
      </c>
    </row>
    <row r="21" spans="1:14">
      <c r="E21" s="228"/>
      <c r="F21" s="331"/>
      <c r="H21" s="229"/>
    </row>
    <row r="22" spans="1:14" ht="11.25" customHeight="1">
      <c r="E22" s="228"/>
      <c r="F22" s="331"/>
      <c r="H22" s="229"/>
      <c r="K22" s="1685" t="s">
        <v>1327</v>
      </c>
      <c r="L22" s="1686"/>
    </row>
    <row r="23" spans="1:14" ht="11.25" customHeight="1">
      <c r="E23" s="228"/>
      <c r="F23" s="331"/>
      <c r="H23" s="229"/>
      <c r="K23" s="298" t="s">
        <v>412</v>
      </c>
      <c r="L23" s="298" t="s">
        <v>411</v>
      </c>
    </row>
    <row r="24" spans="1:14">
      <c r="A24" s="359">
        <v>1</v>
      </c>
      <c r="E24" s="228" t="s">
        <v>1141</v>
      </c>
      <c r="F24" s="333">
        <f>IF(curvedirection="left",1,-1)*1.2*F17*72</f>
        <v>8.6400000000000001E-3</v>
      </c>
      <c r="G24" s="1" t="s">
        <v>876</v>
      </c>
      <c r="H24" s="335" t="str">
        <f>"{1.20 x "&amp;ROUND(F17,3)&amp;" x 72 kips}"</f>
        <v>{1.20 x 0 x 72 kips}</v>
      </c>
      <c r="K24" s="309">
        <f>F24*COS(RADIANS(ABS(BentSkew)))</f>
        <v>8.6400000000000001E-3</v>
      </c>
      <c r="L24" s="309">
        <f>ABS(F24)*SIN(RADIANS(ABS(BentSkew)))</f>
        <v>0</v>
      </c>
      <c r="N24" s="1133" t="s">
        <v>853</v>
      </c>
    </row>
    <row r="25" spans="1:14">
      <c r="A25" s="359">
        <v>2</v>
      </c>
      <c r="E25" s="228" t="s">
        <v>1142</v>
      </c>
      <c r="F25" s="333">
        <f>IF(curvedirection="left",1,-1)*1*F17*72</f>
        <v>7.2000000000000007E-3</v>
      </c>
      <c r="G25" s="1" t="s">
        <v>876</v>
      </c>
      <c r="H25" s="335" t="str">
        <f>"{1.00 x "&amp;ROUND(F17,3)&amp;" x 72 kips}"</f>
        <v>{1.00 x 0 x 72 kips}</v>
      </c>
      <c r="K25" s="309">
        <f>F25*COS(RADIANS(ABS(BentSkew)))</f>
        <v>7.2000000000000007E-3</v>
      </c>
      <c r="L25" s="309">
        <f>ABS(F25)*SIN(RADIANS(ABS(BentSkew)))</f>
        <v>0</v>
      </c>
      <c r="N25" s="1133" t="s">
        <v>853</v>
      </c>
    </row>
    <row r="26" spans="1:14">
      <c r="A26" s="359">
        <v>3</v>
      </c>
      <c r="E26" s="228" t="s">
        <v>1143</v>
      </c>
      <c r="F26" s="333">
        <f>IF(curvedirection="left",1,-1)*0.85*F17*72</f>
        <v>6.1200000000000004E-3</v>
      </c>
      <c r="G26" s="1" t="s">
        <v>876</v>
      </c>
      <c r="H26" s="335" t="str">
        <f>"{0.85 x "&amp;ROUND(F17,3)&amp;" x 72 kips}"</f>
        <v>{0.85 x 0 x 72 kips}</v>
      </c>
      <c r="K26" s="309">
        <f>F26*COS(RADIANS(ABS(BentSkew)))</f>
        <v>6.1200000000000004E-3</v>
      </c>
      <c r="L26" s="309">
        <f>ABS(F26)*SIN(RADIANS(ABS(BentSkew)))</f>
        <v>0</v>
      </c>
      <c r="N26" s="1133" t="s">
        <v>853</v>
      </c>
    </row>
    <row r="27" spans="1:14">
      <c r="A27" s="359">
        <v>4</v>
      </c>
      <c r="E27" s="228" t="s">
        <v>1144</v>
      </c>
      <c r="F27" s="333">
        <f>IF(curvedirection="left",1,-1)*0.65*F17*72</f>
        <v>4.6800000000000001E-3</v>
      </c>
      <c r="G27" s="1" t="s">
        <v>876</v>
      </c>
      <c r="H27" s="335" t="str">
        <f>"{0.65 x "&amp;ROUND(F17,3)&amp;" x 72 kips}"</f>
        <v>{0.65 x 0 x 72 kips}</v>
      </c>
      <c r="K27" s="309">
        <f>F27*COS(RADIANS(ABS(BentSkew)))</f>
        <v>4.6800000000000001E-3</v>
      </c>
      <c r="L27" s="309">
        <f>ABS(F27)*SIN(RADIANS(ABS(BentSkew)))</f>
        <v>0</v>
      </c>
      <c r="N27" s="1133" t="s">
        <v>853</v>
      </c>
    </row>
    <row r="28" spans="1:14">
      <c r="L28" s="971" t="s">
        <v>1255</v>
      </c>
    </row>
    <row r="30" spans="1:14">
      <c r="B30" s="330" t="s">
        <v>1145</v>
      </c>
    </row>
    <row r="31" spans="1:14">
      <c r="B31" s="330"/>
      <c r="C31" s="1688" t="s">
        <v>1085</v>
      </c>
      <c r="D31" s="1688"/>
      <c r="E31" s="1688"/>
      <c r="F31" s="1688"/>
      <c r="G31" s="1688"/>
      <c r="H31" s="1688"/>
      <c r="I31" s="1688"/>
      <c r="J31" s="1688"/>
      <c r="N31" s="841" t="str">
        <f>IF(BR_Neglect="Consider only the 5% of Truck + lane load in accordance with the TxDOT LRFD BDM","Neglect","Consider")</f>
        <v>Neglect</v>
      </c>
    </row>
    <row r="32" spans="1:14" ht="9" customHeight="1">
      <c r="F32" s="501"/>
      <c r="H32" s="335"/>
    </row>
    <row r="33" spans="1:14">
      <c r="E33" s="228" t="s">
        <v>1146</v>
      </c>
      <c r="F33" s="228" t="str">
        <f>IF(N31="Consider",0.25*72,"N/A")</f>
        <v>N/A</v>
      </c>
      <c r="G33" s="1" t="str">
        <f>IF(N31="Consider","k","")</f>
        <v/>
      </c>
      <c r="H33" s="335" t="str">
        <f>IF(N31="Consider","{0.25 x 72 kips}","{TxDOT BDM LRFD Ch. 2 Sec. 2}")</f>
        <v>{TxDOT BDM LRFD Ch. 2 Sec. 2}</v>
      </c>
      <c r="M33" s="1226"/>
      <c r="N33" s="1303" t="s">
        <v>1473</v>
      </c>
    </row>
    <row r="34" spans="1:14">
      <c r="B34" s="334" t="s">
        <v>1147</v>
      </c>
      <c r="E34" s="228"/>
      <c r="F34" s="228"/>
      <c r="H34" s="229"/>
      <c r="K34" s="1685" t="s">
        <v>1327</v>
      </c>
      <c r="L34" s="1686"/>
    </row>
    <row r="35" spans="1:14">
      <c r="E35" s="1381" t="s">
        <v>1622</v>
      </c>
      <c r="F35" s="333">
        <f>0.05*(MAX('Live Load'!$F$22,'Live Load'!$F$26)+'Live Load'!$F$18)</f>
        <v>6.8773333333333344</v>
      </c>
      <c r="G35" s="1" t="s">
        <v>876</v>
      </c>
      <c r="H35" s="335" t="str">
        <f>"{0.05 x ("&amp;FIXED(MAX('Live Load'!$F$22,'Live Load'!$F$26),2)&amp;" kips + "&amp;FIXED('Live Load'!$F$18,2)&amp;" kips)}"</f>
        <v>{0.05 x (67.15 kips + 70.40 kips)}</v>
      </c>
      <c r="K35" s="298" t="s">
        <v>412</v>
      </c>
      <c r="L35" s="298" t="s">
        <v>411</v>
      </c>
    </row>
    <row r="36" spans="1:14">
      <c r="A36" s="359">
        <v>1</v>
      </c>
      <c r="E36" s="228" t="s">
        <v>1148</v>
      </c>
      <c r="F36" s="333">
        <f>1.2*MAX(F33,F35)</f>
        <v>8.2528000000000006</v>
      </c>
      <c r="G36" s="1" t="s">
        <v>876</v>
      </c>
      <c r="H36" s="335" t="str">
        <f>IF($N$31="Consider","{1.20 x max( "&amp;ROUND($F$33,1)&amp;" kips, "&amp;ROUND($F$35,1)&amp;" kips )}","{1.20 x "&amp;ROUND(MAX($F$33:$F$35),1)&amp;" kips}")</f>
        <v>{1.20 x 6.9 kips}</v>
      </c>
      <c r="K36" s="309">
        <f>F36*SIN(RADIANS(ABS(BentSkew)))*SIGN(K24)</f>
        <v>0</v>
      </c>
      <c r="L36" s="309">
        <f>F36*COS(RADIANS(ABS(BentSkew)))</f>
        <v>8.2528000000000006</v>
      </c>
    </row>
    <row r="37" spans="1:14">
      <c r="A37" s="359">
        <v>2</v>
      </c>
      <c r="E37" s="228" t="s">
        <v>1149</v>
      </c>
      <c r="F37" s="333">
        <f>1*MAX(F33,F35)</f>
        <v>6.8773333333333344</v>
      </c>
      <c r="G37" s="1" t="s">
        <v>876</v>
      </c>
      <c r="H37" s="335" t="str">
        <f>IF($N$31="Consider","{1.00 x max( "&amp;ROUND($F$33,1)&amp;" kips, "&amp;ROUND($F$35,1)&amp;" kips )}","{1.00 x "&amp;ROUND(MAX($F$33:$F$35),1)&amp;" kips}")</f>
        <v>{1.00 x 6.9 kips}</v>
      </c>
      <c r="K37" s="309">
        <f>F37*SIN(RADIANS(ABS(BentSkew)))*SIGN(K25)</f>
        <v>0</v>
      </c>
      <c r="L37" s="309">
        <f>F37*COS(RADIANS(ABS(BentSkew)))</f>
        <v>6.8773333333333344</v>
      </c>
    </row>
    <row r="38" spans="1:14">
      <c r="A38" s="359">
        <v>3</v>
      </c>
      <c r="E38" s="228" t="s">
        <v>1150</v>
      </c>
      <c r="F38" s="333">
        <f>0.85*MAX(F33,F35)</f>
        <v>5.8457333333333343</v>
      </c>
      <c r="G38" s="1" t="s">
        <v>876</v>
      </c>
      <c r="H38" s="335" t="str">
        <f>IF($N$31="Consider","{0.85 x max( "&amp;ROUND($F$33,1)&amp;" kips, "&amp;ROUND($F$35,1)&amp;" kips )}","{0.85 x "&amp;ROUND(MAX($F$33:$F$35),1)&amp;" kips}")</f>
        <v>{0.85 x 6.9 kips}</v>
      </c>
      <c r="K38" s="309">
        <f>F38*SIN(RADIANS(ABS(BentSkew)))*SIGN(K26)</f>
        <v>0</v>
      </c>
      <c r="L38" s="309">
        <f>F38*COS(RADIANS(ABS(BentSkew)))</f>
        <v>5.8457333333333343</v>
      </c>
    </row>
    <row r="39" spans="1:14">
      <c r="A39" s="359">
        <v>4</v>
      </c>
      <c r="E39" s="228" t="s">
        <v>1151</v>
      </c>
      <c r="F39" s="333">
        <f>0.65*MAX(F33,F35)</f>
        <v>4.4702666666666673</v>
      </c>
      <c r="G39" s="1" t="s">
        <v>876</v>
      </c>
      <c r="H39" s="335" t="str">
        <f>IF($N$31="Consider","{0.65 x max( "&amp;ROUND($F$33,1)&amp;" kips, "&amp;ROUND($F$35,1)&amp;" kips )}","{0.65 x "&amp;ROUND(MAX($F$33:$F$35),1)&amp;" kips}")</f>
        <v>{0.65 x 6.9 kips}</v>
      </c>
      <c r="K39" s="309">
        <f>F39*SIN(RADIANS(ABS(BentSkew)))*SIGN(K27)</f>
        <v>0</v>
      </c>
      <c r="L39" s="309">
        <f>F39*COS(RADIANS(ABS(BentSkew)))</f>
        <v>4.4702666666666673</v>
      </c>
    </row>
    <row r="40" spans="1:14">
      <c r="B40" s="334" t="s">
        <v>1152</v>
      </c>
      <c r="H40" s="14"/>
    </row>
    <row r="41" spans="1:14">
      <c r="E41" s="1381" t="s">
        <v>1622</v>
      </c>
      <c r="F41" s="333">
        <f>0.05*(MAX('Live Load'!$F$15+MAX('Live Load'!$F$20,'Live Load'!$F$24),'Live Load'!$F$17+MAX('Live Load'!$F$21,'Live Load'!$F$25)))</f>
        <v>5.2400000000000011</v>
      </c>
      <c r="G41" s="1" t="s">
        <v>876</v>
      </c>
      <c r="H41" s="335" t="str">
        <f>"{0.05 x ("&amp;IF('Live Load'!$F$15+MAX('Live Load'!$F$20,'Live Load'!$F$24)=MAX('Live Load'!$F$15+MAX('Live Load'!$F$20,'Live Load'!$F$24),'Live Load'!$F$17+MAX('Live Load'!$F$21,'Live Load'!$F$25)),FIXED('Live Load'!$F$15,2)&amp;" kips + "&amp;FIXED(MAX('Live Load'!$F$20,'Live Load'!$F$24),2),FIXED('Live Load'!$F$17,2)&amp;" kips + "&amp;FIXED(MAX('Live Load'!$F$21,'Live Load'!$F$25),2)&amp;" kips)}")</f>
        <v>{0.05 x (38.40 kips + 66.40 kips)}</v>
      </c>
      <c r="K41" s="298" t="s">
        <v>412</v>
      </c>
      <c r="L41" s="298" t="s">
        <v>411</v>
      </c>
    </row>
    <row r="42" spans="1:14">
      <c r="A42" s="359">
        <v>1</v>
      </c>
      <c r="E42" s="228" t="s">
        <v>1148</v>
      </c>
      <c r="F42" s="333">
        <f>1.2*MAX(F41,F33)</f>
        <v>6.2880000000000011</v>
      </c>
      <c r="G42" s="1" t="s">
        <v>876</v>
      </c>
      <c r="H42" s="335" t="str">
        <f>IF($N$31="Consider","{1.20 x max( "&amp;ROUND($F$33,1)&amp;" kips, "&amp;ROUND($F$41,1)&amp;" kips )}","{1.20 x "&amp;ROUND(MAX($F$41,$F$33),1)&amp;" kips}")</f>
        <v>{1.20 x 5.2 kips}</v>
      </c>
      <c r="K42" s="309">
        <f>F42*SIN(RADIANS(ABS(BentSkew)))*SIGN(K24)</f>
        <v>0</v>
      </c>
      <c r="L42" s="309">
        <f>F42*COS(RADIANS(ABS(BentSkew)))</f>
        <v>6.2880000000000011</v>
      </c>
    </row>
    <row r="43" spans="1:14">
      <c r="A43" s="359">
        <v>2</v>
      </c>
      <c r="E43" s="228" t="s">
        <v>1149</v>
      </c>
      <c r="F43" s="333">
        <f>1*MAX(F41,F33)</f>
        <v>5.2400000000000011</v>
      </c>
      <c r="G43" s="1" t="s">
        <v>876</v>
      </c>
      <c r="H43" s="335" t="str">
        <f>IF($N$31="Consider","{1.00 x max( "&amp;ROUND($F$33,1)&amp;" kips, "&amp;ROUND($F$41,1)&amp;" kips )}","{1.00 x "&amp;ROUND(MAX($F$41,$F$33),1)&amp;" kips}")</f>
        <v>{1.00 x 5.2 kips}</v>
      </c>
      <c r="K43" s="309">
        <f>F43*SIN(RADIANS(ABS(BentSkew)))*SIGN(K25)</f>
        <v>0</v>
      </c>
      <c r="L43" s="309">
        <f>F43*COS(RADIANS(ABS(BentSkew)))</f>
        <v>5.2400000000000011</v>
      </c>
    </row>
    <row r="44" spans="1:14">
      <c r="A44" s="359">
        <v>3</v>
      </c>
      <c r="E44" s="228" t="s">
        <v>1150</v>
      </c>
      <c r="F44" s="333">
        <f>0.85*MAX(F41,F33)</f>
        <v>4.4540000000000006</v>
      </c>
      <c r="G44" s="1" t="s">
        <v>876</v>
      </c>
      <c r="H44" s="335" t="str">
        <f>IF($N$31="Consider","{0.85 x max( "&amp;ROUND($F$33,1)&amp;" kips, "&amp;ROUND($F$41,1)&amp;" kips )}","{0.85 x "&amp;ROUND(MAX($F$41,$F$33),1)&amp;" kips}")</f>
        <v>{0.85 x 5.2 kips}</v>
      </c>
      <c r="K44" s="309">
        <f>F44*SIN(RADIANS(ABS(BentSkew)))*SIGN(K26)</f>
        <v>0</v>
      </c>
      <c r="L44" s="309">
        <f>F44*COS(RADIANS(ABS(BentSkew)))</f>
        <v>4.4540000000000006</v>
      </c>
    </row>
    <row r="45" spans="1:14">
      <c r="A45" s="359">
        <v>4</v>
      </c>
      <c r="E45" s="228" t="s">
        <v>1151</v>
      </c>
      <c r="F45" s="333">
        <f>0.65*MAX(F41,F33)</f>
        <v>3.406000000000001</v>
      </c>
      <c r="G45" s="1" t="s">
        <v>876</v>
      </c>
      <c r="H45" s="335" t="str">
        <f>IF($N$31="Consider","{0.65 x max( "&amp;ROUND($F$33,1)&amp;" kips, "&amp;ROUND($F$41,1)&amp;" kips )}","{0.65 x "&amp;ROUND(MAX($F$41,$F$33),1)&amp;" kips}")</f>
        <v>{0.65 x 5.2 kips}</v>
      </c>
      <c r="K45" s="309">
        <f>F45*SIN(RADIANS(ABS(BentSkew)))*SIGN(K27)</f>
        <v>0</v>
      </c>
      <c r="L45" s="309">
        <f>F45*COS(RADIANS(ABS(BentSkew)))</f>
        <v>3.406000000000001</v>
      </c>
    </row>
    <row r="46" spans="1:14">
      <c r="L46" s="971" t="s">
        <v>1255</v>
      </c>
    </row>
    <row r="48" spans="1:14">
      <c r="B48" s="330" t="s">
        <v>1344</v>
      </c>
    </row>
    <row r="50" spans="1:14">
      <c r="D50" s="1173"/>
      <c r="E50" s="1171" t="s">
        <v>1346</v>
      </c>
      <c r="F50" s="1171" t="s">
        <v>1346</v>
      </c>
      <c r="G50" s="1171" t="s">
        <v>1346</v>
      </c>
    </row>
    <row r="51" spans="1:14">
      <c r="D51" s="1174" t="s">
        <v>301</v>
      </c>
      <c r="E51" s="1171" t="s">
        <v>1345</v>
      </c>
      <c r="F51" s="1171" t="s">
        <v>1347</v>
      </c>
      <c r="G51" s="1171" t="s">
        <v>1348</v>
      </c>
    </row>
    <row r="52" spans="1:14">
      <c r="D52" s="1175"/>
      <c r="E52" s="1172" t="s">
        <v>1349</v>
      </c>
      <c r="F52" s="1172" t="s">
        <v>1349</v>
      </c>
      <c r="G52" s="1172" t="s">
        <v>1349</v>
      </c>
    </row>
    <row r="53" spans="1:14">
      <c r="D53" s="1176">
        <v>1</v>
      </c>
      <c r="E53" s="1170">
        <f>IF(D53="","",F24*D53)</f>
        <v>8.6400000000000001E-3</v>
      </c>
      <c r="F53" s="1170">
        <f>IF(D53="","",+D53*F36)</f>
        <v>8.2528000000000006</v>
      </c>
      <c r="G53" s="1170">
        <f>IF(D53="","",D53*F42)</f>
        <v>6.2880000000000011</v>
      </c>
      <c r="N53" s="1226"/>
    </row>
    <row r="54" spans="1:14">
      <c r="D54" s="1176">
        <f>IF(NumLanes&gt;'CE &amp; BR'!D53,'CE &amp; BR'!D53+1,"")</f>
        <v>2</v>
      </c>
      <c r="E54" s="1170">
        <f>IF(D54="","",F25*D54)</f>
        <v>1.4400000000000001E-2</v>
      </c>
      <c r="F54" s="1170">
        <f>IF(D54="","",+D54*F37)</f>
        <v>13.754666666666669</v>
      </c>
      <c r="G54" s="1170">
        <f>IF(D54="","",D54*F43)</f>
        <v>10.480000000000002</v>
      </c>
    </row>
    <row r="55" spans="1:14">
      <c r="D55" s="1176">
        <f>IF(NumLanes&gt;'CE &amp; BR'!D54,'CE &amp; BR'!D54+1,"")</f>
        <v>3</v>
      </c>
      <c r="E55" s="1170">
        <f>IF(D55="","",F26*D55)</f>
        <v>1.8360000000000001E-2</v>
      </c>
      <c r="F55" s="1170">
        <f>IF(D55="","",+D55*F38)</f>
        <v>17.537200000000002</v>
      </c>
      <c r="G55" s="1170">
        <f>IF(D55="","",D55*F44)</f>
        <v>13.362000000000002</v>
      </c>
    </row>
    <row r="56" spans="1:14">
      <c r="D56" s="1176">
        <f>IF(NumLanes&gt;'CE &amp; BR'!D55,'CE &amp; BR'!D55+1,"")</f>
        <v>4</v>
      </c>
      <c r="E56" s="1170">
        <f>IF(D56="","",F27*D56)</f>
        <v>1.8720000000000001E-2</v>
      </c>
      <c r="F56" s="1170">
        <f>IF(D56="","",+D56*F39)</f>
        <v>17.881066666666669</v>
      </c>
      <c r="G56" s="1170">
        <f>IF(D56="","",D56*F45)</f>
        <v>13.624000000000004</v>
      </c>
    </row>
    <row r="57" spans="1:14">
      <c r="D57" s="1176" t="str">
        <f>IF(NumLanes&gt;'CE &amp; BR'!D56,'CE &amp; BR'!D56+1,"")</f>
        <v/>
      </c>
      <c r="E57" s="1170" t="str">
        <f>IF(D57="","",F27*D57)</f>
        <v/>
      </c>
      <c r="F57" s="1170" t="str">
        <f>IF(D57="","",+D57*F39)</f>
        <v/>
      </c>
      <c r="G57" s="1170" t="str">
        <f>IF(D57="","",D57*F45)</f>
        <v/>
      </c>
    </row>
    <row r="58" spans="1:14">
      <c r="B58" s="383"/>
      <c r="D58" s="1169"/>
    </row>
    <row r="59" spans="1:14">
      <c r="D59" s="1169"/>
    </row>
    <row r="64" spans="1:14" s="344" customFormat="1">
      <c r="A64" s="359"/>
    </row>
    <row r="65" spans="1:1" s="344" customFormat="1">
      <c r="A65" s="359"/>
    </row>
    <row r="66" spans="1:1" s="344" customFormat="1">
      <c r="A66" s="359"/>
    </row>
    <row r="67" spans="1:1" s="344" customFormat="1">
      <c r="A67" s="359"/>
    </row>
    <row r="68" spans="1:1" s="344" customFormat="1">
      <c r="A68" s="359"/>
    </row>
    <row r="69" spans="1:1" s="344" customFormat="1">
      <c r="A69" s="359"/>
    </row>
    <row r="70" spans="1:1" s="344" customFormat="1">
      <c r="A70" s="359"/>
    </row>
    <row r="71" spans="1:1" s="344" customFormat="1">
      <c r="A71" s="359"/>
    </row>
    <row r="72" spans="1:1" s="344" customFormat="1">
      <c r="A72" s="359"/>
    </row>
    <row r="73" spans="1:1" s="344" customFormat="1">
      <c r="A73" s="359"/>
    </row>
    <row r="74" spans="1:1" s="344" customFormat="1">
      <c r="A74" s="359"/>
    </row>
    <row r="75" spans="1:1" s="344" customFormat="1">
      <c r="A75" s="359"/>
    </row>
    <row r="76" spans="1:1" s="344" customFormat="1">
      <c r="A76" s="359"/>
    </row>
    <row r="77" spans="1:1" s="344" customFormat="1">
      <c r="A77" s="359"/>
    </row>
    <row r="78" spans="1:1" s="344" customFormat="1">
      <c r="A78" s="359"/>
    </row>
    <row r="79" spans="1:1" s="344" customFormat="1">
      <c r="A79" s="359"/>
    </row>
    <row r="80" spans="1:1" s="344" customFormat="1">
      <c r="A80" s="359"/>
    </row>
    <row r="81" spans="1:1" s="344" customFormat="1">
      <c r="A81" s="359"/>
    </row>
    <row r="82" spans="1:1" s="344" customFormat="1">
      <c r="A82" s="359"/>
    </row>
    <row r="83" spans="1:1" s="344" customFormat="1">
      <c r="A83" s="359"/>
    </row>
    <row r="84" spans="1:1" s="344" customFormat="1">
      <c r="A84" s="359"/>
    </row>
    <row r="85" spans="1:1" s="344" customFormat="1">
      <c r="A85" s="359"/>
    </row>
    <row r="86" spans="1:1" s="344" customFormat="1">
      <c r="A86" s="359"/>
    </row>
    <row r="87" spans="1:1" s="344" customFormat="1">
      <c r="A87" s="359"/>
    </row>
    <row r="88" spans="1:1" s="344" customFormat="1">
      <c r="A88" s="359"/>
    </row>
    <row r="89" spans="1:1" s="344" customFormat="1">
      <c r="A89" s="359"/>
    </row>
    <row r="90" spans="1:1" s="344" customFormat="1">
      <c r="A90" s="359"/>
    </row>
    <row r="91" spans="1:1" s="344" customFormat="1">
      <c r="A91" s="359"/>
    </row>
    <row r="92" spans="1:1" s="344" customFormat="1">
      <c r="A92" s="359"/>
    </row>
    <row r="93" spans="1:1" s="344" customFormat="1">
      <c r="A93" s="359"/>
    </row>
    <row r="94" spans="1:1" s="344" customFormat="1">
      <c r="A94" s="359"/>
    </row>
    <row r="95" spans="1:1" s="344" customFormat="1">
      <c r="A95" s="359"/>
    </row>
    <row r="96" spans="1:1" s="344" customFormat="1">
      <c r="A96" s="359"/>
    </row>
    <row r="97" spans="1:1" s="344" customFormat="1">
      <c r="A97" s="359"/>
    </row>
    <row r="98" spans="1:1" s="344" customFormat="1">
      <c r="A98" s="359"/>
    </row>
    <row r="99" spans="1:1" s="344" customFormat="1">
      <c r="A99" s="359"/>
    </row>
    <row r="100" spans="1:1" s="344" customFormat="1">
      <c r="A100" s="359"/>
    </row>
    <row r="101" spans="1:1" s="344" customFormat="1">
      <c r="A101" s="359"/>
    </row>
    <row r="102" spans="1:1" s="344" customFormat="1">
      <c r="A102" s="359"/>
    </row>
    <row r="103" spans="1:1" s="344" customFormat="1">
      <c r="A103" s="359"/>
    </row>
    <row r="104" spans="1:1" s="344" customFormat="1">
      <c r="A104" s="359"/>
    </row>
    <row r="105" spans="1:1" s="344" customFormat="1">
      <c r="A105" s="359"/>
    </row>
    <row r="106" spans="1:1" s="344" customFormat="1">
      <c r="A106" s="359"/>
    </row>
    <row r="107" spans="1:1" s="344" customFormat="1">
      <c r="A107" s="359"/>
    </row>
    <row r="108" spans="1:1" s="344" customFormat="1">
      <c r="A108" s="359"/>
    </row>
    <row r="109" spans="1:1" s="344" customFormat="1">
      <c r="A109" s="359"/>
    </row>
    <row r="110" spans="1:1" s="344" customFormat="1">
      <c r="A110" s="359"/>
    </row>
    <row r="111" spans="1:1" s="344" customFormat="1">
      <c r="A111" s="359"/>
    </row>
    <row r="112" spans="1:1" s="344" customFormat="1">
      <c r="A112" s="359"/>
    </row>
    <row r="113" spans="1:1" s="344" customFormat="1">
      <c r="A113" s="359"/>
    </row>
    <row r="114" spans="1:1" s="344" customFormat="1">
      <c r="A114" s="359"/>
    </row>
    <row r="115" spans="1:1" s="344" customFormat="1">
      <c r="A115" s="359"/>
    </row>
    <row r="116" spans="1:1" s="344" customFormat="1">
      <c r="A116" s="359"/>
    </row>
    <row r="117" spans="1:1" s="344" customFormat="1">
      <c r="A117" s="359"/>
    </row>
    <row r="118" spans="1:1" s="344" customFormat="1">
      <c r="A118" s="359"/>
    </row>
    <row r="119" spans="1:1" s="344" customFormat="1">
      <c r="A119" s="359"/>
    </row>
    <row r="120" spans="1:1" s="344" customFormat="1">
      <c r="A120" s="359"/>
    </row>
    <row r="121" spans="1:1" s="344" customFormat="1">
      <c r="A121" s="359"/>
    </row>
    <row r="122" spans="1:1" s="344" customFormat="1">
      <c r="A122" s="359"/>
    </row>
  </sheetData>
  <sheetProtection algorithmName="SHA-512" hashValue="8F9qYgolg955rLezDA7yjmobLLJlvuG2ls/Uwet/tODfWtPRRgpKvDjQ5aOyRg0Ukbqu88ynySjTTjSZwZMRHA==" saltValue="aSxK1xAk1KJscV4DbwaXoQ==" spinCount="100000" sheet="1" objects="1" scenarios="1"/>
  <mergeCells count="8">
    <mergeCell ref="K22:L22"/>
    <mergeCell ref="K34:L34"/>
    <mergeCell ref="B8:L8"/>
    <mergeCell ref="U2:V2"/>
    <mergeCell ref="Q2:R2"/>
    <mergeCell ref="S2:T2"/>
    <mergeCell ref="O2:P2"/>
    <mergeCell ref="C31:J31"/>
  </mergeCells>
  <phoneticPr fontId="0" type="noConversion"/>
  <dataValidations disablePrompts="1" count="1">
    <dataValidation type="list" allowBlank="1" showErrorMessage="1" sqref="C31:J31" xr:uid="{00000000-0002-0000-1600-000000000000}">
      <formula1>"Consider only the 5% of Truck + lane load in accordance with the TxDOT LRFD BDM, Consider 5% of Truck+Lane as well as 25% of axle wt."</formula1>
    </dataValidation>
  </dataValidations>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1">
    <tabColor indexed="16"/>
  </sheetPr>
  <dimension ref="A1:AI217"/>
  <sheetViews>
    <sheetView showGridLines="0" view="pageBreakPreview" topLeftCell="A86" zoomScaleSheetLayoutView="130" workbookViewId="0">
      <selection activeCell="A117" sqref="A117:XFD137"/>
    </sheetView>
  </sheetViews>
  <sheetFormatPr defaultRowHeight="12.75"/>
  <cols>
    <col min="1" max="1" width="24.7109375" style="358" customWidth="1"/>
    <col min="2" max="2" width="8.28515625" customWidth="1"/>
    <col min="3" max="3" width="8.7109375" customWidth="1"/>
    <col min="4" max="4" width="10" customWidth="1"/>
    <col min="5" max="9" width="8.7109375" customWidth="1"/>
    <col min="10" max="10" width="8" customWidth="1"/>
    <col min="11" max="11" width="8.28515625" customWidth="1"/>
    <col min="12" max="12" width="9.140625" customWidth="1"/>
    <col min="13" max="14" width="9.140625" style="337"/>
    <col min="15" max="15" width="16" style="337" customWidth="1"/>
    <col min="16" max="16" width="12.7109375" style="337" customWidth="1"/>
    <col min="17" max="17" width="15.7109375" style="337" customWidth="1"/>
    <col min="18" max="35" width="9.140625" style="337"/>
  </cols>
  <sheetData>
    <row r="1" spans="2:27" ht="13.15" customHeight="1"/>
    <row r="2" spans="2:27" ht="13.15" customHeight="1"/>
    <row r="3" spans="2:27" ht="13.15" customHeight="1"/>
    <row r="4" spans="2:27" ht="13.15" customHeight="1"/>
    <row r="5" spans="2:27" ht="13.15" customHeight="1"/>
    <row r="6" spans="2:27" ht="13.15" customHeight="1"/>
    <row r="7" spans="2:27" ht="13.15" customHeight="1"/>
    <row r="8" spans="2:27" ht="19.5" customHeight="1" thickBot="1">
      <c r="B8" s="1618" t="s">
        <v>1154</v>
      </c>
      <c r="C8" s="1618"/>
      <c r="D8" s="1618"/>
      <c r="E8" s="1618"/>
      <c r="F8" s="1618"/>
      <c r="G8" s="1618"/>
      <c r="H8" s="1618"/>
      <c r="I8" s="1618"/>
      <c r="J8" s="1618"/>
      <c r="K8" s="1618"/>
      <c r="L8" s="1618"/>
    </row>
    <row r="9" spans="2:27" ht="5.25" customHeight="1" thickTop="1">
      <c r="B9" s="25"/>
      <c r="C9" s="71"/>
      <c r="D9" s="61"/>
      <c r="E9" s="61"/>
      <c r="F9" s="61"/>
      <c r="G9" s="61"/>
      <c r="H9" s="61"/>
      <c r="I9" s="61"/>
      <c r="J9" s="61"/>
    </row>
    <row r="10" spans="2:27" ht="13.5" thickBot="1">
      <c r="B10" s="1644" t="s">
        <v>1485</v>
      </c>
      <c r="C10" s="1644"/>
      <c r="D10" s="1644"/>
      <c r="E10" s="1644"/>
      <c r="F10" s="1644"/>
      <c r="G10" s="1644"/>
      <c r="H10" s="1644"/>
      <c r="I10" s="1644"/>
      <c r="J10" s="1644"/>
      <c r="K10" s="1644"/>
      <c r="L10" s="1644"/>
      <c r="N10" s="1303" t="s">
        <v>1477</v>
      </c>
      <c r="O10" s="338"/>
      <c r="P10" s="338"/>
      <c r="Q10" s="338"/>
      <c r="R10" s="338"/>
      <c r="S10" s="338"/>
      <c r="T10" s="338"/>
      <c r="U10" s="338"/>
      <c r="V10" s="338"/>
      <c r="W10" s="338"/>
      <c r="X10" s="338"/>
      <c r="Y10" s="338"/>
      <c r="Z10" s="338"/>
      <c r="AA10" s="338"/>
    </row>
    <row r="11" spans="2:27" ht="6.75" customHeight="1">
      <c r="B11" s="1262"/>
      <c r="C11" s="1262"/>
      <c r="D11" s="71"/>
      <c r="E11" s="1262"/>
      <c r="F11" s="1262"/>
      <c r="G11" s="1262"/>
      <c r="H11" s="1262"/>
      <c r="I11" s="302"/>
      <c r="J11" s="1262"/>
      <c r="N11" s="338"/>
      <c r="O11" s="338"/>
      <c r="P11" s="338"/>
      <c r="Q11" s="338"/>
      <c r="R11" s="338"/>
      <c r="S11" s="338"/>
      <c r="T11" s="338"/>
      <c r="U11" s="338"/>
      <c r="V11" s="338"/>
      <c r="W11" s="338"/>
      <c r="X11" s="338"/>
      <c r="Y11" s="338"/>
      <c r="Z11" s="338"/>
      <c r="AA11" s="338"/>
    </row>
    <row r="12" spans="2:27" ht="12.75" customHeight="1">
      <c r="B12" s="1262"/>
      <c r="C12" s="71"/>
      <c r="D12" s="1262"/>
      <c r="E12" s="1263" t="s">
        <v>1484</v>
      </c>
      <c r="F12" s="78">
        <v>120</v>
      </c>
      <c r="G12" s="1262" t="s">
        <v>723</v>
      </c>
      <c r="H12" s="302" t="s">
        <v>1492</v>
      </c>
      <c r="I12" s="1262"/>
      <c r="N12" s="338"/>
      <c r="O12" s="338"/>
      <c r="P12" s="338"/>
      <c r="Q12" s="338"/>
      <c r="R12" s="338"/>
      <c r="S12" s="338"/>
      <c r="T12" s="338"/>
      <c r="U12" s="338"/>
      <c r="V12" s="338"/>
      <c r="W12" s="338"/>
      <c r="X12" s="338"/>
      <c r="Y12" s="338"/>
      <c r="Z12" s="338"/>
      <c r="AA12" s="338"/>
    </row>
    <row r="13" spans="2:27" ht="12.75" customHeight="1">
      <c r="B13" s="1262"/>
      <c r="C13" s="302"/>
      <c r="E13" s="16" t="s">
        <v>1527</v>
      </c>
      <c r="F13" s="1328">
        <v>40</v>
      </c>
      <c r="G13" t="s">
        <v>156</v>
      </c>
      <c r="H13" s="1329" t="s">
        <v>1528</v>
      </c>
      <c r="I13" s="1329"/>
      <c r="J13" s="1329"/>
      <c r="N13" s="338"/>
      <c r="O13" s="338"/>
      <c r="P13" s="338"/>
      <c r="Q13" s="338"/>
      <c r="R13" s="338"/>
      <c r="S13" s="338"/>
      <c r="T13" s="338"/>
      <c r="U13" s="338"/>
      <c r="V13" s="338"/>
      <c r="W13" s="338"/>
      <c r="X13" s="338"/>
      <c r="Y13" s="338"/>
      <c r="Z13" s="338"/>
      <c r="AA13" s="338"/>
    </row>
    <row r="14" spans="2:27" ht="15" customHeight="1">
      <c r="B14" s="1262"/>
      <c r="C14" s="44" t="s">
        <v>1430</v>
      </c>
      <c r="N14" s="338"/>
      <c r="O14" s="338"/>
      <c r="P14" s="1277">
        <v>115</v>
      </c>
      <c r="Q14" s="338"/>
      <c r="R14" s="338"/>
      <c r="S14" s="338"/>
      <c r="T14" s="338"/>
      <c r="U14" s="338"/>
      <c r="V14" s="338"/>
      <c r="W14" s="338"/>
      <c r="X14" s="338"/>
      <c r="Y14" s="338"/>
      <c r="Z14" s="338"/>
      <c r="AA14" s="338"/>
    </row>
    <row r="15" spans="2:27" ht="15" customHeight="1">
      <c r="B15" s="1262"/>
      <c r="C15" s="176" t="s">
        <v>1431</v>
      </c>
      <c r="N15" s="345"/>
      <c r="O15" s="302"/>
      <c r="P15" s="1263">
        <v>120</v>
      </c>
      <c r="Q15" s="18"/>
      <c r="R15" s="338"/>
      <c r="S15" s="338"/>
      <c r="T15" s="338"/>
      <c r="U15" s="338"/>
      <c r="V15" s="338"/>
      <c r="W15" s="338"/>
      <c r="X15" s="338"/>
      <c r="Y15" s="338"/>
      <c r="Z15" s="338"/>
      <c r="AA15" s="338"/>
    </row>
    <row r="16" spans="2:27" ht="15" customHeight="1">
      <c r="B16" s="1262"/>
      <c r="C16" s="1711" t="s">
        <v>1432</v>
      </c>
      <c r="D16" s="1712"/>
      <c r="E16" s="1711" t="s">
        <v>1487</v>
      </c>
      <c r="F16" s="1712"/>
      <c r="J16" s="302"/>
      <c r="K16" s="302"/>
      <c r="L16" s="302"/>
      <c r="N16" s="338"/>
      <c r="O16" s="617"/>
      <c r="P16" s="1263">
        <v>130</v>
      </c>
      <c r="Q16" s="18"/>
      <c r="R16" s="338"/>
      <c r="S16" s="61"/>
      <c r="T16" s="338"/>
      <c r="U16" s="338"/>
      <c r="V16" s="338"/>
      <c r="W16" s="338"/>
      <c r="X16" s="338"/>
      <c r="Y16" s="338"/>
      <c r="Z16" s="338"/>
      <c r="AA16" s="338"/>
    </row>
    <row r="17" spans="2:35" ht="15" customHeight="1">
      <c r="B17" s="1262"/>
      <c r="C17" s="1713"/>
      <c r="D17" s="1714"/>
      <c r="E17" s="1713"/>
      <c r="F17" s="1714"/>
      <c r="J17" s="1262"/>
      <c r="N17" s="338"/>
      <c r="O17" s="1719"/>
      <c r="P17" s="1316">
        <v>140</v>
      </c>
      <c r="Q17" s="338"/>
      <c r="R17" s="18"/>
      <c r="S17" s="338"/>
      <c r="T17" s="338"/>
      <c r="U17" s="338"/>
      <c r="V17" s="338"/>
      <c r="W17" s="338"/>
      <c r="X17" s="338"/>
      <c r="Y17" s="338"/>
      <c r="Z17" s="338"/>
      <c r="AA17" s="338"/>
      <c r="AG17"/>
      <c r="AH17"/>
      <c r="AI17"/>
    </row>
    <row r="18" spans="2:35" ht="15.95" customHeight="1">
      <c r="B18" s="1262"/>
      <c r="C18" s="1698" t="s">
        <v>1433</v>
      </c>
      <c r="D18" s="1699"/>
      <c r="E18" s="1704">
        <f>F12</f>
        <v>120</v>
      </c>
      <c r="F18" s="1705"/>
      <c r="J18" s="1262"/>
      <c r="N18" s="338"/>
      <c r="O18" s="1719"/>
      <c r="P18" s="1263">
        <v>150</v>
      </c>
      <c r="Q18" s="338"/>
      <c r="R18" s="18"/>
      <c r="S18" s="338"/>
      <c r="T18" s="338"/>
      <c r="U18" s="338"/>
      <c r="V18" s="338"/>
      <c r="W18" s="338"/>
      <c r="X18" s="338"/>
      <c r="Y18" s="338"/>
      <c r="Z18" s="338"/>
      <c r="AA18" s="338"/>
      <c r="AG18"/>
      <c r="AH18"/>
      <c r="AI18"/>
    </row>
    <row r="19" spans="2:35" ht="15.95" customHeight="1">
      <c r="B19" s="1262"/>
      <c r="C19" s="1698" t="s">
        <v>1434</v>
      </c>
      <c r="D19" s="1699"/>
      <c r="E19" s="1704">
        <v>80</v>
      </c>
      <c r="F19" s="1705"/>
      <c r="J19" s="1262"/>
      <c r="N19" s="338"/>
      <c r="O19" s="1268"/>
      <c r="Q19" s="338"/>
      <c r="R19" s="338"/>
      <c r="S19" s="338"/>
      <c r="T19" s="338"/>
      <c r="U19" s="338"/>
      <c r="V19" s="338"/>
      <c r="W19" s="338"/>
      <c r="X19" s="338"/>
      <c r="Y19" s="338"/>
      <c r="Z19" s="338"/>
      <c r="AA19" s="338"/>
      <c r="AG19"/>
      <c r="AH19"/>
      <c r="AI19"/>
    </row>
    <row r="20" spans="2:35" ht="15.95" customHeight="1">
      <c r="B20" s="1262"/>
      <c r="C20" s="1698" t="s">
        <v>1488</v>
      </c>
      <c r="D20" s="1699"/>
      <c r="E20" s="1706">
        <v>70</v>
      </c>
      <c r="F20" s="1707"/>
      <c r="J20" s="1262"/>
      <c r="N20" s="338"/>
      <c r="O20" s="1268"/>
      <c r="P20" s="1268"/>
      <c r="Q20" s="338"/>
      <c r="R20" s="338"/>
      <c r="S20" s="338"/>
      <c r="T20" s="338"/>
      <c r="U20" s="338"/>
      <c r="V20" s="338"/>
      <c r="W20" s="338"/>
      <c r="X20" s="338"/>
      <c r="Y20" s="338"/>
      <c r="Z20" s="338"/>
      <c r="AA20" s="338"/>
    </row>
    <row r="21" spans="2:35" ht="15.95" customHeight="1">
      <c r="B21" s="1262"/>
      <c r="C21" s="1698" t="s">
        <v>1436</v>
      </c>
      <c r="D21" s="1699"/>
      <c r="E21" s="1706">
        <f>0.75*E18</f>
        <v>90</v>
      </c>
      <c r="F21" s="1707"/>
      <c r="J21" s="1262"/>
      <c r="N21" s="338"/>
      <c r="O21" s="1268"/>
      <c r="P21" s="1261"/>
      <c r="Q21" s="338"/>
      <c r="R21" s="338"/>
      <c r="S21" s="338"/>
      <c r="T21" s="338"/>
      <c r="U21" s="338"/>
      <c r="V21" s="338"/>
      <c r="W21" s="338"/>
      <c r="X21" s="338"/>
      <c r="Y21" s="338"/>
      <c r="Z21" s="338"/>
      <c r="AA21" s="338"/>
    </row>
    <row r="22" spans="2:35" ht="21" customHeight="1">
      <c r="B22" s="1262"/>
      <c r="D22" s="1186"/>
      <c r="J22" s="1262"/>
      <c r="N22" s="338"/>
      <c r="O22" s="1268"/>
      <c r="P22" s="1261"/>
      <c r="Q22" s="338"/>
      <c r="R22" s="338"/>
      <c r="S22" s="338"/>
      <c r="T22" s="338"/>
      <c r="U22" s="338"/>
      <c r="V22" s="338"/>
      <c r="W22" s="338"/>
      <c r="X22" s="338"/>
      <c r="Y22" s="338"/>
      <c r="Z22" s="338"/>
      <c r="AA22" s="338"/>
    </row>
    <row r="23" spans="2:35" ht="15.95" customHeight="1">
      <c r="B23" s="1262"/>
      <c r="D23" s="1186"/>
      <c r="I23" s="1111" t="s">
        <v>1486</v>
      </c>
      <c r="J23" s="1262"/>
      <c r="N23" s="338"/>
      <c r="O23" s="1306"/>
      <c r="P23" s="1261"/>
      <c r="Q23" s="338"/>
      <c r="R23" s="338"/>
      <c r="S23" s="338"/>
      <c r="T23" s="338"/>
      <c r="U23" s="338"/>
      <c r="V23" s="338"/>
      <c r="W23" s="338"/>
      <c r="X23" s="338"/>
      <c r="Y23" s="338"/>
      <c r="Z23" s="338"/>
      <c r="AA23" s="338"/>
    </row>
    <row r="24" spans="2:35" ht="15" customHeight="1">
      <c r="B24" s="1262"/>
      <c r="C24" s="1179"/>
      <c r="D24" s="1186"/>
      <c r="I24" t="s">
        <v>1486</v>
      </c>
      <c r="J24" s="1262"/>
      <c r="N24" s="338"/>
      <c r="O24" s="1273"/>
      <c r="P24" s="1117"/>
      <c r="Q24" s="1117"/>
      <c r="R24" s="1117"/>
      <c r="S24" s="338"/>
      <c r="T24" s="338"/>
      <c r="U24" s="338"/>
      <c r="V24" s="338"/>
      <c r="W24" s="338"/>
      <c r="X24" s="338"/>
      <c r="Y24" s="338"/>
      <c r="Z24" s="338"/>
      <c r="AA24" s="338"/>
    </row>
    <row r="25" spans="2:35" ht="15" customHeight="1">
      <c r="B25" s="1262"/>
      <c r="C25" s="863" t="s">
        <v>1445</v>
      </c>
      <c r="D25" s="1263"/>
      <c r="E25" s="1267"/>
      <c r="G25" s="328"/>
      <c r="I25" s="1267"/>
      <c r="M25" s="348"/>
      <c r="N25" s="338"/>
      <c r="O25" s="1268"/>
      <c r="P25" s="1261"/>
      <c r="Q25" s="1269"/>
      <c r="R25" s="1270"/>
      <c r="S25" s="338"/>
      <c r="T25" s="338"/>
      <c r="U25" s="338"/>
      <c r="V25" s="338"/>
      <c r="W25" s="338"/>
      <c r="X25" s="338"/>
      <c r="Y25" s="338"/>
      <c r="Z25" s="338"/>
      <c r="AA25" s="338"/>
    </row>
    <row r="26" spans="2:35" ht="15" customHeight="1">
      <c r="B26" s="1262"/>
      <c r="C26" s="863"/>
      <c r="D26" s="1263"/>
      <c r="E26" s="1267"/>
      <c r="G26" s="328"/>
      <c r="I26" s="1267"/>
      <c r="M26" s="348"/>
      <c r="N26" s="338"/>
      <c r="O26" s="1268"/>
      <c r="P26" s="1261"/>
      <c r="Q26" s="1269"/>
      <c r="R26" s="1270"/>
      <c r="S26" s="338"/>
      <c r="T26" s="338"/>
      <c r="U26" s="338"/>
      <c r="V26" s="338"/>
      <c r="W26" s="338"/>
      <c r="X26" s="338"/>
      <c r="Y26" s="338"/>
      <c r="Z26" s="338"/>
      <c r="AA26" s="338"/>
    </row>
    <row r="27" spans="2:35" ht="15" customHeight="1">
      <c r="B27" s="1262"/>
      <c r="C27" s="1262" t="s">
        <v>1438</v>
      </c>
      <c r="D27" s="1263"/>
      <c r="E27" s="78" t="s">
        <v>166</v>
      </c>
      <c r="G27" s="328"/>
      <c r="I27" s="1267"/>
      <c r="M27" s="348"/>
      <c r="N27" t="s">
        <v>165</v>
      </c>
      <c r="O27" t="s">
        <v>1439</v>
      </c>
      <c r="P27" s="1261"/>
      <c r="Q27" s="1269"/>
      <c r="R27" s="1270"/>
      <c r="S27" s="338"/>
      <c r="T27" s="338"/>
      <c r="U27" s="338"/>
      <c r="V27" s="338"/>
      <c r="W27" s="338"/>
      <c r="X27" s="338"/>
      <c r="Y27" s="338"/>
      <c r="Z27" s="338"/>
      <c r="AA27" s="338"/>
    </row>
    <row r="28" spans="2:35" ht="15" customHeight="1">
      <c r="B28" s="1262"/>
      <c r="C28" s="1262"/>
      <c r="D28" s="1263"/>
      <c r="E28" t="str">
        <f>VLOOKUP(E27,N27:O29,2,FALSE)</f>
        <v>Open with scattered obstructions less then 33 ft tall</v>
      </c>
      <c r="G28" s="328"/>
      <c r="I28" s="1267"/>
      <c r="M28" s="348"/>
      <c r="N28" t="s">
        <v>166</v>
      </c>
      <c r="O28" t="s">
        <v>1440</v>
      </c>
      <c r="P28" s="1261"/>
      <c r="Q28" s="1269"/>
      <c r="R28" s="1270"/>
      <c r="S28" s="338"/>
      <c r="T28" s="338"/>
      <c r="U28" s="338"/>
      <c r="V28" s="338"/>
      <c r="W28" s="338"/>
      <c r="X28" s="338"/>
      <c r="Y28" s="338"/>
      <c r="Z28" s="338"/>
      <c r="AA28" s="338"/>
    </row>
    <row r="29" spans="2:35" ht="15" customHeight="1">
      <c r="B29" s="1262"/>
      <c r="C29" s="863"/>
      <c r="D29" s="1263"/>
      <c r="E29" s="1267"/>
      <c r="G29" s="328"/>
      <c r="I29" s="1267"/>
      <c r="M29" s="348"/>
      <c r="N29" t="s">
        <v>1441</v>
      </c>
      <c r="O29" t="s">
        <v>1442</v>
      </c>
      <c r="P29" s="1261"/>
      <c r="Q29" s="1269"/>
      <c r="R29" s="1270"/>
      <c r="S29" s="338"/>
      <c r="T29" s="338"/>
      <c r="U29" s="338"/>
      <c r="V29" s="338"/>
      <c r="W29" s="338"/>
      <c r="X29" s="338"/>
      <c r="Y29" s="338"/>
      <c r="Z29" s="338"/>
      <c r="AA29" s="338"/>
    </row>
    <row r="30" spans="2:35" ht="15" customHeight="1">
      <c r="B30" s="1262"/>
      <c r="C30" s="863" t="s">
        <v>1444</v>
      </c>
      <c r="P30" s="617"/>
      <c r="Q30" s="338"/>
      <c r="R30" s="338"/>
      <c r="S30" s="338"/>
      <c r="T30" s="338"/>
      <c r="U30" s="338"/>
      <c r="V30" s="338"/>
      <c r="W30" s="338"/>
      <c r="X30" s="338"/>
      <c r="Y30" s="338"/>
      <c r="Z30" s="338"/>
      <c r="AA30" s="338"/>
    </row>
    <row r="31" spans="2:35" ht="15" customHeight="1">
      <c r="B31" s="1262"/>
      <c r="C31" s="1262"/>
      <c r="N31" s="348"/>
      <c r="O31" s="338"/>
      <c r="P31" s="338"/>
      <c r="Q31" s="338"/>
      <c r="R31" s="338"/>
      <c r="S31" s="338"/>
      <c r="T31" s="338"/>
      <c r="U31" s="338"/>
      <c r="V31" s="338"/>
      <c r="W31" s="338"/>
      <c r="X31" s="338"/>
      <c r="Y31" s="338"/>
      <c r="Z31" s="338"/>
      <c r="AA31" s="338"/>
    </row>
    <row r="32" spans="2:35" ht="15" customHeight="1">
      <c r="B32" s="1262"/>
      <c r="C32" s="1262" t="s">
        <v>1443</v>
      </c>
      <c r="M32" s="348"/>
      <c r="O32" s="1272"/>
      <c r="P32" s="338"/>
      <c r="Q32" s="338"/>
      <c r="R32" s="338"/>
      <c r="S32" s="338"/>
      <c r="T32" s="338"/>
      <c r="U32" s="338"/>
      <c r="V32" s="338"/>
      <c r="W32" s="338"/>
      <c r="X32" s="338"/>
      <c r="Y32" s="338"/>
      <c r="Z32" s="338"/>
      <c r="AA32" s="338"/>
    </row>
    <row r="33" spans="2:27" ht="15" customHeight="1">
      <c r="B33" s="1262"/>
      <c r="C33" s="1262"/>
      <c r="M33" s="348"/>
      <c r="O33" s="1272"/>
      <c r="P33" s="338"/>
      <c r="Q33" s="338"/>
      <c r="R33" s="338"/>
      <c r="S33" s="338"/>
      <c r="T33" s="338"/>
      <c r="U33" s="338"/>
      <c r="V33" s="338"/>
      <c r="W33" s="338"/>
      <c r="X33" s="338"/>
      <c r="Y33" s="338"/>
      <c r="Z33" s="338"/>
      <c r="AA33" s="338"/>
    </row>
    <row r="34" spans="2:27" ht="15" customHeight="1">
      <c r="B34" s="1262"/>
      <c r="C34" s="1262"/>
      <c r="D34" s="1263" t="s">
        <v>1518</v>
      </c>
      <c r="E34" s="1262">
        <f>IF(NoSupports=2,MAX(ColHeightI,ColHeightII),ColHeightI)</f>
        <v>20</v>
      </c>
      <c r="F34" s="1262" t="s">
        <v>156</v>
      </c>
      <c r="G34" s="1262"/>
      <c r="H34" s="1689" t="str">
        <f>"Z = Max (33 ft, {"&amp;FIXED(MAX(ColHeightI,ColHeightII),1)&amp;" ft + "&amp;FIXED(CapDepth,1)&amp;" ft + "&amp;FIXED(Geometry!G24,3)&amp;" ft + "&amp;(Geometry!G54)&amp;" in / 12 + "&amp;(MAX(Geometry!G22,Geometry!K22))&amp;" in / 12 + "&amp;(ElevationAdjust)&amp;" ft}"</f>
        <v>Z = Max (33 ft, {20.0 ft + 5.1 ft + 6.375 ft + 42 in / 12 + 2.75 in / 12 + 40 ft}</v>
      </c>
      <c r="I34" s="1689"/>
      <c r="J34" s="1689"/>
      <c r="K34" s="1689"/>
      <c r="L34" s="1689"/>
      <c r="N34" s="338"/>
      <c r="O34" s="268" t="s">
        <v>1449</v>
      </c>
      <c r="P34" s="338"/>
      <c r="Q34" s="338"/>
      <c r="R34" s="338"/>
      <c r="S34" s="338"/>
      <c r="T34" s="338"/>
      <c r="U34" s="338"/>
      <c r="V34" s="338"/>
      <c r="W34" s="338"/>
      <c r="X34" s="338"/>
      <c r="Y34" s="338"/>
      <c r="Z34" s="338"/>
      <c r="AA34" s="338"/>
    </row>
    <row r="35" spans="2:27" ht="15" customHeight="1">
      <c r="B35" s="1262"/>
      <c r="C35" s="1262"/>
      <c r="D35" s="1263" t="s">
        <v>1447</v>
      </c>
      <c r="E35" s="1263" t="str">
        <f>FIXED(MAX(33,MAX(ColHeightI,ColHeightII)+CapDepth+superdepth+MAX(bkbrgpad,fdbrgpad)/12+railheight/12+ElevationAdjust),3)</f>
        <v>75.229</v>
      </c>
      <c r="F35" s="1262" t="s">
        <v>156</v>
      </c>
      <c r="H35" s="1689"/>
      <c r="I35" s="1689"/>
      <c r="J35" s="1689"/>
      <c r="K35" s="1689"/>
      <c r="L35" s="1689"/>
      <c r="N35" t="s">
        <v>165</v>
      </c>
      <c r="O35" s="22">
        <f>(2.5*LN($E$35/0.9834)+6.87)^2/345.6</f>
        <v>0.90786200957245722</v>
      </c>
      <c r="P35" t="str">
        <f>"{(2.5xLN("&amp;$E$35&amp;"/0.9834)+6.87)^2/345.6}"</f>
        <v>{(2.5xLN(75.229/0.9834)+6.87)^2/345.6}</v>
      </c>
      <c r="Q35" s="338"/>
      <c r="R35" s="338"/>
      <c r="S35" s="338"/>
      <c r="T35" s="338"/>
      <c r="U35" s="338"/>
      <c r="V35" s="338"/>
      <c r="W35" s="338"/>
      <c r="X35" s="338"/>
      <c r="Y35" s="338"/>
      <c r="Z35" s="338"/>
      <c r="AA35" s="338"/>
    </row>
    <row r="36" spans="2:27" ht="15" customHeight="1">
      <c r="B36" s="1262"/>
      <c r="D36" s="1263" t="s">
        <v>1448</v>
      </c>
      <c r="E36" s="1276">
        <f>VLOOKUP(E27,N35:O37,2,FALSE)</f>
        <v>1.1988144712936073</v>
      </c>
      <c r="F36" s="1262" t="s">
        <v>1454</v>
      </c>
      <c r="H36" s="176" t="str">
        <f>VLOOKUP(E27,N35:Q37,3, FALSE)</f>
        <v>{(2.5*LN(75.229/0.0984)+7.35)^2/478.4}</v>
      </c>
      <c r="J36" s="1262"/>
      <c r="K36" s="1262"/>
      <c r="N36" t="s">
        <v>166</v>
      </c>
      <c r="O36" s="22">
        <f>(2.5*LN($E$35/0.0984)+7.35)^2/478.4</f>
        <v>1.1988144712936073</v>
      </c>
      <c r="P36" t="str">
        <f>"{(2.5*LN("&amp;$E$35&amp;"/0.0984)+7.35)^2/478.4}"</f>
        <v>{(2.5*LN(75.229/0.0984)+7.35)^2/478.4}</v>
      </c>
      <c r="Q36" s="338"/>
      <c r="R36" s="338"/>
      <c r="S36" s="338"/>
      <c r="T36" s="338"/>
      <c r="U36" s="338"/>
      <c r="V36" s="338"/>
      <c r="W36" s="338"/>
      <c r="X36" s="338"/>
      <c r="Y36" s="338"/>
      <c r="Z36" s="338"/>
      <c r="AA36" s="338"/>
    </row>
    <row r="37" spans="2:27" ht="15" customHeight="1">
      <c r="B37" s="1262"/>
      <c r="D37" s="1263" t="s">
        <v>1448</v>
      </c>
      <c r="E37" s="1262">
        <v>1</v>
      </c>
      <c r="F37" s="1262" t="s">
        <v>1455</v>
      </c>
      <c r="G37" s="1262"/>
      <c r="H37" s="1262"/>
      <c r="I37" s="1262"/>
      <c r="J37" s="1262"/>
      <c r="K37" s="1262"/>
      <c r="N37" t="s">
        <v>1441</v>
      </c>
      <c r="O37" s="22">
        <f>(2.5*LN($E$35/0.0164)+7.65)^2/616.1</f>
        <v>1.3395078701239385</v>
      </c>
      <c r="P37" t="str">
        <f>"{(2.5*LN("&amp;$E$35&amp;"/0.0164)+7.65)^2/616.1}"</f>
        <v>{(2.5*LN(75.229/0.0164)+7.65)^2/616.1}</v>
      </c>
      <c r="Q37" s="338"/>
      <c r="R37" s="338"/>
      <c r="S37" s="338"/>
      <c r="T37" s="338"/>
      <c r="U37" s="338"/>
      <c r="V37" s="338"/>
      <c r="W37" s="338"/>
      <c r="X37" s="338"/>
      <c r="Y37" s="338"/>
      <c r="Z37" s="338"/>
      <c r="AA37" s="338"/>
    </row>
    <row r="38" spans="2:27" ht="15" customHeight="1">
      <c r="B38" s="1262"/>
      <c r="D38" s="1263"/>
      <c r="E38" s="1262"/>
      <c r="F38" s="1262"/>
      <c r="G38" s="1262"/>
      <c r="H38" s="1262"/>
      <c r="I38" s="1262"/>
      <c r="J38" s="1262"/>
      <c r="K38" s="1262"/>
      <c r="N38"/>
      <c r="O38" s="22"/>
      <c r="P38"/>
      <c r="Q38" s="338"/>
      <c r="R38" s="338"/>
      <c r="S38" s="338"/>
      <c r="T38" s="338"/>
      <c r="U38" s="338"/>
      <c r="V38" s="338"/>
      <c r="W38" s="338"/>
      <c r="X38" s="338"/>
      <c r="Y38" s="338"/>
      <c r="Z38" s="338"/>
      <c r="AA38" s="338"/>
    </row>
    <row r="39" spans="2:27" ht="15" customHeight="1">
      <c r="B39" s="1262"/>
      <c r="C39" s="46" t="s">
        <v>1489</v>
      </c>
      <c r="D39" s="1186"/>
      <c r="J39" s="1262"/>
      <c r="N39" s="338"/>
      <c r="O39" s="1273"/>
      <c r="P39" s="1117"/>
      <c r="Q39" s="1117"/>
      <c r="R39" s="1117"/>
      <c r="S39" s="338"/>
      <c r="T39" s="338"/>
      <c r="U39" s="338"/>
      <c r="V39" s="338"/>
      <c r="W39" s="338"/>
      <c r="X39" s="338"/>
      <c r="Y39" s="338"/>
      <c r="Z39" s="338"/>
      <c r="AA39" s="338"/>
    </row>
    <row r="40" spans="2:27" ht="15" customHeight="1">
      <c r="B40" s="1262"/>
      <c r="C40" s="1264" t="s">
        <v>1534</v>
      </c>
      <c r="D40" s="1186"/>
      <c r="J40" s="1262"/>
      <c r="N40" s="338"/>
      <c r="O40" s="1273"/>
      <c r="P40" s="1117"/>
      <c r="Q40" s="1117"/>
      <c r="R40" s="1117"/>
      <c r="S40" s="338"/>
      <c r="T40" s="338"/>
      <c r="U40" s="338"/>
      <c r="V40" s="338"/>
      <c r="W40" s="338"/>
      <c r="X40" s="338"/>
      <c r="Y40" s="338"/>
      <c r="Z40" s="338"/>
      <c r="AA40" s="338"/>
    </row>
    <row r="41" spans="2:27" ht="15" customHeight="1">
      <c r="B41" s="1262"/>
      <c r="C41" s="1264" t="s">
        <v>1535</v>
      </c>
      <c r="D41" s="1186"/>
      <c r="J41" s="1262"/>
      <c r="N41" s="338"/>
      <c r="O41" s="1273"/>
      <c r="P41" s="1117"/>
      <c r="Q41" s="1117"/>
      <c r="R41" s="1117"/>
      <c r="S41" s="338"/>
      <c r="T41" s="338"/>
      <c r="U41" s="338"/>
      <c r="V41" s="338"/>
      <c r="W41" s="338"/>
      <c r="X41" s="338"/>
      <c r="Y41" s="338"/>
      <c r="Z41" s="338"/>
      <c r="AA41" s="338"/>
    </row>
    <row r="42" spans="2:27" ht="15" customHeight="1">
      <c r="B42" s="1262"/>
      <c r="C42" s="1179"/>
      <c r="D42" s="1186"/>
      <c r="J42" s="1262"/>
      <c r="N42" s="338"/>
      <c r="O42" s="1273"/>
      <c r="P42" s="1117"/>
      <c r="Q42" s="1117"/>
      <c r="R42" s="1117"/>
      <c r="S42" s="338"/>
      <c r="T42" s="338"/>
      <c r="U42" s="338"/>
      <c r="V42" s="338"/>
      <c r="W42" s="338"/>
      <c r="X42" s="338"/>
      <c r="Y42" s="338"/>
      <c r="Z42" s="338"/>
      <c r="AA42" s="338"/>
    </row>
    <row r="43" spans="2:27" ht="15" customHeight="1">
      <c r="B43" s="1262"/>
      <c r="C43" s="1179" t="s">
        <v>1536</v>
      </c>
      <c r="D43" s="1186"/>
      <c r="J43" s="1262"/>
      <c r="N43" s="338"/>
      <c r="O43" s="1273"/>
      <c r="P43" s="1117"/>
      <c r="Q43" s="1117"/>
      <c r="R43" s="1117"/>
      <c r="S43" s="338"/>
      <c r="T43" s="338"/>
      <c r="U43" s="338"/>
      <c r="V43" s="338"/>
      <c r="W43" s="338"/>
      <c r="X43" s="338"/>
      <c r="Y43" s="338"/>
      <c r="Z43" s="338"/>
      <c r="AA43" s="338"/>
    </row>
    <row r="44" spans="2:27" ht="15" customHeight="1">
      <c r="B44" s="1262"/>
      <c r="D44" s="1186"/>
      <c r="J44" s="1262"/>
      <c r="N44" s="338"/>
      <c r="O44" s="338"/>
      <c r="P44" s="338"/>
      <c r="Q44" s="338"/>
      <c r="R44" s="338"/>
      <c r="S44" s="338"/>
      <c r="T44" s="1117"/>
      <c r="U44" s="338"/>
      <c r="V44" s="338"/>
      <c r="W44" s="338"/>
      <c r="X44" s="338"/>
      <c r="Y44" s="338"/>
      <c r="Z44" s="338"/>
      <c r="AA44" s="338"/>
    </row>
    <row r="45" spans="2:27" ht="15" customHeight="1">
      <c r="B45" s="1262"/>
      <c r="C45" s="1696" t="s">
        <v>1432</v>
      </c>
      <c r="D45" s="1697"/>
      <c r="E45" s="1265" t="s">
        <v>1437</v>
      </c>
      <c r="F45" s="1694"/>
      <c r="G45" s="1694"/>
      <c r="H45" s="1694"/>
      <c r="I45" s="1265" t="s">
        <v>1435</v>
      </c>
      <c r="N45" s="338"/>
      <c r="O45" s="1262"/>
      <c r="P45" s="338"/>
      <c r="Q45" s="338"/>
      <c r="R45" s="338"/>
      <c r="S45" s="338"/>
      <c r="T45" s="338"/>
      <c r="U45" s="338"/>
      <c r="V45" s="338"/>
      <c r="W45" s="338"/>
      <c r="X45" s="338"/>
      <c r="Y45" s="338"/>
      <c r="Z45" s="338"/>
      <c r="AA45" s="338"/>
    </row>
    <row r="46" spans="2:27" ht="15" customHeight="1">
      <c r="B46" s="1262"/>
      <c r="C46" s="1698" t="s">
        <v>1433</v>
      </c>
      <c r="D46" s="1699"/>
      <c r="E46" s="1260">
        <v>1</v>
      </c>
      <c r="F46" s="1695" t="str">
        <f>""&amp;E46&amp;"*("&amp;E18&amp;"^2/"&amp;$F$12&amp;"^2)*("&amp;FIXED(E36,2)&amp;"/"&amp;FIXED($E$36,2)&amp;")"</f>
        <v>1*(120^2/120^2)*(1.20/1.20)</v>
      </c>
      <c r="G46" s="1695"/>
      <c r="H46" s="1695"/>
      <c r="I46" s="1266">
        <f>E46*(E18^2)/($F$12)^2*(E36/E36)</f>
        <v>1</v>
      </c>
      <c r="N46" s="338"/>
      <c r="O46" s="338"/>
      <c r="P46" s="338"/>
      <c r="Q46" s="338"/>
      <c r="R46" s="338"/>
      <c r="S46" s="338"/>
      <c r="T46" s="338"/>
      <c r="U46" s="1117"/>
      <c r="V46" s="1117"/>
      <c r="W46" s="1117"/>
      <c r="X46" s="1117"/>
      <c r="Y46" s="1117"/>
      <c r="Z46" s="338"/>
      <c r="AA46" s="338"/>
    </row>
    <row r="47" spans="2:27" ht="15" customHeight="1">
      <c r="B47" s="1262"/>
      <c r="C47" s="1698" t="s">
        <v>1434</v>
      </c>
      <c r="D47" s="1699"/>
      <c r="E47" s="1260">
        <v>1</v>
      </c>
      <c r="F47" s="1695" t="str">
        <f>""&amp;E46&amp;"*("&amp;E19&amp;"^2/"&amp;$F$12&amp;"^2)*("&amp;FIXED(E37,2)&amp;"/"&amp;FIXED($E$36,2)&amp;")"</f>
        <v>1*(80^2/120^2)*(1.00/1.20)</v>
      </c>
      <c r="G47" s="1695"/>
      <c r="H47" s="1695"/>
      <c r="I47" s="1266">
        <f>E47*(E19^2)/($F$12)^2*(E37/E36)</f>
        <v>0.37073663614091745</v>
      </c>
      <c r="N47" s="338"/>
      <c r="O47" s="338"/>
      <c r="P47" s="338"/>
      <c r="Q47" s="338"/>
      <c r="R47" s="338"/>
      <c r="S47" s="338"/>
      <c r="T47" s="338"/>
      <c r="U47" s="338"/>
      <c r="V47" s="338"/>
      <c r="W47" s="338"/>
      <c r="X47" s="338"/>
      <c r="Y47" s="338"/>
      <c r="Z47" s="338"/>
      <c r="AA47" s="338"/>
    </row>
    <row r="48" spans="2:27" ht="15" customHeight="1">
      <c r="B48" s="1262"/>
      <c r="C48" s="1698" t="s">
        <v>1488</v>
      </c>
      <c r="D48" s="1699"/>
      <c r="E48" s="1260">
        <v>1</v>
      </c>
      <c r="F48" s="1695" t="str">
        <f>""&amp;E46&amp;"*("&amp;E20&amp;"^2/"&amp;$F$12&amp;"^2)*("&amp;FIXED(E37,2)&amp;"/"&amp;FIXED($E$36,2)&amp;")"</f>
        <v>1*(70^2/120^2)*(1.00/1.20)</v>
      </c>
      <c r="G48" s="1695"/>
      <c r="H48" s="1695"/>
      <c r="I48" s="1266">
        <f>E48*(E20^2)/($F$12)^2*(E37/E36)</f>
        <v>0.28384523704538994</v>
      </c>
      <c r="J48" s="1262"/>
      <c r="N48" s="338"/>
      <c r="O48" s="1274"/>
      <c r="P48" s="1274"/>
      <c r="Q48" s="1275"/>
      <c r="R48" s="1274"/>
      <c r="S48" s="338"/>
      <c r="T48" s="338"/>
      <c r="U48" s="338"/>
      <c r="V48" s="338"/>
      <c r="W48" s="338"/>
      <c r="X48" s="338"/>
      <c r="Y48" s="338"/>
      <c r="Z48" s="338"/>
      <c r="AA48" s="338"/>
    </row>
    <row r="49" spans="1:27" ht="15" customHeight="1">
      <c r="B49" s="1262"/>
      <c r="C49" s="1698" t="s">
        <v>1436</v>
      </c>
      <c r="D49" s="1699"/>
      <c r="E49" s="1260">
        <v>1</v>
      </c>
      <c r="F49" s="1695" t="str">
        <f>""&amp;E46&amp;"*("&amp;E21&amp;"^2/"&amp;$F$12&amp;"^2)*("&amp;FIXED(E36,2)&amp;"/"&amp;FIXED($E$36,2)&amp;")"</f>
        <v>1*(90^2/120^2)*(1.20/1.20)</v>
      </c>
      <c r="G49" s="1695"/>
      <c r="H49" s="1695"/>
      <c r="I49" s="1266">
        <f>E49*(E21^2)/($F$12)^2*(E36/E36)</f>
        <v>0.5625</v>
      </c>
      <c r="J49" s="1262"/>
      <c r="M49" s="347"/>
      <c r="N49" s="338"/>
      <c r="O49" s="1268"/>
      <c r="P49" s="1261"/>
      <c r="Q49" s="1269"/>
      <c r="R49" s="1270"/>
      <c r="S49" s="338"/>
      <c r="T49" s="338"/>
      <c r="U49" s="338"/>
      <c r="V49" s="338"/>
      <c r="W49" s="338"/>
      <c r="X49" s="338"/>
      <c r="Y49" s="338"/>
      <c r="Z49" s="338"/>
      <c r="AA49" s="338"/>
    </row>
    <row r="50" spans="1:27" ht="15" customHeight="1">
      <c r="B50" s="1262"/>
      <c r="E50" s="1186" t="s">
        <v>1603</v>
      </c>
      <c r="G50" s="329"/>
      <c r="J50" s="1262"/>
      <c r="M50" s="347"/>
      <c r="N50" s="338"/>
      <c r="O50" s="1268"/>
      <c r="P50" s="1261"/>
      <c r="Q50" s="1269"/>
      <c r="R50" s="1270"/>
      <c r="S50" s="338"/>
      <c r="T50" s="338"/>
      <c r="U50" s="338"/>
      <c r="V50" s="338"/>
      <c r="W50" s="338"/>
      <c r="X50" s="338"/>
      <c r="Y50" s="338"/>
      <c r="Z50" s="338"/>
      <c r="AA50" s="338"/>
    </row>
    <row r="51" spans="1:27" ht="15" customHeight="1" thickBot="1">
      <c r="A51" s="358" t="s">
        <v>1118</v>
      </c>
      <c r="B51" s="1644" t="s">
        <v>1495</v>
      </c>
      <c r="C51" s="1644"/>
      <c r="D51" s="1644"/>
      <c r="E51" s="1644"/>
      <c r="F51" s="1644"/>
      <c r="G51" s="1644"/>
      <c r="H51" s="1644"/>
      <c r="I51" s="1644"/>
      <c r="J51" s="1644"/>
      <c r="K51" s="1644"/>
      <c r="L51" s="1644"/>
      <c r="S51" s="338"/>
    </row>
    <row r="52" spans="1:27" ht="15" customHeight="1">
      <c r="B52" s="1262"/>
      <c r="C52" s="1262"/>
      <c r="D52" s="71"/>
      <c r="E52" s="1262"/>
      <c r="F52" s="1262"/>
      <c r="G52" s="1262"/>
      <c r="H52" s="1262"/>
      <c r="I52" s="302"/>
      <c r="J52" s="1262"/>
      <c r="S52" s="338"/>
    </row>
    <row r="53" spans="1:27" ht="15" customHeight="1">
      <c r="B53" s="1262"/>
      <c r="C53" s="1262"/>
      <c r="D53" s="71" t="s">
        <v>1460</v>
      </c>
      <c r="E53" s="71"/>
      <c r="F53" s="71"/>
      <c r="G53" s="1262"/>
      <c r="N53" s="348"/>
      <c r="O53" s="1272"/>
      <c r="P53" s="338"/>
      <c r="Q53" s="338"/>
      <c r="R53" s="338"/>
      <c r="S53" s="338"/>
    </row>
    <row r="54" spans="1:27" ht="15" customHeight="1">
      <c r="B54" s="1262"/>
      <c r="D54" s="1263" t="s">
        <v>1452</v>
      </c>
      <c r="E54" s="1262">
        <v>1</v>
      </c>
      <c r="F54" s="1262" t="s">
        <v>1450</v>
      </c>
      <c r="G54" s="1262"/>
      <c r="H54" s="1262"/>
      <c r="I54" s="1262"/>
      <c r="J54" s="1262"/>
      <c r="K54" s="1262"/>
      <c r="S54" s="338"/>
      <c r="T54" s="338"/>
      <c r="U54" s="338"/>
    </row>
    <row r="55" spans="1:27" ht="15" customHeight="1">
      <c r="B55" s="1262"/>
      <c r="D55" s="1263" t="s">
        <v>1453</v>
      </c>
      <c r="E55" s="1262">
        <v>1.6</v>
      </c>
      <c r="F55" s="1262" t="s">
        <v>1451</v>
      </c>
      <c r="G55" s="1262"/>
      <c r="H55" s="1262"/>
      <c r="I55" s="1262"/>
      <c r="J55" s="1262"/>
      <c r="K55" s="1262"/>
      <c r="N55" s="338"/>
      <c r="O55" s="1262"/>
      <c r="P55" s="338"/>
      <c r="Q55" s="338"/>
      <c r="R55" s="338"/>
      <c r="S55" s="338"/>
      <c r="T55" s="338"/>
      <c r="U55" s="338"/>
    </row>
    <row r="56" spans="1:27" ht="15" customHeight="1">
      <c r="B56" s="1262"/>
      <c r="D56" s="1263" t="s">
        <v>1453</v>
      </c>
      <c r="E56" s="1202">
        <v>1.3</v>
      </c>
      <c r="F56" s="1202" t="s">
        <v>1494</v>
      </c>
      <c r="G56" s="1262"/>
      <c r="H56" s="1262"/>
      <c r="I56" s="1262"/>
      <c r="J56" s="1262"/>
      <c r="K56" s="1262"/>
      <c r="N56" s="338"/>
      <c r="O56" s="1262"/>
      <c r="P56" s="338"/>
      <c r="Q56" s="338"/>
      <c r="R56" s="338"/>
      <c r="S56" s="338"/>
      <c r="T56" s="338"/>
      <c r="U56" s="338"/>
    </row>
    <row r="57" spans="1:27" ht="15" customHeight="1">
      <c r="B57" s="1262"/>
      <c r="D57" s="1263"/>
      <c r="E57" s="1262"/>
      <c r="F57" s="1262"/>
      <c r="G57" s="1262"/>
      <c r="H57" s="1262"/>
      <c r="I57" s="1262"/>
      <c r="J57" s="1262"/>
      <c r="K57" s="1262"/>
      <c r="N57" s="338"/>
      <c r="O57" s="338"/>
      <c r="P57" s="338"/>
      <c r="Q57" s="338"/>
      <c r="R57" s="338"/>
      <c r="S57" s="338"/>
      <c r="T57" s="338"/>
      <c r="U57" s="338"/>
    </row>
    <row r="58" spans="1:27" ht="15" customHeight="1">
      <c r="B58" s="1262"/>
      <c r="D58" s="1263" t="s">
        <v>1531</v>
      </c>
      <c r="E58" s="1320">
        <f>2.56*(10^-6)*F12*F12*E36*E54*E55</f>
        <v>7.0708954671628063E-2</v>
      </c>
      <c r="F58" s="1262" t="s">
        <v>1175</v>
      </c>
      <c r="H58" s="176" t="str">
        <f>"{2.56 x 10^-6 x "&amp;F12&amp;"^2 x "&amp;FIXED((E36),2)&amp;" x "&amp;FIXED(E54,1)&amp;" x "&amp;E55&amp;"}"</f>
        <v>{2.56 x 10^-6 x 120^2 x 1.20 x 1.0 x 1.6}</v>
      </c>
      <c r="I58" s="1262"/>
      <c r="J58" s="1262"/>
      <c r="K58" s="1262"/>
      <c r="N58" s="338"/>
      <c r="O58" s="1277"/>
      <c r="P58" s="1271"/>
      <c r="Q58" s="1223"/>
      <c r="R58" s="338"/>
      <c r="S58" s="338"/>
      <c r="T58" s="338"/>
      <c r="U58" s="338"/>
    </row>
    <row r="59" spans="1:27" ht="15" customHeight="1">
      <c r="B59" s="1262"/>
      <c r="D59" s="1263" t="s">
        <v>1532</v>
      </c>
      <c r="E59" s="1320">
        <f>2.56*(10^-6)*F12*F12*E36*E54*E56</f>
        <v>5.7451025670697806E-2</v>
      </c>
      <c r="F59" s="1262" t="s">
        <v>1175</v>
      </c>
      <c r="G59" s="1262"/>
      <c r="H59" s="176" t="str">
        <f>"{2.56 x 10^-6 x "&amp;F12&amp;"^2 x "&amp;FIXED((E36),2)&amp;" x "&amp;FIXED(E54,1)&amp;" x "&amp;E56&amp;"}"</f>
        <v>{2.56 x 10^-6 x 120^2 x 1.20 x 1.0 x 1.3}</v>
      </c>
      <c r="I59" s="1262"/>
      <c r="J59" s="1262"/>
      <c r="K59" s="1262"/>
      <c r="N59" s="338"/>
      <c r="O59" s="1277"/>
      <c r="P59" s="338"/>
      <c r="Q59" s="1223"/>
      <c r="R59" s="1278"/>
      <c r="S59" s="338"/>
      <c r="T59" s="338"/>
      <c r="U59" s="338"/>
    </row>
    <row r="60" spans="1:27" ht="15" customHeight="1">
      <c r="G60" s="1262"/>
      <c r="H60" s="1264" t="s">
        <v>1533</v>
      </c>
      <c r="I60" s="1262"/>
      <c r="J60" s="1262"/>
      <c r="K60" s="1262"/>
      <c r="N60" s="1262"/>
      <c r="O60"/>
      <c r="P60" s="1302"/>
      <c r="Q60"/>
      <c r="R60"/>
      <c r="S60" s="338"/>
      <c r="T60" s="338"/>
      <c r="U60" s="338"/>
    </row>
    <row r="61" spans="1:27" ht="15" customHeight="1">
      <c r="C61" s="46" t="s">
        <v>1493</v>
      </c>
      <c r="G61" s="1262"/>
      <c r="H61" s="1254"/>
      <c r="I61" s="1262"/>
      <c r="J61" s="1262"/>
      <c r="K61" s="1262"/>
      <c r="N61" s="1262"/>
      <c r="O61"/>
      <c r="P61" s="1259"/>
      <c r="S61" s="338"/>
      <c r="T61" s="338"/>
      <c r="U61" s="338"/>
    </row>
    <row r="62" spans="1:27" ht="15" customHeight="1">
      <c r="C62" s="27"/>
      <c r="D62" s="1263" t="s">
        <v>1530</v>
      </c>
      <c r="E62" s="1320">
        <f>E59</f>
        <v>5.7451025670697806E-2</v>
      </c>
      <c r="F62" s="1262" t="s">
        <v>1175</v>
      </c>
      <c r="G62" s="1262"/>
      <c r="H62" s="1254"/>
      <c r="I62" s="1262"/>
      <c r="J62" s="1262"/>
      <c r="K62" s="1262"/>
      <c r="N62" s="1262"/>
      <c r="O62"/>
      <c r="P62" s="1259"/>
      <c r="S62" s="338"/>
      <c r="T62" s="338"/>
      <c r="U62" s="338"/>
    </row>
    <row r="63" spans="1:27" ht="15" customHeight="1">
      <c r="C63" s="1179" t="s">
        <v>1496</v>
      </c>
      <c r="G63" s="1262"/>
      <c r="H63" s="1254"/>
      <c r="I63" s="1262"/>
      <c r="J63" s="1262"/>
      <c r="K63" s="1262"/>
      <c r="N63" s="1262"/>
      <c r="O63"/>
      <c r="P63" s="1259"/>
      <c r="S63" s="338"/>
      <c r="T63" s="338"/>
      <c r="U63" s="338"/>
    </row>
    <row r="64" spans="1:27" ht="15" customHeight="1">
      <c r="D64" s="1225" t="s">
        <v>1498</v>
      </c>
      <c r="E64" s="1251">
        <f>(superdepth+railheight/12)*AVERAGE(bkspanpgl,fdspanpgl)</f>
        <v>1086.25</v>
      </c>
      <c r="F64" s="1242" t="s">
        <v>1456</v>
      </c>
      <c r="G64" s="1262"/>
      <c r="H64" s="1254" t="str">
        <f>"{("&amp;FIXED(superdepth,3)&amp;"+"&amp;FIXED(railheight)&amp;"/12)*"&amp;FIXED(AVERAGE(bkspanpgl,fdspanpgl))&amp;"}"</f>
        <v>{(6.375+42.00/12)*110.00}</v>
      </c>
      <c r="I64" s="1262"/>
      <c r="J64" s="1262"/>
      <c r="K64" s="1262"/>
      <c r="N64" s="1262"/>
      <c r="O64"/>
      <c r="P64" s="1259"/>
      <c r="Q64" s="1252"/>
      <c r="R64" s="1242"/>
      <c r="S64" s="338"/>
      <c r="T64" s="338"/>
      <c r="U64" s="338"/>
    </row>
    <row r="65" spans="2:27" ht="15" customHeight="1">
      <c r="D65" s="1225" t="s">
        <v>1499</v>
      </c>
      <c r="E65" s="29">
        <f>E62*E64</f>
        <v>62.406176634795493</v>
      </c>
      <c r="F65" t="s">
        <v>341</v>
      </c>
      <c r="G65" s="1262"/>
      <c r="H65" s="1254" t="str">
        <f>"{"&amp;FIXED(E59,3)&amp;"*"&amp;FIXED(E64)&amp;"}"</f>
        <v>{0.057*1,086.25}</v>
      </c>
      <c r="I65" s="1262"/>
      <c r="J65" s="1262"/>
      <c r="K65" s="1262"/>
      <c r="N65" s="1262"/>
      <c r="O65"/>
      <c r="P65" s="1259"/>
      <c r="Q65" s="1252"/>
      <c r="R65" s="1242"/>
      <c r="S65" s="338"/>
      <c r="T65" s="338"/>
      <c r="U65" s="338"/>
    </row>
    <row r="66" spans="2:27" ht="15" customHeight="1">
      <c r="D66" s="1259"/>
      <c r="E66" s="1242"/>
      <c r="F66" s="1242"/>
      <c r="G66" s="1262"/>
      <c r="H66" s="1254"/>
      <c r="I66" s="1262"/>
      <c r="J66" s="1262"/>
      <c r="K66" s="1262"/>
      <c r="N66" s="1262"/>
      <c r="O66"/>
      <c r="P66" s="1259"/>
      <c r="R66" s="1242"/>
      <c r="S66" s="338"/>
      <c r="T66" s="338"/>
      <c r="U66" s="338"/>
    </row>
    <row r="67" spans="2:27" ht="15" customHeight="1">
      <c r="C67" s="1179" t="s">
        <v>1497</v>
      </c>
      <c r="D67" s="1259"/>
      <c r="E67" s="1242"/>
      <c r="F67" s="1242"/>
      <c r="G67" s="1262"/>
      <c r="H67" s="1254"/>
      <c r="I67" s="1262"/>
      <c r="J67" s="1262"/>
      <c r="K67" s="1262"/>
      <c r="N67" s="1262"/>
      <c r="O67"/>
      <c r="P67" s="1259"/>
      <c r="R67" s="1242"/>
      <c r="S67" s="338"/>
      <c r="T67" s="338"/>
      <c r="U67" s="338"/>
    </row>
    <row r="68" spans="2:27" ht="15" customHeight="1">
      <c r="B68" s="1262"/>
      <c r="D68" s="1225" t="s">
        <v>1498</v>
      </c>
      <c r="E68" s="1251">
        <f>(superdepth+railheight/12)*MAX(bkspanpgl,fdspanpgl)/2</f>
        <v>592.5</v>
      </c>
      <c r="F68" s="1242" t="s">
        <v>1456</v>
      </c>
      <c r="H68" s="1254" t="str">
        <f>"{("&amp;FIXED(superdepth,3)&amp;"+"&amp;FIXED(railheight)&amp;"/12)*("&amp;FIXED(MAX(bkspanpgl,fdspanpgl))&amp;"/2)}"</f>
        <v>{(6.375+42.00/12)*(120.00/2)}</v>
      </c>
      <c r="I68" s="1262"/>
      <c r="J68" s="1262"/>
      <c r="K68" s="1262"/>
      <c r="N68" s="338"/>
      <c r="O68" s="1277"/>
      <c r="P68" s="338"/>
      <c r="Q68" s="1223"/>
      <c r="R68" s="1278"/>
      <c r="S68" s="338"/>
      <c r="T68" s="338"/>
      <c r="U68" s="338"/>
    </row>
    <row r="69" spans="2:27" ht="15" customHeight="1">
      <c r="B69" s="1262"/>
      <c r="D69" s="1225" t="s">
        <v>1499</v>
      </c>
      <c r="E69" s="29">
        <f>E62*E68</f>
        <v>34.039732709888447</v>
      </c>
      <c r="F69" t="s">
        <v>341</v>
      </c>
      <c r="H69" s="1254" t="str">
        <f>"{"&amp;FIXED(E59,3)&amp;"*"&amp;FIXED(E68)&amp;"}"</f>
        <v>{0.057*592.50}</v>
      </c>
      <c r="I69" s="1262"/>
      <c r="J69" s="1262"/>
      <c r="K69" s="1262"/>
      <c r="N69" s="338"/>
      <c r="O69" s="1277"/>
      <c r="P69" s="338"/>
      <c r="Q69" s="1223"/>
      <c r="R69" s="1278"/>
      <c r="S69" s="338"/>
      <c r="T69" s="338"/>
      <c r="U69" s="338"/>
    </row>
    <row r="70" spans="2:27" ht="15" customHeight="1">
      <c r="B70" s="61"/>
      <c r="C70" s="61"/>
      <c r="D70" s="61"/>
      <c r="E70" s="61"/>
      <c r="F70" s="61"/>
      <c r="G70" s="61"/>
      <c r="H70" s="61"/>
      <c r="I70" s="61"/>
      <c r="J70" s="61"/>
      <c r="K70" s="18"/>
      <c r="L70" s="18"/>
      <c r="N70" s="338"/>
      <c r="O70" s="1263"/>
      <c r="P70" s="1279"/>
      <c r="Q70" s="18"/>
      <c r="R70" s="338"/>
      <c r="S70" s="338"/>
      <c r="T70" s="338"/>
      <c r="U70" s="338"/>
      <c r="Z70"/>
      <c r="AA70"/>
    </row>
    <row r="71" spans="2:27" ht="15" customHeight="1">
      <c r="B71" s="1715" t="s">
        <v>1519</v>
      </c>
      <c r="C71" s="1716"/>
      <c r="D71" s="1717"/>
      <c r="E71" s="1648" t="s">
        <v>998</v>
      </c>
      <c r="F71" s="1648"/>
      <c r="G71" s="1648" t="s">
        <v>1172</v>
      </c>
      <c r="H71" s="1648"/>
      <c r="I71" s="1648" t="s">
        <v>998</v>
      </c>
      <c r="J71" s="1648"/>
      <c r="K71" s="1648" t="s">
        <v>1172</v>
      </c>
      <c r="L71" s="1648"/>
      <c r="N71" s="338"/>
      <c r="O71" s="1263"/>
      <c r="P71" s="18"/>
      <c r="Q71" s="18"/>
      <c r="R71" s="338"/>
      <c r="S71" s="338"/>
      <c r="T71" s="338"/>
      <c r="U71" s="338"/>
      <c r="Z71"/>
      <c r="AA71"/>
    </row>
    <row r="72" spans="2:27" ht="15" customHeight="1">
      <c r="B72" s="1708" t="s">
        <v>612</v>
      </c>
      <c r="C72" s="1664" t="s">
        <v>1458</v>
      </c>
      <c r="D72" s="1710"/>
      <c r="E72" s="1664" t="s">
        <v>1173</v>
      </c>
      <c r="F72" s="1664"/>
      <c r="G72" s="1664" t="s">
        <v>1173</v>
      </c>
      <c r="H72" s="1664"/>
      <c r="I72" s="1664" t="s">
        <v>1173</v>
      </c>
      <c r="J72" s="1664"/>
      <c r="K72" s="1664" t="s">
        <v>1173</v>
      </c>
      <c r="L72" s="1664"/>
      <c r="N72" s="338"/>
      <c r="O72" s="338"/>
      <c r="P72" s="338"/>
      <c r="Q72" s="338"/>
      <c r="R72" s="338"/>
      <c r="S72" s="338"/>
      <c r="T72" s="338"/>
      <c r="U72" s="338"/>
    </row>
    <row r="73" spans="2:27" ht="15" customHeight="1">
      <c r="B73" s="1708"/>
      <c r="C73" s="1286" t="s">
        <v>1286</v>
      </c>
      <c r="D73" s="1286" t="s">
        <v>1168</v>
      </c>
      <c r="E73" s="1285" t="s">
        <v>1300</v>
      </c>
      <c r="F73" s="1285" t="s">
        <v>1174</v>
      </c>
      <c r="G73" s="1285" t="s">
        <v>1300</v>
      </c>
      <c r="H73" s="1285" t="s">
        <v>1174</v>
      </c>
      <c r="I73" s="1285" t="s">
        <v>412</v>
      </c>
      <c r="J73" s="1285" t="s">
        <v>411</v>
      </c>
      <c r="K73" s="1285" t="s">
        <v>412</v>
      </c>
      <c r="L73" s="1285" t="s">
        <v>411</v>
      </c>
      <c r="N73" s="338"/>
      <c r="O73" s="1263"/>
      <c r="P73" s="1280"/>
      <c r="Q73" s="18"/>
      <c r="R73" s="176"/>
      <c r="S73" s="338"/>
      <c r="T73" s="338"/>
      <c r="U73" s="338"/>
    </row>
    <row r="74" spans="2:27" ht="15" customHeight="1">
      <c r="B74" s="1257" t="s">
        <v>1249</v>
      </c>
      <c r="C74" s="1253">
        <v>1</v>
      </c>
      <c r="D74" s="1253">
        <v>0</v>
      </c>
      <c r="E74" s="1258">
        <f t="shared" ref="E74:F78" si="0">C74*$E$65</f>
        <v>62.406176634795493</v>
      </c>
      <c r="F74" s="1258">
        <f t="shared" si="0"/>
        <v>0</v>
      </c>
      <c r="G74" s="1258">
        <f t="shared" ref="G74:H78" si="1">C74*$E$69</f>
        <v>34.039732709888447</v>
      </c>
      <c r="H74" s="1258">
        <f t="shared" si="1"/>
        <v>0</v>
      </c>
      <c r="I74" s="1258">
        <f>E74*COS(RADIANS(ABS(BentSkew)))+F74*SIN(RADIANS(ABS(BentSkew)))</f>
        <v>62.406176634795493</v>
      </c>
      <c r="J74" s="1258">
        <f>E74*SIN(RADIANS(ABS(BentSkew)))+F74*COS(RADIANS(ABS(BentSkew)))</f>
        <v>0</v>
      </c>
      <c r="K74" s="1258">
        <f>G74*COS(RADIANS(ABS(BentSkew)))+H74*SIN(RADIANS(ABS(BentSkew)))</f>
        <v>34.039732709888447</v>
      </c>
      <c r="L74" s="1258">
        <f>G74*SIN(RADIANS(ABS(BentSkew)))+H74*COS(RADIANS(ABS(BentSkew)))</f>
        <v>0</v>
      </c>
      <c r="N74" s="338"/>
      <c r="O74" s="338"/>
      <c r="P74" s="338"/>
      <c r="Q74" s="338"/>
      <c r="R74" s="338"/>
      <c r="S74" s="1262"/>
      <c r="T74" s="338"/>
      <c r="U74" s="338"/>
    </row>
    <row r="75" spans="2:27" ht="15" customHeight="1">
      <c r="B75" s="1282" t="s">
        <v>1169</v>
      </c>
      <c r="C75" s="1238">
        <v>0.88</v>
      </c>
      <c r="D75" s="1238">
        <v>0.12</v>
      </c>
      <c r="E75" s="1258">
        <f t="shared" si="0"/>
        <v>54.917435438620032</v>
      </c>
      <c r="F75" s="1258">
        <f t="shared" si="0"/>
        <v>7.4887411961754591</v>
      </c>
      <c r="G75" s="1258">
        <f t="shared" si="1"/>
        <v>29.954964784701833</v>
      </c>
      <c r="H75" s="1258">
        <f t="shared" si="1"/>
        <v>4.0847679251866138</v>
      </c>
      <c r="I75" s="1258">
        <f>E75*COS(RADIANS(ABS(BentSkew)))+F75*SIN(RADIANS(ABS(BentSkew)))</f>
        <v>54.917435438620032</v>
      </c>
      <c r="J75" s="1258">
        <f>E75*SIN(RADIANS(ABS(BentSkew)))+F75*COS(RADIANS(ABS(BentSkew)))</f>
        <v>7.4887411961754591</v>
      </c>
      <c r="K75" s="1258">
        <f>G75*COS(RADIANS(ABS(BentSkew)))+H75*SIN(RADIANS(ABS(BentSkew)))</f>
        <v>29.954964784701833</v>
      </c>
      <c r="L75" s="1258">
        <f>G75*SIN(RADIANS(ABS(BentSkew)))+H75*COS(RADIANS(ABS(BentSkew)))</f>
        <v>4.0847679251866138</v>
      </c>
      <c r="O75" s="1241"/>
      <c r="P75"/>
      <c r="Q75"/>
    </row>
    <row r="76" spans="2:27" ht="15" customHeight="1">
      <c r="B76" s="1282" t="s">
        <v>1170</v>
      </c>
      <c r="C76" s="1238">
        <v>0.82</v>
      </c>
      <c r="D76" s="1238">
        <v>0.24</v>
      </c>
      <c r="E76" s="1258">
        <f t="shared" si="0"/>
        <v>51.173064840532298</v>
      </c>
      <c r="F76" s="1258">
        <f t="shared" si="0"/>
        <v>14.977482392350918</v>
      </c>
      <c r="G76" s="1258">
        <f t="shared" si="1"/>
        <v>27.912580822108524</v>
      </c>
      <c r="H76" s="1258">
        <f t="shared" si="1"/>
        <v>8.1695358503732276</v>
      </c>
      <c r="I76" s="1258">
        <f>E76*COS(RADIANS(ABS(BentSkew)))+F76*SIN(RADIANS(ABS(BentSkew)))</f>
        <v>51.173064840532298</v>
      </c>
      <c r="J76" s="1258">
        <f>E76*SIN(RADIANS(ABS(BentSkew)))+F76*COS(RADIANS(ABS(BentSkew)))</f>
        <v>14.977482392350918</v>
      </c>
      <c r="K76" s="1258">
        <f>G76*COS(RADIANS(ABS(BentSkew)))+H76*SIN(RADIANS(ABS(BentSkew)))</f>
        <v>27.912580822108524</v>
      </c>
      <c r="L76" s="1258">
        <f>G76*SIN(RADIANS(ABS(BentSkew)))+H76*COS(RADIANS(ABS(BentSkew)))</f>
        <v>8.1695358503732276</v>
      </c>
      <c r="O76" s="1259"/>
      <c r="P76" s="1251"/>
      <c r="Q76" s="1242"/>
      <c r="R76"/>
    </row>
    <row r="77" spans="2:27" ht="15" customHeight="1">
      <c r="B77" s="1282" t="s">
        <v>1171</v>
      </c>
      <c r="C77" s="1238">
        <v>0.66</v>
      </c>
      <c r="D77" s="1238">
        <v>0.32</v>
      </c>
      <c r="E77" s="1258">
        <f t="shared" si="0"/>
        <v>41.188076578965024</v>
      </c>
      <c r="F77" s="1258">
        <f t="shared" si="0"/>
        <v>19.969976523134559</v>
      </c>
      <c r="G77" s="1258">
        <f t="shared" si="1"/>
        <v>22.466223588526375</v>
      </c>
      <c r="H77" s="1258">
        <f t="shared" si="1"/>
        <v>10.892714467164303</v>
      </c>
      <c r="I77" s="1258">
        <f>E77*COS(RADIANS(ABS(BentSkew)))+F77*SIN(RADIANS(ABS(BentSkew)))</f>
        <v>41.188076578965024</v>
      </c>
      <c r="J77" s="1258">
        <f>E77*SIN(RADIANS(ABS(BentSkew)))+F77*COS(RADIANS(ABS(BentSkew)))</f>
        <v>19.969976523134559</v>
      </c>
      <c r="K77" s="1258">
        <f>G77*COS(RADIANS(ABS(BentSkew)))+H77*SIN(RADIANS(ABS(BentSkew)))</f>
        <v>22.466223588526375</v>
      </c>
      <c r="L77" s="1258">
        <f>G77*SIN(RADIANS(ABS(BentSkew)))+H77*COS(RADIANS(ABS(BentSkew)))</f>
        <v>10.892714467164303</v>
      </c>
      <c r="O77" s="1259"/>
      <c r="P77" s="1251"/>
      <c r="Q77" s="1242"/>
      <c r="T77"/>
    </row>
    <row r="78" spans="2:27" ht="15" customHeight="1">
      <c r="B78" s="1257" t="s">
        <v>1250</v>
      </c>
      <c r="C78" s="1238">
        <v>0.34</v>
      </c>
      <c r="D78" s="1238">
        <v>0.38</v>
      </c>
      <c r="E78" s="1258">
        <f t="shared" si="0"/>
        <v>21.218100055830469</v>
      </c>
      <c r="F78" s="1258">
        <f t="shared" si="0"/>
        <v>23.714347121222289</v>
      </c>
      <c r="G78" s="1258">
        <f t="shared" si="1"/>
        <v>11.573509121362074</v>
      </c>
      <c r="H78" s="1258">
        <f t="shared" si="1"/>
        <v>12.935098429757611</v>
      </c>
      <c r="I78" s="1258">
        <f>E78*COS(RADIANS(ABS(BentSkew)))+F78*SIN(RADIANS(ABS(BentSkew)))</f>
        <v>21.218100055830469</v>
      </c>
      <c r="J78" s="1258">
        <f>E78*SIN(RADIANS(ABS(BentSkew)))+F78*COS(RADIANS(ABS(BentSkew)))</f>
        <v>23.714347121222289</v>
      </c>
      <c r="K78" s="1258">
        <f>G78*COS(RADIANS(ABS(BentSkew)))+H78*SIN(RADIANS(ABS(BentSkew)))</f>
        <v>11.573509121362074</v>
      </c>
      <c r="L78" s="1258">
        <f>G78*SIN(RADIANS(ABS(BentSkew)))+H78*COS(RADIANS(ABS(BentSkew)))</f>
        <v>12.935098429757611</v>
      </c>
      <c r="O78" s="1259"/>
      <c r="P78" s="1252"/>
      <c r="Q78" s="1242"/>
      <c r="T78"/>
    </row>
    <row r="79" spans="2:27" ht="15" customHeight="1">
      <c r="B79" s="25"/>
      <c r="C79" s="33"/>
      <c r="D79" s="307"/>
      <c r="E79" s="307"/>
      <c r="F79" s="310"/>
      <c r="G79" s="310"/>
      <c r="H79" s="25"/>
      <c r="I79" s="307"/>
      <c r="J79" s="25"/>
      <c r="L79" s="971" t="s">
        <v>1255</v>
      </c>
      <c r="O79" s="1259"/>
      <c r="P79" s="1252"/>
      <c r="Q79" s="1242"/>
      <c r="T79"/>
    </row>
    <row r="80" spans="2:27" ht="15" customHeight="1">
      <c r="B80" s="25"/>
      <c r="C80" s="33"/>
      <c r="D80" s="307"/>
      <c r="E80" s="307"/>
      <c r="F80" s="310"/>
      <c r="G80" s="310"/>
      <c r="H80" s="25"/>
      <c r="I80" s="307"/>
      <c r="J80" s="25"/>
      <c r="L80" s="16" t="s">
        <v>478</v>
      </c>
      <c r="O80" s="1259"/>
      <c r="P80" s="1242"/>
      <c r="Q80" s="1242"/>
      <c r="T80"/>
    </row>
    <row r="81" spans="2:26" ht="15" customHeight="1">
      <c r="B81" s="25"/>
      <c r="C81" s="1281"/>
      <c r="D81" s="307"/>
      <c r="E81" s="307"/>
      <c r="F81" s="310"/>
      <c r="G81" s="310"/>
      <c r="H81" s="25"/>
      <c r="I81" s="307"/>
      <c r="J81" s="25"/>
      <c r="L81" s="16"/>
      <c r="O81" s="1259"/>
      <c r="P81" s="1242"/>
      <c r="Q81" s="1242"/>
      <c r="T81"/>
    </row>
    <row r="82" spans="2:26" ht="13.15" customHeight="1">
      <c r="B82" s="1219"/>
      <c r="C82" s="863" t="s">
        <v>1500</v>
      </c>
      <c r="D82" s="1219"/>
      <c r="E82" s="1219"/>
      <c r="F82" s="1219"/>
      <c r="G82" s="1219"/>
      <c r="H82" s="25"/>
      <c r="O82" s="1259"/>
      <c r="P82" s="1242"/>
      <c r="Q82" s="1242"/>
      <c r="T82"/>
    </row>
    <row r="83" spans="2:26" ht="13.15" customHeight="1">
      <c r="B83" s="1219"/>
      <c r="C83" s="863"/>
      <c r="D83" s="1219"/>
      <c r="E83" s="1219"/>
      <c r="F83" s="1219"/>
      <c r="G83" s="1219"/>
      <c r="H83" s="25"/>
      <c r="O83" s="1259"/>
      <c r="P83" s="1242"/>
      <c r="Q83" s="1242"/>
      <c r="T83"/>
    </row>
    <row r="84" spans="2:26">
      <c r="B84" s="25"/>
      <c r="C84" s="27"/>
      <c r="D84" s="311"/>
      <c r="E84" s="25"/>
      <c r="H84" s="36"/>
      <c r="I84" s="312"/>
      <c r="J84" s="44"/>
      <c r="O84" s="1239"/>
    </row>
    <row r="85" spans="2:26" ht="15.75">
      <c r="B85" s="25"/>
      <c r="C85" s="27"/>
      <c r="D85" s="1263" t="s">
        <v>1529</v>
      </c>
      <c r="E85" s="1320">
        <f>E58</f>
        <v>7.0708954671628063E-2</v>
      </c>
      <c r="F85" s="1262" t="s">
        <v>1175</v>
      </c>
      <c r="H85" s="36"/>
      <c r="I85" s="312"/>
      <c r="J85" s="44"/>
      <c r="O85" s="1239"/>
    </row>
    <row r="86" spans="2:26" ht="15" customHeight="1">
      <c r="B86" s="44"/>
      <c r="D86" s="16" t="s">
        <v>607</v>
      </c>
      <c r="E86" s="670">
        <f>IF(CapType="Rectangular",capheight*capstemWidth,IF(CapType="Tee",caparea,Geometry!K67*Geometry!K68))/144</f>
        <v>22.5</v>
      </c>
      <c r="F86" t="s">
        <v>231</v>
      </c>
      <c r="G86" s="34" t="str">
        <f>IF(CapType="Rectangular","{"&amp;capheight &amp; " in x "&amp;capstemWidth&amp;" in / (144 in²/ft²)}",IF(CapType="Tee","{"&amp;caparea &amp; " in / (144 in²/ft²)}","{"&amp;Geometry!K67&amp; " in x "&amp;Geometry!K68&amp;" in / (144 in²/ft²)}"&amp;"(for wind load, stem not included)"))</f>
        <v>{60 in x 54 in / (144 in²/ft²)}</v>
      </c>
    </row>
    <row r="87" spans="2:26" ht="16.5" customHeight="1">
      <c r="B87" s="44"/>
      <c r="D87" s="16" t="s">
        <v>608</v>
      </c>
      <c r="E87" s="670">
        <f>IF(CapType&lt;&gt;"Inverted-Tee",(capheight/12)*caplength,(Geometry!K67/12)*caplength)</f>
        <v>240</v>
      </c>
      <c r="F87" s="25" t="s">
        <v>231</v>
      </c>
      <c r="G87" s="313" t="str">
        <f>IF(CapType&lt;&gt;"Inverted-Tee","{"&amp;capheight &amp; " in / 12 in/ft x "&amp;FIXED(caplength,3)&amp;" ft}","{"&amp;Geometry!K67&amp; " in / 12in/ft x "&amp;FIXED(caplength,3)&amp;" ft}"&amp;"(for wind load, stem not included)")</f>
        <v>{60 in / 12 in/ft x 48.000 ft}</v>
      </c>
      <c r="H87" s="25"/>
      <c r="I87" s="61"/>
      <c r="O87" s="16"/>
      <c r="P87" s="29"/>
      <c r="Q87"/>
      <c r="R87"/>
      <c r="S87"/>
      <c r="T87"/>
      <c r="U87"/>
      <c r="V87"/>
      <c r="W87"/>
    </row>
    <row r="88" spans="2:26" ht="11.25" customHeight="1">
      <c r="B88" s="44"/>
      <c r="D88" s="16"/>
      <c r="E88" s="670"/>
      <c r="F88" s="25"/>
      <c r="G88" s="313"/>
      <c r="H88" s="25"/>
      <c r="I88" s="61"/>
      <c r="O88" s="16"/>
      <c r="P88" s="29"/>
      <c r="Q88"/>
      <c r="R88"/>
      <c r="S88"/>
      <c r="T88"/>
      <c r="U88"/>
      <c r="V88"/>
      <c r="W88"/>
    </row>
    <row r="89" spans="2:26" ht="15" customHeight="1">
      <c r="B89" s="44"/>
      <c r="C89" s="1700" t="s">
        <v>612</v>
      </c>
      <c r="D89" s="1701" t="s">
        <v>479</v>
      </c>
      <c r="E89" s="1701"/>
      <c r="F89" s="1700" t="s">
        <v>1503</v>
      </c>
      <c r="G89" s="1700"/>
      <c r="H89" s="25"/>
      <c r="I89" s="61"/>
      <c r="O89" s="16"/>
      <c r="P89" s="29"/>
      <c r="Q89"/>
      <c r="R89"/>
      <c r="S89"/>
      <c r="T89"/>
      <c r="U89"/>
      <c r="V89"/>
    </row>
    <row r="90" spans="2:26" ht="11.25" customHeight="1">
      <c r="B90" s="44"/>
      <c r="C90" s="1700"/>
      <c r="D90" s="1701"/>
      <c r="E90" s="1701"/>
      <c r="F90" s="1700"/>
      <c r="G90" s="1700"/>
      <c r="H90" s="1273"/>
      <c r="I90" s="1287"/>
      <c r="K90" s="1709" t="s">
        <v>1296</v>
      </c>
      <c r="L90" s="1709"/>
      <c r="O90" s="16"/>
      <c r="P90" s="29"/>
      <c r="Q90"/>
      <c r="R90"/>
      <c r="S90"/>
      <c r="T90"/>
      <c r="U90"/>
      <c r="V90"/>
    </row>
    <row r="91" spans="2:26" ht="24.75" customHeight="1">
      <c r="C91" s="1700"/>
      <c r="D91" s="1701"/>
      <c r="E91" s="1701"/>
      <c r="F91" s="1702" t="s">
        <v>1501</v>
      </c>
      <c r="G91" s="1690" t="s">
        <v>1502</v>
      </c>
      <c r="H91" s="1284"/>
      <c r="I91" s="1284"/>
      <c r="K91" s="1709"/>
      <c r="L91" s="1709"/>
      <c r="O91"/>
      <c r="P91"/>
      <c r="Q91"/>
      <c r="R91"/>
      <c r="S91"/>
      <c r="T91"/>
      <c r="U91"/>
      <c r="V91"/>
      <c r="W91"/>
    </row>
    <row r="92" spans="2:26" ht="15" customHeight="1">
      <c r="B92" s="1289"/>
      <c r="C92" s="1700"/>
      <c r="D92" s="1701"/>
      <c r="E92" s="1701"/>
      <c r="F92" s="1703"/>
      <c r="G92" s="1691"/>
      <c r="H92" s="1284"/>
      <c r="I92" s="1284"/>
      <c r="K92" s="1265" t="s">
        <v>412</v>
      </c>
      <c r="L92" s="1265" t="s">
        <v>411</v>
      </c>
      <c r="O92" s="1659"/>
      <c r="P92" s="1659"/>
      <c r="Q92" s="1659"/>
      <c r="R92" s="1659"/>
      <c r="S92" s="1659"/>
      <c r="T92" s="1659"/>
      <c r="U92" s="1659"/>
      <c r="V92" s="1659"/>
      <c r="W92" s="1659"/>
    </row>
    <row r="93" spans="2:26" ht="15" customHeight="1">
      <c r="B93" s="1179"/>
      <c r="C93" s="1255">
        <v>0</v>
      </c>
      <c r="D93" s="1692">
        <f>C93+ABS(BentSkew)</f>
        <v>0</v>
      </c>
      <c r="E93" s="1693"/>
      <c r="F93" s="1256">
        <f>$E$85*COS(D93*PI()/180)</f>
        <v>7.0708954671628063E-2</v>
      </c>
      <c r="G93" s="1256">
        <f>$E$85*SIN(D93*PI()/180)</f>
        <v>0</v>
      </c>
      <c r="H93" s="1261"/>
      <c r="I93" s="1261"/>
      <c r="K93" s="327">
        <f>F93*$E$86</f>
        <v>1.5909514801116313</v>
      </c>
      <c r="L93" s="327">
        <f>G93*$E$87</f>
        <v>0</v>
      </c>
      <c r="N93" s="402"/>
      <c r="O93" s="1659"/>
      <c r="P93" s="1659"/>
      <c r="Q93" s="1659"/>
      <c r="R93" s="1659"/>
      <c r="S93" s="1659"/>
      <c r="T93" s="1659"/>
      <c r="U93" s="1659"/>
      <c r="V93" s="1659"/>
      <c r="W93" s="1659"/>
    </row>
    <row r="94" spans="2:26" ht="15" customHeight="1">
      <c r="B94" s="44"/>
      <c r="C94" s="1255">
        <v>15</v>
      </c>
      <c r="D94" s="1692">
        <f>C94+ABS(BentSkew)</f>
        <v>15</v>
      </c>
      <c r="E94" s="1693"/>
      <c r="F94" s="1256">
        <f t="shared" ref="F94:F97" si="2">$E$85*COS(D94*PI()/180)</f>
        <v>6.8299605467228616E-2</v>
      </c>
      <c r="G94" s="1256">
        <f t="shared" ref="G94:G97" si="3">$E$85*SIN(D94*PI()/180)</f>
        <v>1.8300824128308198E-2</v>
      </c>
      <c r="H94" s="1261"/>
      <c r="I94" s="1261"/>
      <c r="K94" s="327">
        <f t="shared" ref="K94:K97" si="4">F94*$E$86</f>
        <v>1.5367411230126438</v>
      </c>
      <c r="L94" s="327">
        <f t="shared" ref="L94:L97" si="5">G94*$E$87</f>
        <v>4.3921977907939675</v>
      </c>
      <c r="N94" s="1293"/>
      <c r="O94" s="338"/>
      <c r="P94" s="338"/>
      <c r="Q94" s="338"/>
      <c r="R94" s="338"/>
      <c r="S94" s="338"/>
      <c r="T94" s="338"/>
      <c r="U94" s="338"/>
      <c r="V94" s="338"/>
      <c r="W94" s="338"/>
      <c r="X94" s="338"/>
      <c r="Y94" s="338"/>
      <c r="Z94" s="338"/>
    </row>
    <row r="95" spans="2:26" ht="15" customHeight="1">
      <c r="C95" s="1255">
        <v>30</v>
      </c>
      <c r="D95" s="1692">
        <f>C95+ABS(BentSkew)</f>
        <v>30</v>
      </c>
      <c r="E95" s="1693"/>
      <c r="F95" s="1256">
        <f t="shared" si="2"/>
        <v>6.1235751020672267E-2</v>
      </c>
      <c r="G95" s="1256">
        <f t="shared" si="3"/>
        <v>3.5354477335814025E-2</v>
      </c>
      <c r="H95" s="1261"/>
      <c r="I95" s="1261"/>
      <c r="K95" s="327">
        <f t="shared" si="4"/>
        <v>1.377804397965126</v>
      </c>
      <c r="L95" s="327">
        <f t="shared" si="5"/>
        <v>8.4850745605953666</v>
      </c>
      <c r="N95" s="1293"/>
      <c r="O95" s="1272"/>
      <c r="P95" s="338"/>
      <c r="Q95" s="338"/>
      <c r="R95" s="338"/>
      <c r="S95" s="338"/>
      <c r="T95" s="338"/>
      <c r="U95" s="338"/>
      <c r="V95" s="338"/>
      <c r="W95" s="338"/>
      <c r="X95" s="338"/>
      <c r="Y95" s="338"/>
      <c r="Z95" s="338"/>
    </row>
    <row r="96" spans="2:26" ht="15" customHeight="1">
      <c r="B96" s="1289"/>
      <c r="C96" s="1255">
        <v>45</v>
      </c>
      <c r="D96" s="1692">
        <f>C96+ABS(BentSkew)</f>
        <v>45</v>
      </c>
      <c r="E96" s="1693"/>
      <c r="F96" s="1256">
        <f t="shared" si="2"/>
        <v>4.9998781338920419E-2</v>
      </c>
      <c r="G96" s="1256">
        <f t="shared" si="3"/>
        <v>4.9998781338920405E-2</v>
      </c>
      <c r="H96" s="1261"/>
      <c r="I96" s="1261"/>
      <c r="K96" s="327">
        <f t="shared" si="4"/>
        <v>1.1249725801257093</v>
      </c>
      <c r="L96" s="327">
        <f t="shared" si="5"/>
        <v>11.999707521340897</v>
      </c>
      <c r="N96" s="1293"/>
      <c r="O96" s="338"/>
      <c r="P96" s="338"/>
      <c r="Q96" s="338"/>
      <c r="R96" s="338"/>
      <c r="S96" s="338"/>
      <c r="T96" s="338"/>
      <c r="U96" s="1223"/>
      <c r="V96" s="338"/>
      <c r="W96" s="338"/>
      <c r="X96" s="338"/>
      <c r="Y96" s="338"/>
      <c r="Z96" s="338"/>
    </row>
    <row r="97" spans="2:35" ht="15" customHeight="1">
      <c r="B97" s="1179"/>
      <c r="C97" s="1255">
        <v>60</v>
      </c>
      <c r="D97" s="1692">
        <f>C97+ABS(BentSkew)</f>
        <v>60</v>
      </c>
      <c r="E97" s="1693"/>
      <c r="F97" s="1256">
        <f t="shared" si="2"/>
        <v>3.5354477335814039E-2</v>
      </c>
      <c r="G97" s="1256">
        <f t="shared" si="3"/>
        <v>6.1235751020672261E-2</v>
      </c>
      <c r="H97" s="1261"/>
      <c r="I97" s="1261"/>
      <c r="K97" s="327">
        <f t="shared" si="4"/>
        <v>0.79547574005581589</v>
      </c>
      <c r="L97" s="327">
        <f t="shared" si="5"/>
        <v>14.696580244961343</v>
      </c>
      <c r="N97" s="1293"/>
      <c r="O97" s="1294"/>
      <c r="P97" s="18"/>
      <c r="Q97" s="18"/>
      <c r="R97" s="18"/>
      <c r="S97" s="18"/>
      <c r="T97" s="18"/>
      <c r="U97" s="338"/>
      <c r="V97" s="1262"/>
      <c r="W97" s="18"/>
      <c r="X97" s="338"/>
      <c r="Y97" s="338"/>
      <c r="Z97" s="338"/>
    </row>
    <row r="98" spans="2:35" ht="15" customHeight="1">
      <c r="B98" s="25"/>
      <c r="C98" s="33"/>
      <c r="D98" s="314"/>
      <c r="E98" s="314"/>
      <c r="F98" s="314"/>
      <c r="G98" s="314"/>
      <c r="H98" s="308"/>
      <c r="I98" s="25"/>
      <c r="J98" s="269"/>
      <c r="K98" s="269"/>
      <c r="L98" s="971" t="s">
        <v>1255</v>
      </c>
      <c r="N98" s="338"/>
      <c r="O98" s="18"/>
      <c r="P98" s="18"/>
      <c r="Q98" s="18"/>
      <c r="R98" s="18"/>
      <c r="S98" s="18"/>
      <c r="T98" s="18"/>
      <c r="U98" s="18"/>
      <c r="V98" s="18"/>
      <c r="W98" s="18"/>
      <c r="X98" s="338"/>
      <c r="Y98" s="338"/>
      <c r="Z98" s="338"/>
    </row>
    <row r="99" spans="2:35" ht="15" customHeight="1">
      <c r="B99" s="1219"/>
      <c r="C99" s="863" t="s">
        <v>1504</v>
      </c>
      <c r="D99" s="1219"/>
      <c r="E99" s="1219"/>
      <c r="F99" s="1219"/>
      <c r="G99" s="1219"/>
      <c r="H99" s="308"/>
      <c r="I99" s="25"/>
      <c r="J99" s="269"/>
      <c r="K99" s="269"/>
      <c r="N99" s="338"/>
      <c r="O99" s="1720"/>
      <c r="P99" s="1720"/>
      <c r="Q99" s="1720"/>
      <c r="R99" s="1613"/>
      <c r="S99" s="1613"/>
      <c r="T99" s="1613"/>
      <c r="U99" s="1613"/>
      <c r="V99" s="1613"/>
      <c r="W99" s="1613"/>
      <c r="X99" s="1613"/>
      <c r="Y99" s="1613"/>
      <c r="Z99" s="18"/>
      <c r="AA99"/>
      <c r="AB99"/>
      <c r="AC99"/>
      <c r="AD99"/>
      <c r="AE99"/>
      <c r="AF99"/>
      <c r="AG99"/>
      <c r="AH99"/>
      <c r="AI99"/>
    </row>
    <row r="100" spans="2:35" ht="15" customHeight="1">
      <c r="B100" s="1219"/>
      <c r="C100" s="863"/>
      <c r="D100" s="1219"/>
      <c r="E100" s="1219"/>
      <c r="F100" s="1219"/>
      <c r="G100" s="1219"/>
      <c r="H100" s="308"/>
      <c r="I100" s="25"/>
      <c r="J100" s="269"/>
      <c r="K100" s="269"/>
      <c r="N100" s="338"/>
      <c r="O100" s="1331"/>
      <c r="P100" s="1331"/>
      <c r="Q100" s="1331"/>
      <c r="R100" s="1330"/>
      <c r="S100" s="1330"/>
      <c r="T100" s="1330"/>
      <c r="U100" s="1330"/>
      <c r="V100" s="1330"/>
      <c r="W100" s="1330"/>
      <c r="X100" s="1330"/>
      <c r="Y100" s="1330"/>
      <c r="Z100" s="18"/>
      <c r="AA100"/>
      <c r="AB100"/>
      <c r="AC100"/>
      <c r="AD100"/>
      <c r="AE100"/>
      <c r="AF100"/>
      <c r="AG100"/>
      <c r="AH100"/>
      <c r="AI100"/>
    </row>
    <row r="101" spans="2:35" ht="15" customHeight="1">
      <c r="B101" s="1219"/>
      <c r="C101" s="863" t="str">
        <f>IF(NoSupports=2,"Left Column:","")</f>
        <v/>
      </c>
      <c r="D101" s="1219"/>
      <c r="E101" s="1219"/>
      <c r="F101" s="1219"/>
      <c r="G101" s="1219"/>
      <c r="H101" s="308"/>
      <c r="I101" s="25"/>
      <c r="J101" s="269"/>
      <c r="K101" s="269"/>
      <c r="N101" s="338"/>
      <c r="O101" s="1327"/>
      <c r="P101" s="1327"/>
      <c r="Q101" s="1327"/>
      <c r="R101" s="1326"/>
      <c r="S101" s="1326"/>
      <c r="T101" s="1326"/>
      <c r="U101" s="1326"/>
      <c r="V101" s="1326"/>
      <c r="W101" s="1326"/>
      <c r="X101" s="1326"/>
      <c r="Y101" s="1326"/>
      <c r="Z101" s="18"/>
      <c r="AA101"/>
      <c r="AB101"/>
      <c r="AC101"/>
      <c r="AD101"/>
      <c r="AE101"/>
      <c r="AF101"/>
      <c r="AG101"/>
      <c r="AH101"/>
      <c r="AI101"/>
    </row>
    <row r="102" spans="2:35" ht="15" customHeight="1">
      <c r="B102" s="25"/>
      <c r="C102" s="27"/>
      <c r="D102" s="1263" t="s">
        <v>1529</v>
      </c>
      <c r="E102" s="1320">
        <f>E58</f>
        <v>7.0708954671628063E-2</v>
      </c>
      <c r="F102" s="1262" t="s">
        <v>1175</v>
      </c>
      <c r="G102" s="1111"/>
      <c r="H102" s="308"/>
      <c r="I102" s="25"/>
      <c r="J102" s="269"/>
      <c r="K102" s="269"/>
      <c r="N102" s="338"/>
      <c r="O102" s="1317"/>
      <c r="P102" s="1295"/>
      <c r="Q102" s="1295"/>
      <c r="R102" s="1296"/>
      <c r="S102" s="1296"/>
      <c r="T102" s="1296"/>
      <c r="U102" s="1296"/>
      <c r="V102" s="1296"/>
      <c r="W102" s="1296"/>
      <c r="X102" s="1296"/>
      <c r="Y102" s="1296"/>
      <c r="Z102" s="18"/>
      <c r="AA102"/>
      <c r="AB102"/>
      <c r="AC102"/>
      <c r="AD102"/>
      <c r="AE102"/>
      <c r="AF102"/>
      <c r="AG102"/>
      <c r="AH102"/>
      <c r="AI102"/>
    </row>
    <row r="103" spans="2:35" ht="15" customHeight="1">
      <c r="B103" s="25"/>
      <c r="D103" s="1259" t="s">
        <v>1446</v>
      </c>
      <c r="E103" s="1242">
        <f>ColHeightI</f>
        <v>20</v>
      </c>
      <c r="F103" s="1322" t="s">
        <v>156</v>
      </c>
      <c r="H103" s="308"/>
      <c r="I103" s="25"/>
      <c r="J103" s="269"/>
      <c r="K103" s="269"/>
      <c r="N103" s="338"/>
      <c r="O103" s="305"/>
      <c r="P103" s="1275"/>
      <c r="Q103" s="1275"/>
      <c r="R103" s="1296"/>
      <c r="S103" s="1296"/>
      <c r="T103" s="1296"/>
      <c r="U103" s="1296"/>
      <c r="V103" s="1296"/>
      <c r="W103" s="1296"/>
      <c r="X103" s="1296"/>
      <c r="Y103" s="1296"/>
      <c r="Z103" s="18"/>
      <c r="AA103"/>
      <c r="AB103"/>
      <c r="AC103"/>
      <c r="AD103"/>
      <c r="AE103"/>
      <c r="AF103"/>
      <c r="AG103"/>
      <c r="AH103"/>
      <c r="AI103"/>
    </row>
    <row r="104" spans="2:35" ht="15" customHeight="1">
      <c r="B104" s="25"/>
      <c r="D104" s="1321" t="s">
        <v>1508</v>
      </c>
      <c r="E104" s="1242">
        <f>E103/2</f>
        <v>10</v>
      </c>
      <c r="F104" s="1322" t="s">
        <v>156</v>
      </c>
      <c r="G104" s="1254" t="str">
        <f>"{"&amp;E103&amp;" ft / 2}"</f>
        <v>{20 ft / 2}</v>
      </c>
      <c r="H104" s="308"/>
      <c r="I104" s="25"/>
      <c r="J104" s="269"/>
      <c r="K104" s="269"/>
      <c r="N104" s="338"/>
      <c r="O104" s="1318"/>
      <c r="P104" s="1275"/>
      <c r="Q104" s="1275"/>
      <c r="R104" s="1296"/>
      <c r="S104" s="1296"/>
      <c r="T104" s="1296"/>
      <c r="U104" s="1296"/>
      <c r="V104" s="1296"/>
      <c r="W104" s="1296"/>
      <c r="X104" s="1296"/>
      <c r="Y104" s="1296"/>
      <c r="Z104" s="18"/>
      <c r="AA104"/>
      <c r="AB104"/>
      <c r="AC104"/>
      <c r="AD104"/>
      <c r="AE104"/>
      <c r="AF104"/>
      <c r="AG104"/>
      <c r="AH104"/>
      <c r="AI104"/>
    </row>
    <row r="105" spans="2:35" ht="15" customHeight="1">
      <c r="B105" s="25"/>
      <c r="D105" s="1321" t="s">
        <v>1509</v>
      </c>
      <c r="E105" s="1325">
        <f>IF(ColType="Circular",coltranswidth/12,IF(AestheticCol=FALSE,collongwidth/12,VLOOKUP(ColType,AesthColDB,5,FALSE)/12))</f>
        <v>4</v>
      </c>
      <c r="F105" s="1322" t="s">
        <v>156</v>
      </c>
      <c r="I105" s="1323" t="s">
        <v>1511</v>
      </c>
      <c r="J105" s="268">
        <f>E103*E105</f>
        <v>80</v>
      </c>
      <c r="K105" s="1324" t="s">
        <v>231</v>
      </c>
      <c r="L105" s="34" t="str">
        <f>"{"&amp;FIXED(E103)&amp;"*"&amp;FIXED(E105)&amp;"}"</f>
        <v>{20.00*4.00}</v>
      </c>
      <c r="N105" s="338"/>
      <c r="O105" s="305"/>
      <c r="P105" s="1275"/>
      <c r="Q105" s="1275"/>
      <c r="R105" s="1296"/>
      <c r="S105" s="1296"/>
      <c r="T105" s="1296"/>
      <c r="U105" s="1296"/>
      <c r="V105" s="1296"/>
      <c r="W105" s="1296"/>
      <c r="X105" s="1296"/>
      <c r="Y105" s="1296"/>
      <c r="Z105" s="18"/>
      <c r="AA105"/>
      <c r="AB105"/>
      <c r="AC105"/>
      <c r="AD105"/>
      <c r="AE105"/>
      <c r="AF105"/>
      <c r="AG105"/>
      <c r="AH105"/>
      <c r="AI105"/>
    </row>
    <row r="106" spans="2:35" ht="15" customHeight="1">
      <c r="B106" s="25"/>
      <c r="D106" s="1321" t="s">
        <v>1510</v>
      </c>
      <c r="E106" s="1325">
        <f>IF(AestheticCol=FALSE,coltranswidth/12,VLOOKUP(ColType,AesthColDB,4,FALSE)/12)</f>
        <v>6</v>
      </c>
      <c r="F106" s="1322" t="s">
        <v>156</v>
      </c>
      <c r="I106" s="1323" t="s">
        <v>1512</v>
      </c>
      <c r="J106" s="268">
        <f>E103*E106</f>
        <v>120</v>
      </c>
      <c r="K106" s="1324" t="s">
        <v>231</v>
      </c>
      <c r="L106" s="34" t="str">
        <f>"{"&amp;FIXED(E103)&amp;"*"&amp;FIXED(E106)&amp;"}"</f>
        <v>{20.00*6.00}</v>
      </c>
      <c r="N106" s="338"/>
      <c r="O106" s="1318"/>
      <c r="P106" s="1275"/>
      <c r="Q106" s="1275"/>
      <c r="R106" s="1296"/>
      <c r="S106" s="1296"/>
      <c r="T106" s="1296"/>
      <c r="U106" s="1296"/>
      <c r="V106" s="1296"/>
      <c r="W106" s="1296"/>
      <c r="X106" s="1296"/>
      <c r="Y106" s="1296"/>
      <c r="Z106" s="18"/>
      <c r="AA106"/>
      <c r="AB106"/>
      <c r="AC106"/>
      <c r="AD106"/>
      <c r="AE106"/>
      <c r="AF106"/>
      <c r="AG106"/>
      <c r="AH106"/>
      <c r="AI106"/>
    </row>
    <row r="107" spans="2:35" ht="8.25" customHeight="1">
      <c r="B107" s="25"/>
      <c r="D107" s="1259"/>
      <c r="E107" s="1242"/>
      <c r="F107" s="1242"/>
      <c r="H107" s="308"/>
      <c r="I107" s="25"/>
      <c r="J107" s="269"/>
      <c r="K107" s="269"/>
      <c r="N107" s="338"/>
      <c r="O107" s="1318"/>
      <c r="P107" s="1275"/>
      <c r="Q107" s="1275"/>
      <c r="R107" s="1296"/>
      <c r="S107" s="1296"/>
      <c r="T107" s="1296"/>
      <c r="U107" s="1296"/>
      <c r="V107" s="1296"/>
      <c r="W107" s="1296"/>
      <c r="X107" s="1296"/>
      <c r="Y107" s="1296"/>
      <c r="Z107" s="18"/>
      <c r="AA107"/>
      <c r="AB107"/>
      <c r="AC107"/>
      <c r="AD107"/>
      <c r="AE107"/>
      <c r="AF107"/>
      <c r="AG107"/>
      <c r="AH107"/>
      <c r="AI107"/>
    </row>
    <row r="108" spans="2:35" ht="22.5" customHeight="1">
      <c r="B108" s="25"/>
      <c r="C108" s="1700" t="s">
        <v>612</v>
      </c>
      <c r="D108" s="1701" t="s">
        <v>479</v>
      </c>
      <c r="E108" s="1701"/>
      <c r="F108" s="1700" t="s">
        <v>1505</v>
      </c>
      <c r="G108" s="1700"/>
      <c r="H108" s="308"/>
      <c r="I108" s="25"/>
      <c r="J108" s="269"/>
      <c r="K108" s="269"/>
      <c r="N108" s="338"/>
      <c r="O108" s="1318"/>
      <c r="P108" s="1275"/>
      <c r="Q108" s="1275"/>
      <c r="R108" s="1296"/>
      <c r="S108" s="1296"/>
      <c r="T108" s="1296"/>
      <c r="U108" s="1296"/>
      <c r="V108" s="1296"/>
      <c r="W108" s="1296"/>
      <c r="X108" s="1296"/>
      <c r="Y108" s="1296"/>
      <c r="Z108" s="18"/>
      <c r="AA108"/>
      <c r="AB108"/>
      <c r="AC108"/>
      <c r="AD108"/>
      <c r="AE108"/>
      <c r="AF108"/>
      <c r="AG108"/>
      <c r="AH108"/>
      <c r="AI108"/>
    </row>
    <row r="109" spans="2:35" ht="15" customHeight="1">
      <c r="B109" s="25"/>
      <c r="C109" s="1700"/>
      <c r="D109" s="1701"/>
      <c r="E109" s="1701"/>
      <c r="F109" s="1700"/>
      <c r="G109" s="1700"/>
      <c r="H109" s="1292"/>
      <c r="I109" s="1287"/>
      <c r="K109" s="1709" t="s">
        <v>1297</v>
      </c>
      <c r="L109" s="1709"/>
      <c r="N109" s="338"/>
      <c r="O109" s="1284"/>
      <c r="P109" s="1275"/>
      <c r="Q109" s="1275"/>
      <c r="R109" s="1296"/>
      <c r="S109" s="1296"/>
      <c r="T109" s="1296"/>
      <c r="U109" s="1296"/>
      <c r="V109" s="1296"/>
      <c r="W109" s="1296"/>
      <c r="X109" s="1296"/>
      <c r="Y109" s="1296"/>
      <c r="Z109" s="18"/>
      <c r="AA109"/>
      <c r="AB109"/>
      <c r="AC109"/>
      <c r="AD109"/>
      <c r="AE109"/>
      <c r="AF109"/>
      <c r="AG109"/>
      <c r="AH109"/>
      <c r="AI109"/>
    </row>
    <row r="110" spans="2:35" ht="26.25" customHeight="1">
      <c r="B110" s="25"/>
      <c r="C110" s="1700"/>
      <c r="D110" s="1701"/>
      <c r="E110" s="1701"/>
      <c r="F110" s="1702" t="s">
        <v>1506</v>
      </c>
      <c r="G110" s="1690" t="s">
        <v>1507</v>
      </c>
      <c r="H110" s="1284"/>
      <c r="I110" s="1284"/>
      <c r="K110" s="1709"/>
      <c r="L110" s="1709"/>
      <c r="N110" s="338"/>
      <c r="O110" s="1278"/>
      <c r="P110" s="338"/>
      <c r="Q110" s="338"/>
      <c r="R110" s="338"/>
      <c r="S110" s="338"/>
      <c r="T110" s="338"/>
      <c r="U110" s="338"/>
      <c r="V110" s="338"/>
      <c r="W110" s="338"/>
      <c r="X110" s="338"/>
      <c r="Y110" s="338"/>
      <c r="Z110" s="18"/>
      <c r="AA110"/>
      <c r="AB110"/>
      <c r="AC110"/>
      <c r="AD110"/>
      <c r="AE110"/>
      <c r="AF110"/>
      <c r="AG110"/>
      <c r="AH110"/>
      <c r="AI110"/>
    </row>
    <row r="111" spans="2:35" ht="13.5" customHeight="1">
      <c r="B111" s="25"/>
      <c r="C111" s="1700"/>
      <c r="D111" s="1701"/>
      <c r="E111" s="1701"/>
      <c r="F111" s="1703"/>
      <c r="G111" s="1691"/>
      <c r="H111" s="1284"/>
      <c r="I111" s="1284"/>
      <c r="K111" s="1265" t="s">
        <v>412</v>
      </c>
      <c r="L111" s="1265" t="s">
        <v>411</v>
      </c>
      <c r="N111" s="338"/>
      <c r="O111" s="1278"/>
      <c r="P111" s="338"/>
      <c r="Q111" s="338"/>
      <c r="R111" s="338"/>
      <c r="S111" s="338"/>
      <c r="T111" s="338"/>
      <c r="U111" s="338"/>
      <c r="V111" s="338"/>
      <c r="W111" s="338"/>
      <c r="X111" s="338"/>
      <c r="Y111" s="338"/>
      <c r="Z111" s="18"/>
      <c r="AA111"/>
      <c r="AB111"/>
      <c r="AC111"/>
    </row>
    <row r="112" spans="2:35" ht="15" customHeight="1">
      <c r="B112" s="25"/>
      <c r="C112" s="1255">
        <v>0</v>
      </c>
      <c r="D112" s="1692">
        <f>C112+ABS(BentSkew)</f>
        <v>0</v>
      </c>
      <c r="E112" s="1693"/>
      <c r="F112" s="1256">
        <f>$E$102*COS(D112*PI()/180)</f>
        <v>7.0708954671628063E-2</v>
      </c>
      <c r="G112" s="1256">
        <f>$E$102*SIN(D112*PI()/180)</f>
        <v>0</v>
      </c>
      <c r="H112" s="1261"/>
      <c r="I112" s="1261"/>
      <c r="K112" s="1290">
        <f>F112*$J$105</f>
        <v>5.6567163737302453</v>
      </c>
      <c r="L112" s="1291">
        <f>G112*$J$106</f>
        <v>0</v>
      </c>
      <c r="N112" s="338"/>
      <c r="O112" s="1272"/>
      <c r="P112" s="18"/>
      <c r="Q112" s="18"/>
      <c r="R112" s="18"/>
      <c r="S112" s="18"/>
      <c r="T112" s="18"/>
      <c r="U112" s="18"/>
      <c r="V112" s="18"/>
      <c r="W112" s="18"/>
      <c r="X112" s="338"/>
      <c r="Y112" s="338"/>
      <c r="Z112" s="338"/>
    </row>
    <row r="113" spans="1:26" ht="15" customHeight="1">
      <c r="B113" s="25"/>
      <c r="C113" s="1255">
        <v>15</v>
      </c>
      <c r="D113" s="1692">
        <f>C113+ABS(BentSkew)</f>
        <v>15</v>
      </c>
      <c r="E113" s="1693"/>
      <c r="F113" s="1256">
        <f t="shared" ref="F113:F116" si="6">$E$102*COS(D113*PI()/180)</f>
        <v>6.8299605467228616E-2</v>
      </c>
      <c r="G113" s="1256">
        <f t="shared" ref="G113:G116" si="7">$E$102*SIN(D113*PI()/180)</f>
        <v>1.8300824128308198E-2</v>
      </c>
      <c r="H113" s="1261"/>
      <c r="I113" s="1261"/>
      <c r="K113" s="1290">
        <f t="shared" ref="K113:K116" si="8">F113*$J$105</f>
        <v>5.4639684373782895</v>
      </c>
      <c r="L113" s="1291">
        <f t="shared" ref="L113:L116" si="9">G113*$J$106</f>
        <v>2.1960988953969838</v>
      </c>
      <c r="N113" s="338"/>
      <c r="O113" s="1219"/>
      <c r="P113" s="18"/>
      <c r="Q113" s="18"/>
      <c r="R113" s="18"/>
      <c r="S113" s="18"/>
      <c r="T113" s="18"/>
      <c r="U113" s="18"/>
      <c r="V113" s="18"/>
      <c r="W113" s="18"/>
      <c r="X113" s="338"/>
      <c r="Y113" s="338"/>
      <c r="Z113" s="338"/>
    </row>
    <row r="114" spans="1:26" ht="15" customHeight="1">
      <c r="B114" s="25"/>
      <c r="C114" s="1255">
        <v>30</v>
      </c>
      <c r="D114" s="1692">
        <f>C114+ABS(BentSkew)</f>
        <v>30</v>
      </c>
      <c r="E114" s="1693"/>
      <c r="F114" s="1256">
        <f t="shared" si="6"/>
        <v>6.1235751020672267E-2</v>
      </c>
      <c r="G114" s="1256">
        <f t="shared" si="7"/>
        <v>3.5354477335814025E-2</v>
      </c>
      <c r="H114" s="1261"/>
      <c r="I114" s="1261"/>
      <c r="K114" s="1290">
        <f t="shared" si="8"/>
        <v>4.8988600816537815</v>
      </c>
      <c r="L114" s="1291">
        <f t="shared" si="9"/>
        <v>4.2425372802976833</v>
      </c>
      <c r="N114" s="338"/>
      <c r="O114" s="1721"/>
      <c r="P114" s="1721"/>
      <c r="Q114" s="1721"/>
      <c r="R114" s="1721"/>
      <c r="S114" s="1721"/>
      <c r="T114" s="1721"/>
      <c r="U114" s="1721"/>
      <c r="V114" s="1721"/>
      <c r="W114" s="1721"/>
      <c r="X114" s="338"/>
      <c r="Y114" s="338"/>
      <c r="Z114" s="338"/>
    </row>
    <row r="115" spans="1:26" ht="15" customHeight="1">
      <c r="B115" s="25"/>
      <c r="C115" s="1255">
        <v>45</v>
      </c>
      <c r="D115" s="1692">
        <f>C115+ABS(BentSkew)</f>
        <v>45</v>
      </c>
      <c r="E115" s="1693"/>
      <c r="F115" s="1256">
        <f t="shared" si="6"/>
        <v>4.9998781338920419E-2</v>
      </c>
      <c r="G115" s="1256">
        <f t="shared" si="7"/>
        <v>4.9998781338920405E-2</v>
      </c>
      <c r="H115" s="1261"/>
      <c r="I115" s="1261"/>
      <c r="K115" s="1290">
        <f t="shared" si="8"/>
        <v>3.9999025071136334</v>
      </c>
      <c r="L115" s="1291">
        <f t="shared" si="9"/>
        <v>5.9998537606704483</v>
      </c>
      <c r="N115" s="338"/>
      <c r="O115" s="1721"/>
      <c r="P115" s="1721"/>
      <c r="Q115" s="1721"/>
      <c r="R115" s="1721"/>
      <c r="S115" s="1721"/>
      <c r="T115" s="1721"/>
      <c r="U115" s="1721"/>
      <c r="V115" s="1721"/>
      <c r="W115" s="1721"/>
      <c r="X115" s="338"/>
      <c r="Y115" s="338"/>
      <c r="Z115" s="338"/>
    </row>
    <row r="116" spans="1:26" ht="15" customHeight="1">
      <c r="B116" s="25"/>
      <c r="C116" s="1255">
        <v>60</v>
      </c>
      <c r="D116" s="1692">
        <f>C116+ABS(BentSkew)</f>
        <v>60</v>
      </c>
      <c r="E116" s="1693"/>
      <c r="F116" s="1256">
        <f t="shared" si="6"/>
        <v>3.5354477335814039E-2</v>
      </c>
      <c r="G116" s="1256">
        <f t="shared" si="7"/>
        <v>6.1235751020672261E-2</v>
      </c>
      <c r="H116" s="1261"/>
      <c r="I116" s="1261"/>
      <c r="K116" s="1290">
        <f t="shared" si="8"/>
        <v>2.8283581868651231</v>
      </c>
      <c r="L116" s="1291">
        <f t="shared" si="9"/>
        <v>7.3482901224806714</v>
      </c>
      <c r="N116" s="338"/>
      <c r="O116" s="40"/>
      <c r="P116" s="791"/>
      <c r="Q116" s="18"/>
      <c r="R116" s="1297"/>
      <c r="S116" s="18"/>
      <c r="T116" s="18"/>
      <c r="U116" s="18"/>
      <c r="V116" s="18"/>
      <c r="W116" s="338"/>
      <c r="X116" s="338"/>
      <c r="Y116" s="18"/>
      <c r="Z116" s="338"/>
    </row>
    <row r="117" spans="1:26" ht="12.75" hidden="1" customHeight="1">
      <c r="B117" s="25"/>
      <c r="L117" s="971" t="s">
        <v>1461</v>
      </c>
      <c r="N117" s="338"/>
      <c r="O117" s="40"/>
      <c r="P117" s="791"/>
      <c r="Q117" s="61"/>
      <c r="R117" s="1298"/>
      <c r="S117" s="61"/>
      <c r="T117" s="61"/>
      <c r="U117" s="18"/>
      <c r="V117" s="18"/>
      <c r="W117" s="338"/>
      <c r="X117" s="338"/>
      <c r="Y117" s="18"/>
      <c r="Z117" s="338"/>
    </row>
    <row r="118" spans="1:26" ht="12.75" hidden="1" customHeight="1">
      <c r="B118" s="25"/>
      <c r="N118" s="338"/>
      <c r="O118" s="140"/>
      <c r="P118" s="140"/>
      <c r="Q118" s="140"/>
      <c r="R118" s="140"/>
      <c r="S118" s="140"/>
      <c r="T118" s="140"/>
      <c r="U118" s="140"/>
      <c r="V118" s="140"/>
      <c r="W118" s="140"/>
      <c r="X118" s="1299"/>
      <c r="Y118" s="338"/>
      <c r="Z118" s="338"/>
    </row>
    <row r="119" spans="1:26" ht="12.75" hidden="1" customHeight="1">
      <c r="A119" s="358" t="str">
        <f t="shared" ref="A119:A136" si="10">IF(NoSupports&lt;&gt;2,"*","")</f>
        <v>*</v>
      </c>
      <c r="B119" s="25"/>
      <c r="C119" s="880" t="s">
        <v>1462</v>
      </c>
      <c r="E119" s="27"/>
      <c r="F119" s="311"/>
      <c r="G119" s="1111"/>
      <c r="H119" s="308"/>
      <c r="I119" s="25"/>
      <c r="J119" s="269"/>
      <c r="K119" s="269"/>
      <c r="N119" s="338"/>
      <c r="O119" s="140"/>
      <c r="P119" s="140"/>
      <c r="Q119" s="140"/>
      <c r="R119" s="140"/>
      <c r="S119" s="140"/>
      <c r="T119" s="140"/>
      <c r="U119" s="140"/>
      <c r="V119" s="140"/>
      <c r="W119" s="140"/>
      <c r="X119" s="1299"/>
      <c r="Y119" s="338"/>
      <c r="Z119" s="338"/>
    </row>
    <row r="120" spans="1:26" ht="12.75" hidden="1" customHeight="1">
      <c r="A120" s="358" t="str">
        <f t="shared" si="10"/>
        <v>*</v>
      </c>
      <c r="B120" s="25"/>
      <c r="C120" s="27"/>
      <c r="D120" s="311"/>
      <c r="E120" s="40"/>
      <c r="F120" s="29"/>
      <c r="G120" s="1111"/>
      <c r="H120" s="308"/>
      <c r="I120" s="25"/>
      <c r="J120" s="269"/>
      <c r="K120" s="269"/>
      <c r="N120" s="338"/>
      <c r="O120" s="140"/>
      <c r="P120" s="140"/>
      <c r="Q120" s="140"/>
      <c r="R120" s="140"/>
      <c r="S120" s="140"/>
      <c r="T120" s="140"/>
      <c r="U120" s="140"/>
      <c r="V120" s="140"/>
      <c r="W120" s="140"/>
      <c r="X120" s="1299"/>
      <c r="Y120" s="338"/>
      <c r="Z120" s="338"/>
    </row>
    <row r="121" spans="1:26" ht="15" hidden="1" customHeight="1">
      <c r="A121" s="358" t="str">
        <f t="shared" si="10"/>
        <v>*</v>
      </c>
      <c r="B121" s="25"/>
      <c r="C121" s="27"/>
      <c r="D121" s="1263" t="s">
        <v>1529</v>
      </c>
      <c r="E121" s="1320">
        <f>E58</f>
        <v>7.0708954671628063E-2</v>
      </c>
      <c r="F121" s="1262" t="s">
        <v>1175</v>
      </c>
      <c r="G121" s="1111"/>
      <c r="H121" s="308"/>
      <c r="I121" s="25"/>
      <c r="J121" s="269"/>
      <c r="K121" s="269"/>
      <c r="N121" s="338"/>
      <c r="O121" s="1319"/>
      <c r="P121" s="1319"/>
      <c r="Q121" s="1319"/>
      <c r="R121" s="1319"/>
      <c r="S121" s="1319"/>
      <c r="T121" s="1319"/>
      <c r="U121" s="1319"/>
      <c r="V121" s="1319"/>
      <c r="W121" s="1319"/>
      <c r="X121" s="1299"/>
      <c r="Y121" s="338"/>
      <c r="Z121" s="338"/>
    </row>
    <row r="122" spans="1:26" ht="12.75" hidden="1" customHeight="1">
      <c r="A122" s="358" t="str">
        <f t="shared" si="10"/>
        <v>*</v>
      </c>
      <c r="B122" s="25"/>
      <c r="C122" s="27"/>
      <c r="D122" s="1259" t="s">
        <v>1446</v>
      </c>
      <c r="E122" s="1242">
        <f>ColHeightII</f>
        <v>0</v>
      </c>
      <c r="F122" s="1322" t="s">
        <v>156</v>
      </c>
      <c r="H122" s="308"/>
      <c r="I122" s="25"/>
      <c r="J122" s="269"/>
      <c r="K122" s="269"/>
      <c r="N122" s="338"/>
      <c r="O122" s="1319"/>
      <c r="P122" s="1319"/>
      <c r="Q122" s="1319"/>
      <c r="R122" s="1319"/>
      <c r="S122" s="1319"/>
      <c r="T122" s="1319"/>
      <c r="U122" s="1319"/>
      <c r="V122" s="1319"/>
      <c r="W122" s="1319"/>
      <c r="X122" s="1299"/>
      <c r="Y122" s="338"/>
      <c r="Z122" s="338"/>
    </row>
    <row r="123" spans="1:26" ht="12.75" hidden="1" customHeight="1">
      <c r="A123" s="358" t="str">
        <f t="shared" si="10"/>
        <v>*</v>
      </c>
      <c r="B123" s="25"/>
      <c r="C123" s="27"/>
      <c r="D123" s="1321" t="s">
        <v>1508</v>
      </c>
      <c r="E123" s="1242">
        <f>E122/2</f>
        <v>0</v>
      </c>
      <c r="F123" s="1322" t="s">
        <v>156</v>
      </c>
      <c r="G123" s="1254" t="str">
        <f>"{"&amp;E122&amp;" ft / 2}"</f>
        <v>{0 ft / 2}</v>
      </c>
      <c r="H123" s="308"/>
      <c r="I123" s="25"/>
      <c r="J123" s="269"/>
      <c r="K123" s="269"/>
      <c r="N123" s="338"/>
      <c r="O123" s="1319"/>
      <c r="P123" s="1319"/>
      <c r="Q123" s="1319"/>
      <c r="R123" s="1319"/>
      <c r="S123" s="1319"/>
      <c r="T123" s="1319"/>
      <c r="U123" s="1319"/>
      <c r="V123" s="1319"/>
      <c r="W123" s="1319"/>
      <c r="X123" s="1299"/>
      <c r="Y123" s="338"/>
      <c r="Z123" s="338"/>
    </row>
    <row r="124" spans="1:26" ht="12.75" hidden="1" customHeight="1">
      <c r="A124" s="358" t="str">
        <f t="shared" si="10"/>
        <v>*</v>
      </c>
      <c r="B124" s="25"/>
      <c r="D124" s="1321" t="s">
        <v>1509</v>
      </c>
      <c r="E124" s="1325">
        <f>IF(ColType="Circular",coltranswidth/12,IF(AestheticCol=FALSE,collongwidth/12,VLOOKUP(ColType,AesthColDB,5,FALSE)/12))</f>
        <v>4</v>
      </c>
      <c r="F124" s="1322" t="s">
        <v>156</v>
      </c>
      <c r="I124" s="1323" t="s">
        <v>1511</v>
      </c>
      <c r="J124" s="268">
        <f>E122*E124</f>
        <v>0</v>
      </c>
      <c r="K124" s="1324" t="s">
        <v>231</v>
      </c>
      <c r="L124" s="34" t="str">
        <f>"{"&amp;FIXED(E122)&amp;"*"&amp;FIXED(E124)&amp;"}"</f>
        <v>{0.00*4.00}</v>
      </c>
      <c r="N124" s="338"/>
      <c r="O124" s="140"/>
      <c r="P124" s="140"/>
      <c r="Q124" s="140"/>
      <c r="R124" s="140"/>
      <c r="S124" s="140"/>
      <c r="T124" s="140"/>
      <c r="U124" s="140"/>
      <c r="V124" s="140"/>
      <c r="W124" s="140"/>
      <c r="X124" s="1299"/>
      <c r="Y124" s="338"/>
      <c r="Z124" s="338"/>
    </row>
    <row r="125" spans="1:26" ht="12.75" hidden="1" customHeight="1">
      <c r="A125" s="358" t="str">
        <f t="shared" si="10"/>
        <v>*</v>
      </c>
      <c r="B125" s="25"/>
      <c r="D125" s="1321" t="s">
        <v>1510</v>
      </c>
      <c r="E125" s="1325">
        <f>IF(AestheticCol=FALSE,coltranswidth/12,VLOOKUP(ColType,AesthColDB,4,FALSE)/12)</f>
        <v>6</v>
      </c>
      <c r="F125" s="1322" t="s">
        <v>156</v>
      </c>
      <c r="I125" s="1323" t="s">
        <v>1512</v>
      </c>
      <c r="J125" s="268">
        <f>E122*E125</f>
        <v>0</v>
      </c>
      <c r="K125" s="1324" t="s">
        <v>231</v>
      </c>
      <c r="L125" s="34" t="str">
        <f>"{"&amp;FIXED(E122)&amp;"*"&amp;FIXED(E125)&amp;"}"</f>
        <v>{0.00*6.00}</v>
      </c>
      <c r="N125" s="338"/>
      <c r="O125" s="140"/>
      <c r="P125" s="140"/>
      <c r="Q125" s="140"/>
      <c r="R125" s="140"/>
      <c r="S125" s="140"/>
      <c r="T125" s="140"/>
      <c r="U125" s="140"/>
      <c r="V125" s="140"/>
      <c r="W125" s="140"/>
      <c r="X125" s="1299"/>
      <c r="Y125" s="338"/>
      <c r="Z125" s="338"/>
    </row>
    <row r="126" spans="1:26" ht="12.75" hidden="1" customHeight="1">
      <c r="A126" s="358" t="str">
        <f t="shared" si="10"/>
        <v>*</v>
      </c>
      <c r="B126" s="25"/>
      <c r="D126" s="1259"/>
      <c r="F126" s="1242"/>
      <c r="H126" s="308"/>
      <c r="I126" s="25"/>
      <c r="J126" s="269"/>
      <c r="K126" s="269"/>
      <c r="N126" s="338"/>
      <c r="O126" s="1319"/>
      <c r="P126" s="1319"/>
      <c r="Q126" s="1319"/>
      <c r="R126" s="1319"/>
      <c r="S126" s="1319"/>
      <c r="T126" s="1319"/>
      <c r="U126" s="1319"/>
      <c r="V126" s="1319"/>
      <c r="W126" s="1319"/>
      <c r="X126" s="1299"/>
      <c r="Y126" s="338"/>
      <c r="Z126" s="338"/>
    </row>
    <row r="127" spans="1:26" ht="12.75" hidden="1" customHeight="1">
      <c r="A127" s="358" t="str">
        <f t="shared" si="10"/>
        <v>*</v>
      </c>
      <c r="B127" s="25"/>
      <c r="C127" s="1700" t="s">
        <v>612</v>
      </c>
      <c r="D127" s="1701" t="s">
        <v>479</v>
      </c>
      <c r="E127" s="1701"/>
      <c r="F127" s="1700" t="s">
        <v>1505</v>
      </c>
      <c r="G127" s="1700"/>
      <c r="H127" s="308"/>
      <c r="I127" s="25"/>
      <c r="J127" s="269"/>
      <c r="K127" s="269"/>
      <c r="N127" s="338"/>
      <c r="O127" s="1319"/>
      <c r="P127" s="1319"/>
      <c r="Q127" s="1319"/>
      <c r="R127" s="1319"/>
      <c r="S127" s="1319"/>
      <c r="T127" s="1319"/>
      <c r="U127" s="1319"/>
      <c r="V127" s="1319"/>
      <c r="W127" s="1319"/>
      <c r="X127" s="1299"/>
      <c r="Y127" s="338"/>
      <c r="Z127" s="338"/>
    </row>
    <row r="128" spans="1:26" ht="12.75" hidden="1" customHeight="1">
      <c r="A128" s="358" t="str">
        <f t="shared" si="10"/>
        <v>*</v>
      </c>
      <c r="B128" s="25"/>
      <c r="C128" s="1700"/>
      <c r="D128" s="1701"/>
      <c r="E128" s="1701"/>
      <c r="F128" s="1700"/>
      <c r="G128" s="1700"/>
      <c r="H128" s="1292"/>
      <c r="I128" s="1287"/>
      <c r="K128" s="1709" t="s">
        <v>1297</v>
      </c>
      <c r="L128" s="1709"/>
      <c r="N128" s="338"/>
      <c r="O128" s="140"/>
      <c r="P128" s="140"/>
      <c r="Q128" s="140"/>
      <c r="R128" s="140"/>
      <c r="S128" s="140"/>
      <c r="T128" s="140"/>
      <c r="U128" s="140"/>
      <c r="V128" s="140"/>
      <c r="W128" s="140"/>
      <c r="X128" s="1299"/>
      <c r="Y128" s="338"/>
      <c r="Z128" s="338"/>
    </row>
    <row r="129" spans="1:35" ht="24" hidden="1" customHeight="1">
      <c r="A129" s="358" t="str">
        <f t="shared" si="10"/>
        <v>*</v>
      </c>
      <c r="B129" s="25"/>
      <c r="C129" s="1700"/>
      <c r="D129" s="1701"/>
      <c r="E129" s="1701"/>
      <c r="F129" s="1702" t="s">
        <v>1506</v>
      </c>
      <c r="G129" s="1690" t="s">
        <v>1507</v>
      </c>
      <c r="H129" s="1284"/>
      <c r="I129" s="1284"/>
      <c r="K129" s="1709"/>
      <c r="L129" s="1709"/>
      <c r="N129" s="338"/>
      <c r="O129" s="140"/>
      <c r="P129" s="140"/>
      <c r="Q129" s="140"/>
      <c r="R129" s="140"/>
      <c r="S129" s="140"/>
      <c r="T129" s="140"/>
      <c r="U129" s="140"/>
      <c r="V129" s="140"/>
      <c r="W129" s="140"/>
      <c r="X129" s="1299"/>
      <c r="Y129" s="338"/>
      <c r="Z129" s="338"/>
    </row>
    <row r="130" spans="1:35" ht="14.25" hidden="1" customHeight="1">
      <c r="A130" s="358" t="str">
        <f t="shared" si="10"/>
        <v>*</v>
      </c>
      <c r="B130" s="25"/>
      <c r="C130" s="1700"/>
      <c r="D130" s="1701"/>
      <c r="E130" s="1701"/>
      <c r="F130" s="1703"/>
      <c r="G130" s="1691"/>
      <c r="H130" s="1284"/>
      <c r="I130" s="1284"/>
      <c r="K130" s="1283" t="s">
        <v>412</v>
      </c>
      <c r="L130" s="1283" t="s">
        <v>411</v>
      </c>
      <c r="N130" s="338"/>
      <c r="O130" s="140"/>
      <c r="P130" s="140"/>
      <c r="Q130" s="140"/>
      <c r="R130" s="140"/>
      <c r="S130" s="140"/>
      <c r="T130" s="140"/>
      <c r="U130" s="140"/>
      <c r="V130" s="140"/>
      <c r="W130" s="140"/>
      <c r="X130" s="1299"/>
      <c r="Y130" s="338"/>
      <c r="Z130" s="338"/>
    </row>
    <row r="131" spans="1:35" ht="12.75" hidden="1" customHeight="1">
      <c r="A131" s="358" t="str">
        <f t="shared" si="10"/>
        <v>*</v>
      </c>
      <c r="B131" s="25"/>
      <c r="C131" s="1255">
        <v>0</v>
      </c>
      <c r="D131" s="1692">
        <f>C131+ABS(BentSkew)</f>
        <v>0</v>
      </c>
      <c r="E131" s="1693"/>
      <c r="F131" s="1256">
        <f>$E$58*COS(D131*PI()/180)</f>
        <v>7.0708954671628063E-2</v>
      </c>
      <c r="G131" s="1256">
        <f>$E$58*SIN(D131*PI()/180)</f>
        <v>0</v>
      </c>
      <c r="H131" s="1261"/>
      <c r="I131" s="1261"/>
      <c r="K131" s="1290">
        <f>F131*$J$124</f>
        <v>0</v>
      </c>
      <c r="L131" s="1291">
        <f>G131*$J$125</f>
        <v>0</v>
      </c>
      <c r="N131" s="338"/>
      <c r="O131" s="1299"/>
      <c r="P131" s="1299"/>
      <c r="Q131" s="1299"/>
      <c r="R131" s="1299"/>
      <c r="S131" s="1299"/>
      <c r="T131" s="1299"/>
      <c r="U131" s="1299"/>
      <c r="V131" s="1299"/>
      <c r="W131" s="1299"/>
      <c r="X131" s="1299"/>
      <c r="Y131" s="338"/>
      <c r="Z131" s="338"/>
      <c r="AI131"/>
    </row>
    <row r="132" spans="1:35" ht="15" hidden="1" customHeight="1">
      <c r="A132" s="358" t="str">
        <f t="shared" si="10"/>
        <v>*</v>
      </c>
      <c r="B132" s="25"/>
      <c r="C132" s="1255">
        <v>15</v>
      </c>
      <c r="D132" s="1692">
        <f>C132+ABS(BentSkew)</f>
        <v>15</v>
      </c>
      <c r="E132" s="1693"/>
      <c r="F132" s="1256">
        <f t="shared" ref="F132:F135" si="11">$E$58*COS(D132*PI()/180)</f>
        <v>6.8299605467228616E-2</v>
      </c>
      <c r="G132" s="1256">
        <f t="shared" ref="G132:G135" si="12">$E$58*SIN(D132*PI()/180)</f>
        <v>1.8300824128308198E-2</v>
      </c>
      <c r="H132" s="1261"/>
      <c r="I132" s="1261"/>
      <c r="K132" s="1290">
        <f t="shared" ref="K132:K135" si="13">F132*$J$124</f>
        <v>0</v>
      </c>
      <c r="L132" s="1291">
        <f t="shared" ref="L132:L135" si="14">G132*$J$125</f>
        <v>0</v>
      </c>
      <c r="N132" s="1293"/>
      <c r="O132" s="1722"/>
      <c r="P132" s="1723"/>
      <c r="Q132" s="1722"/>
      <c r="R132" s="1722"/>
      <c r="S132" s="140"/>
      <c r="T132" s="1724"/>
      <c r="U132" s="1724"/>
      <c r="V132" s="1299"/>
      <c r="W132" s="338"/>
      <c r="X132" s="338"/>
      <c r="Y132" s="338"/>
      <c r="Z132" s="338"/>
      <c r="AI132"/>
    </row>
    <row r="133" spans="1:35" ht="15" hidden="1" customHeight="1">
      <c r="A133" s="358" t="str">
        <f t="shared" si="10"/>
        <v>*</v>
      </c>
      <c r="B133" s="25"/>
      <c r="C133" s="1255">
        <v>30</v>
      </c>
      <c r="D133" s="1692">
        <f>C133+ABS(BentSkew)</f>
        <v>30</v>
      </c>
      <c r="E133" s="1693"/>
      <c r="F133" s="1256">
        <f t="shared" si="11"/>
        <v>6.1235751020672267E-2</v>
      </c>
      <c r="G133" s="1256">
        <f t="shared" si="12"/>
        <v>3.5354477335814025E-2</v>
      </c>
      <c r="H133" s="1261"/>
      <c r="I133" s="1261"/>
      <c r="K133" s="1290">
        <f t="shared" si="13"/>
        <v>0</v>
      </c>
      <c r="L133" s="1291">
        <f t="shared" si="14"/>
        <v>0</v>
      </c>
      <c r="N133" s="1293"/>
      <c r="O133" s="1722"/>
      <c r="P133" s="1723"/>
      <c r="Q133" s="1722"/>
      <c r="R133" s="1722"/>
      <c r="S133" s="140"/>
      <c r="T133" s="140"/>
      <c r="U133" s="140"/>
      <c r="V133" s="1299"/>
      <c r="W133" s="338"/>
      <c r="X133" s="338"/>
      <c r="Y133" s="338"/>
      <c r="Z133" s="338"/>
      <c r="AI133"/>
    </row>
    <row r="134" spans="1:35" ht="15" hidden="1" customHeight="1">
      <c r="A134" s="358" t="str">
        <f t="shared" si="10"/>
        <v>*</v>
      </c>
      <c r="B134" s="25"/>
      <c r="C134" s="1255">
        <v>45</v>
      </c>
      <c r="D134" s="1692">
        <f>C134+ABS(BentSkew)</f>
        <v>45</v>
      </c>
      <c r="E134" s="1693"/>
      <c r="F134" s="1256">
        <f t="shared" si="11"/>
        <v>4.9998781338920419E-2</v>
      </c>
      <c r="G134" s="1256">
        <f t="shared" si="12"/>
        <v>4.9998781338920405E-2</v>
      </c>
      <c r="H134" s="1261"/>
      <c r="I134" s="1261"/>
      <c r="K134" s="1290">
        <f t="shared" si="13"/>
        <v>0</v>
      </c>
      <c r="L134" s="1291">
        <f t="shared" si="14"/>
        <v>0</v>
      </c>
      <c r="N134" s="1293"/>
      <c r="O134" s="1288"/>
      <c r="P134" s="1288"/>
      <c r="Q134" s="1300"/>
      <c r="R134" s="1300"/>
      <c r="S134" s="1240"/>
      <c r="T134" s="1301"/>
      <c r="U134" s="1301"/>
      <c r="V134" s="1299"/>
      <c r="W134" s="338"/>
      <c r="X134" s="338"/>
      <c r="Y134" s="338"/>
      <c r="Z134" s="338"/>
      <c r="AI134"/>
    </row>
    <row r="135" spans="1:35" ht="15" hidden="1" customHeight="1">
      <c r="A135" s="358" t="str">
        <f t="shared" si="10"/>
        <v>*</v>
      </c>
      <c r="B135" s="25"/>
      <c r="C135" s="1255">
        <v>60</v>
      </c>
      <c r="D135" s="1692">
        <f>C135+ABS(BentSkew)</f>
        <v>60</v>
      </c>
      <c r="E135" s="1693"/>
      <c r="F135" s="1256">
        <f t="shared" si="11"/>
        <v>3.5354477335814039E-2</v>
      </c>
      <c r="G135" s="1256">
        <f t="shared" si="12"/>
        <v>6.1235751020672261E-2</v>
      </c>
      <c r="H135" s="1261"/>
      <c r="I135" s="1261"/>
      <c r="K135" s="1290">
        <f t="shared" si="13"/>
        <v>0</v>
      </c>
      <c r="L135" s="1291">
        <f t="shared" si="14"/>
        <v>0</v>
      </c>
      <c r="N135" s="1293"/>
      <c r="O135" s="1288"/>
      <c r="P135" s="1288"/>
      <c r="Q135" s="1300"/>
      <c r="R135" s="1300"/>
      <c r="S135" s="1240"/>
      <c r="T135" s="1301"/>
      <c r="U135" s="1301"/>
      <c r="V135" s="338"/>
      <c r="W135" s="338"/>
      <c r="X135" s="338"/>
      <c r="Y135" s="338"/>
      <c r="Z135" s="338"/>
      <c r="AI135"/>
    </row>
    <row r="136" spans="1:35" ht="15" hidden="1" customHeight="1">
      <c r="A136" s="358" t="str">
        <f t="shared" si="10"/>
        <v>*</v>
      </c>
      <c r="B136" s="25"/>
      <c r="L136" s="971" t="s">
        <v>1461</v>
      </c>
      <c r="N136" s="1293"/>
      <c r="O136" s="1288"/>
      <c r="P136" s="1288"/>
      <c r="Q136" s="1300"/>
      <c r="R136" s="1300"/>
      <c r="S136" s="1240"/>
      <c r="T136" s="1301"/>
      <c r="U136" s="1301"/>
      <c r="V136" s="338"/>
      <c r="W136" s="338"/>
      <c r="X136" s="338"/>
      <c r="Y136" s="338"/>
      <c r="Z136" s="338"/>
      <c r="AI136"/>
    </row>
    <row r="137" spans="1:35" ht="15" hidden="1" customHeight="1">
      <c r="A137" s="358" t="str">
        <f t="shared" ref="A137" si="15">IF(NoSupports&lt;&gt;2,"*","")</f>
        <v>*</v>
      </c>
      <c r="B137" s="61"/>
      <c r="C137" s="863"/>
      <c r="D137" s="61"/>
      <c r="E137" s="61"/>
      <c r="F137" s="61"/>
      <c r="G137" s="18"/>
      <c r="H137" s="245"/>
      <c r="I137" s="25"/>
      <c r="J137" s="269"/>
      <c r="K137" s="269"/>
      <c r="N137" s="338"/>
      <c r="O137" s="338"/>
      <c r="P137" s="338"/>
      <c r="Q137" s="338"/>
      <c r="R137" s="338"/>
      <c r="S137" s="338"/>
      <c r="T137" s="338"/>
      <c r="U137" s="338"/>
      <c r="V137" s="338"/>
      <c r="W137" s="338"/>
      <c r="X137" s="338"/>
      <c r="Y137" s="338"/>
      <c r="Z137" s="338"/>
    </row>
    <row r="138" spans="1:35" ht="15" customHeight="1" thickBot="1">
      <c r="A138" s="358" t="s">
        <v>670</v>
      </c>
      <c r="B138" s="1644" t="s">
        <v>1490</v>
      </c>
      <c r="C138" s="1644"/>
      <c r="D138" s="1644"/>
      <c r="E138" s="1644"/>
      <c r="F138" s="1644"/>
      <c r="G138" s="1644"/>
      <c r="H138" s="1644"/>
      <c r="I138" s="1644"/>
      <c r="J138" s="1644"/>
      <c r="K138" s="1644"/>
      <c r="L138" s="1644"/>
      <c r="N138" s="338"/>
      <c r="O138" s="18"/>
      <c r="P138" s="18"/>
      <c r="Q138" s="18"/>
      <c r="R138" s="18"/>
      <c r="S138" s="338"/>
      <c r="T138" s="338"/>
      <c r="U138" s="338"/>
      <c r="V138" s="338"/>
      <c r="W138" s="338"/>
      <c r="X138" s="338"/>
      <c r="Y138" s="338"/>
    </row>
    <row r="139" spans="1:35" ht="15" customHeight="1">
      <c r="B139" s="18"/>
      <c r="C139" s="61"/>
      <c r="D139" s="71"/>
      <c r="E139" s="61"/>
      <c r="F139" s="61"/>
      <c r="G139" s="61"/>
      <c r="H139" s="18"/>
      <c r="I139" s="302"/>
      <c r="J139" s="18"/>
      <c r="N139" s="338"/>
      <c r="O139" s="863"/>
      <c r="P139" s="338"/>
      <c r="Q139" s="338"/>
      <c r="R139" s="338"/>
      <c r="S139" s="338"/>
      <c r="T139" s="338"/>
      <c r="U139" s="338"/>
      <c r="V139" s="338"/>
      <c r="W139" s="338"/>
      <c r="X139" s="338"/>
      <c r="Y139" s="338"/>
    </row>
    <row r="140" spans="1:35" ht="15" customHeight="1">
      <c r="B140" s="44"/>
      <c r="C140" s="44" t="s">
        <v>1251</v>
      </c>
      <c r="D140" s="25"/>
      <c r="E140" s="27"/>
      <c r="F140" s="25"/>
      <c r="H140" s="315" t="s">
        <v>1178</v>
      </c>
      <c r="I140" s="308">
        <f>AVERAGE(bkspanpgl,fdspanpgl)</f>
        <v>110</v>
      </c>
      <c r="J140" s="317" t="s">
        <v>156</v>
      </c>
      <c r="N140" s="338"/>
      <c r="O140" s="338"/>
      <c r="P140" s="338"/>
      <c r="Q140" s="338"/>
      <c r="R140" s="338"/>
      <c r="S140" s="338"/>
      <c r="T140" s="338"/>
      <c r="U140" s="338"/>
      <c r="V140" s="338"/>
      <c r="W140" s="338"/>
      <c r="X140" s="338"/>
      <c r="Y140" s="338"/>
    </row>
    <row r="141" spans="1:35" ht="15" customHeight="1">
      <c r="B141" s="44"/>
      <c r="C141" s="44"/>
      <c r="D141" s="25"/>
      <c r="E141" s="27"/>
      <c r="F141" s="25"/>
      <c r="G141" s="315"/>
      <c r="H141" s="308"/>
      <c r="I141" s="316"/>
      <c r="N141" s="338"/>
      <c r="O141" s="1722"/>
      <c r="P141" s="1723"/>
      <c r="Q141" s="1722"/>
      <c r="R141" s="1722"/>
      <c r="S141" s="1591"/>
      <c r="T141" s="1591"/>
      <c r="U141" s="1299"/>
      <c r="V141" s="1721"/>
      <c r="W141" s="1721"/>
      <c r="X141" s="338"/>
      <c r="Y141" s="338"/>
    </row>
    <row r="142" spans="1:35" ht="15" customHeight="1">
      <c r="C142" s="1708" t="s">
        <v>612</v>
      </c>
      <c r="D142" s="1718" t="s">
        <v>1179</v>
      </c>
      <c r="E142" s="1718"/>
      <c r="F142" s="39"/>
      <c r="G142" s="1648" t="s">
        <v>1173</v>
      </c>
      <c r="H142" s="1648"/>
      <c r="K142" s="1648" t="s">
        <v>1173</v>
      </c>
      <c r="L142" s="1648"/>
      <c r="N142" s="338"/>
      <c r="O142" s="1722"/>
      <c r="P142" s="1723"/>
      <c r="Q142" s="1722"/>
      <c r="R142" s="1722"/>
      <c r="S142" s="1591"/>
      <c r="T142" s="1591"/>
      <c r="U142" s="1299"/>
      <c r="V142" s="140"/>
      <c r="W142" s="140"/>
      <c r="X142" s="338"/>
      <c r="Y142" s="338"/>
    </row>
    <row r="143" spans="1:35" ht="15" customHeight="1">
      <c r="C143" s="1708"/>
      <c r="D143" s="304" t="s">
        <v>1300</v>
      </c>
      <c r="E143" s="304" t="s">
        <v>1174</v>
      </c>
      <c r="F143" s="36"/>
      <c r="G143" s="298" t="s">
        <v>1300</v>
      </c>
      <c r="H143" s="298" t="s">
        <v>1174</v>
      </c>
      <c r="K143" s="298" t="s">
        <v>412</v>
      </c>
      <c r="L143" s="298" t="s">
        <v>411</v>
      </c>
      <c r="N143" s="338"/>
      <c r="O143" s="1288"/>
      <c r="P143" s="1288"/>
      <c r="Q143" s="1300"/>
      <c r="R143" s="1300"/>
      <c r="S143" s="1301"/>
      <c r="T143" s="1301"/>
      <c r="U143" s="1299"/>
      <c r="V143" s="1301"/>
      <c r="W143" s="1301"/>
      <c r="X143" s="338"/>
      <c r="Y143" s="338"/>
    </row>
    <row r="144" spans="1:35" ht="15" customHeight="1">
      <c r="C144" s="242" t="s">
        <v>1249</v>
      </c>
      <c r="D144" s="306">
        <v>0.1</v>
      </c>
      <c r="E144" s="306">
        <v>0</v>
      </c>
      <c r="F144" s="36"/>
      <c r="G144" s="309">
        <f t="shared" ref="G144:H148" si="16">D144*$I$140</f>
        <v>11</v>
      </c>
      <c r="H144" s="309">
        <f t="shared" si="16"/>
        <v>0</v>
      </c>
      <c r="K144" s="309">
        <f>G144*COS(RADIANS(ABS(BentSkew)))+H144*SIN(RADIANS(ABS(BentSkew)))</f>
        <v>11</v>
      </c>
      <c r="L144" s="309">
        <f>G144*SIN(RADIANS(ABS(BentSkew)))+H144*COS(RADIANS(ABS(BentSkew)))</f>
        <v>0</v>
      </c>
      <c r="N144" s="338"/>
      <c r="O144" s="1288"/>
      <c r="P144" s="1288"/>
      <c r="Q144" s="1300"/>
      <c r="R144" s="1300"/>
      <c r="S144" s="1301"/>
      <c r="T144" s="1301"/>
      <c r="U144" s="1299"/>
      <c r="V144" s="1301"/>
      <c r="W144" s="1301"/>
      <c r="X144" s="338"/>
      <c r="Y144" s="338"/>
    </row>
    <row r="145" spans="1:25" ht="15" customHeight="1">
      <c r="B145" s="44"/>
      <c r="C145" s="304" t="s">
        <v>1169</v>
      </c>
      <c r="D145" s="306">
        <v>8.7999999999999995E-2</v>
      </c>
      <c r="E145" s="306">
        <v>1.2E-2</v>
      </c>
      <c r="F145" s="25"/>
      <c r="G145" s="309">
        <f t="shared" si="16"/>
        <v>9.68</v>
      </c>
      <c r="H145" s="309">
        <f t="shared" si="16"/>
        <v>1.32</v>
      </c>
      <c r="K145" s="309">
        <f>G145*COS(RADIANS(ABS(BentSkew)))+H145*SIN(RADIANS(ABS(BentSkew)))</f>
        <v>9.68</v>
      </c>
      <c r="L145" s="309">
        <f>G145*SIN(RADIANS(ABS(BentSkew)))+H145*COS(RADIANS(ABS(BentSkew)))</f>
        <v>1.32</v>
      </c>
      <c r="N145" s="338"/>
      <c r="O145" s="1288"/>
      <c r="P145" s="1288"/>
      <c r="Q145" s="1300"/>
      <c r="R145" s="1300"/>
      <c r="S145" s="1301"/>
      <c r="T145" s="1301"/>
      <c r="U145" s="1299"/>
      <c r="V145" s="1301"/>
      <c r="W145" s="1301"/>
      <c r="X145" s="338"/>
      <c r="Y145" s="338"/>
    </row>
    <row r="146" spans="1:25" ht="15" customHeight="1">
      <c r="C146" s="304" t="s">
        <v>1170</v>
      </c>
      <c r="D146" s="306">
        <v>8.2000000000000003E-2</v>
      </c>
      <c r="E146" s="306">
        <v>2.4E-2</v>
      </c>
      <c r="F146" s="39"/>
      <c r="G146" s="309">
        <f t="shared" si="16"/>
        <v>9.02</v>
      </c>
      <c r="H146" s="309">
        <f t="shared" si="16"/>
        <v>2.64</v>
      </c>
      <c r="K146" s="309">
        <f>G146*COS(RADIANS(ABS(BentSkew)))+H146*SIN(RADIANS(ABS(BentSkew)))</f>
        <v>9.02</v>
      </c>
      <c r="L146" s="309">
        <f>G146*SIN(RADIANS(ABS(BentSkew)))+H146*COS(RADIANS(ABS(BentSkew)))</f>
        <v>2.64</v>
      </c>
      <c r="N146" s="338"/>
      <c r="O146" s="1288"/>
      <c r="P146" s="1288"/>
      <c r="Q146" s="1300"/>
      <c r="R146" s="1300"/>
      <c r="S146" s="1301"/>
      <c r="T146" s="1301"/>
      <c r="U146" s="1299"/>
      <c r="V146" s="1301"/>
      <c r="W146" s="1301"/>
      <c r="X146" s="338"/>
      <c r="Y146" s="338"/>
    </row>
    <row r="147" spans="1:25">
      <c r="C147" s="304" t="s">
        <v>1171</v>
      </c>
      <c r="D147" s="306">
        <v>6.6000000000000003E-2</v>
      </c>
      <c r="E147" s="306">
        <v>3.2000000000000001E-2</v>
      </c>
      <c r="F147" s="36"/>
      <c r="G147" s="309">
        <f t="shared" si="16"/>
        <v>7.2600000000000007</v>
      </c>
      <c r="H147" s="309">
        <f t="shared" si="16"/>
        <v>3.52</v>
      </c>
      <c r="K147" s="309">
        <f>G147*COS(RADIANS(ABS(BentSkew)))+H147*SIN(RADIANS(ABS(BentSkew)))</f>
        <v>7.2600000000000007</v>
      </c>
      <c r="L147" s="309">
        <f>G147*SIN(RADIANS(ABS(BentSkew)))+H147*COS(RADIANS(ABS(BentSkew)))</f>
        <v>3.52</v>
      </c>
      <c r="N147" s="338"/>
      <c r="O147" s="1288"/>
      <c r="P147" s="1288"/>
      <c r="Q147" s="1300"/>
      <c r="R147" s="1300"/>
      <c r="S147" s="1301"/>
      <c r="T147" s="1301"/>
      <c r="U147" s="1299"/>
      <c r="V147" s="1301"/>
      <c r="W147" s="1301"/>
      <c r="X147" s="338"/>
      <c r="Y147" s="338"/>
    </row>
    <row r="148" spans="1:25" ht="12.75" customHeight="1">
      <c r="C148" s="242" t="s">
        <v>1250</v>
      </c>
      <c r="D148" s="306">
        <v>3.4000000000000002E-2</v>
      </c>
      <c r="E148" s="306">
        <v>3.7999999999999999E-2</v>
      </c>
      <c r="G148" s="309">
        <f t="shared" si="16"/>
        <v>3.74</v>
      </c>
      <c r="H148" s="309">
        <f t="shared" si="16"/>
        <v>4.18</v>
      </c>
      <c r="K148" s="309">
        <f>G148*COS(RADIANS(ABS(BentSkew)))+H148*SIN(RADIANS(ABS(BentSkew)))</f>
        <v>3.74</v>
      </c>
      <c r="L148" s="309">
        <f>G148*SIN(RADIANS(ABS(BentSkew)))+H148*COS(RADIANS(ABS(BentSkew)))</f>
        <v>4.18</v>
      </c>
      <c r="N148" s="338"/>
      <c r="O148" s="338"/>
      <c r="P148" s="338"/>
      <c r="Q148" s="338"/>
      <c r="R148" s="338"/>
      <c r="S148" s="338"/>
      <c r="T148" s="338"/>
      <c r="U148" s="338"/>
      <c r="V148" s="338"/>
      <c r="W148" s="338"/>
      <c r="X148" s="338"/>
      <c r="Y148" s="338"/>
    </row>
    <row r="149" spans="1:25" ht="12.75" customHeight="1">
      <c r="C149" s="33"/>
      <c r="D149" s="307"/>
      <c r="E149" s="307"/>
      <c r="L149" s="16"/>
      <c r="N149" s="338"/>
      <c r="O149" s="338"/>
      <c r="P149" s="338"/>
      <c r="Q149" s="338"/>
      <c r="R149" s="338"/>
      <c r="S149" s="338"/>
      <c r="T149" s="338"/>
      <c r="U149" s="338"/>
      <c r="V149" s="338"/>
      <c r="W149" s="338"/>
      <c r="X149" s="338"/>
      <c r="Y149" s="338"/>
    </row>
    <row r="150" spans="1:25" ht="15" thickBot="1">
      <c r="B150" s="1644" t="s">
        <v>1491</v>
      </c>
      <c r="C150" s="1644"/>
      <c r="D150" s="1644"/>
      <c r="E150" s="1644"/>
      <c r="F150" s="1644"/>
      <c r="G150" s="1644"/>
      <c r="H150" s="1644"/>
      <c r="I150" s="1644"/>
      <c r="J150" s="1644"/>
      <c r="K150" s="1644"/>
      <c r="L150" s="1644"/>
      <c r="N150" s="338"/>
      <c r="O150" s="338"/>
      <c r="P150" s="338"/>
      <c r="Q150" s="338"/>
      <c r="R150" s="338"/>
      <c r="S150" s="338"/>
      <c r="T150" s="338"/>
      <c r="U150" s="338"/>
      <c r="V150" s="338"/>
      <c r="W150" s="338"/>
      <c r="X150" s="338"/>
      <c r="Y150" s="338"/>
    </row>
    <row r="151" spans="1:25" ht="9.4" customHeight="1">
      <c r="N151" s="338"/>
      <c r="O151" s="338"/>
      <c r="P151" s="338"/>
      <c r="Q151" s="338"/>
      <c r="R151" s="338"/>
      <c r="S151" s="338"/>
      <c r="T151" s="338"/>
      <c r="U151" s="338"/>
      <c r="V151" s="338"/>
      <c r="W151" s="338"/>
      <c r="X151" s="338"/>
      <c r="Y151" s="338"/>
    </row>
    <row r="152" spans="1:25">
      <c r="F152" s="27" t="s">
        <v>1180</v>
      </c>
      <c r="G152" s="317">
        <f>AVERAGE(bkspanpgl,fdspanpgl)*DeckWidth</f>
        <v>5500</v>
      </c>
      <c r="H152" s="25" t="s">
        <v>231</v>
      </c>
      <c r="I152" s="34" t="str">
        <f>"{("&amp;FIXED(bkspanpgl,2)&amp;" ft + "&amp;FIXED(fdspanpgl,2)&amp;" ft) /2 x "&amp;FIXED(DeckWidth,2)&amp;" ft }"</f>
        <v>{(100.00 ft + 120.00 ft) /2 x 50.00 ft }</v>
      </c>
      <c r="N152" s="338"/>
      <c r="O152" s="1223"/>
      <c r="P152" s="338"/>
      <c r="Q152" s="338"/>
      <c r="R152" s="338"/>
      <c r="S152" s="338"/>
      <c r="T152" s="338"/>
      <c r="U152" s="338"/>
      <c r="V152" s="338"/>
      <c r="W152" s="338"/>
      <c r="X152" s="338"/>
      <c r="Y152" s="338"/>
    </row>
    <row r="153" spans="1:25">
      <c r="F153" s="27" t="s">
        <v>1181</v>
      </c>
      <c r="G153" s="317">
        <f>MAX(bkspanpgl,fdspanpgl)/2*DeckWidth</f>
        <v>3000</v>
      </c>
      <c r="H153" s="25" t="s">
        <v>231</v>
      </c>
      <c r="I153" s="34" t="str">
        <f>"{("&amp;FIXED(MAX(bkspanpgl,fdspanpgl),2)&amp;" ft) /2 x "&amp;FIXED(DeckWidth,2)&amp;" ft }"</f>
        <v>{(120.00 ft) /2 x 50.00 ft }</v>
      </c>
      <c r="N153" s="338"/>
      <c r="O153" s="338"/>
      <c r="P153" s="338"/>
      <c r="Q153" s="338"/>
      <c r="R153" s="338"/>
      <c r="S153" s="338"/>
      <c r="T153" s="338"/>
      <c r="U153" s="338"/>
      <c r="V153" s="338"/>
      <c r="W153" s="338"/>
      <c r="X153" s="338"/>
      <c r="Y153" s="338"/>
    </row>
    <row r="154" spans="1:25">
      <c r="F154" s="1225" t="s">
        <v>1459</v>
      </c>
      <c r="G154" s="25">
        <v>20</v>
      </c>
      <c r="H154" s="25" t="s">
        <v>1182</v>
      </c>
      <c r="I154" s="1179" t="s">
        <v>1539</v>
      </c>
    </row>
    <row r="155" spans="1:25" ht="4.5" customHeight="1"/>
    <row r="156" spans="1:25" ht="13.15" customHeight="1">
      <c r="F156" s="47" t="s">
        <v>1360</v>
      </c>
      <c r="G156" s="181">
        <f>-G154*G152/1000</f>
        <v>-110</v>
      </c>
      <c r="H156" s="44" t="s">
        <v>341</v>
      </c>
      <c r="I156" s="313" t="str">
        <f>"{"&amp;$G$154&amp;" psf x "&amp;FIXED($G$152,0,1)&amp;" sf / 1000 lbs/kip}"</f>
        <v>{20 psf x 5500 sf / 1000 lbs/kip}</v>
      </c>
    </row>
    <row r="157" spans="1:25">
      <c r="F157" s="47" t="s">
        <v>1361</v>
      </c>
      <c r="G157" s="181">
        <f>-G154*G153/1000</f>
        <v>-60</v>
      </c>
      <c r="H157" s="44" t="s">
        <v>341</v>
      </c>
      <c r="I157" s="313" t="str">
        <f>"{"&amp;$G$154&amp;" psf x "&amp;FIXED($G$153,0,1)&amp;" sf / 1000 lbs/kip}"</f>
        <v>{20 psf x 3000 sf / 1000 lbs/kip}</v>
      </c>
    </row>
    <row r="159" spans="1:25" s="337" customFormat="1">
      <c r="A159" s="358"/>
      <c r="B159" s="1179" t="s">
        <v>1537</v>
      </c>
      <c r="C159"/>
      <c r="D159"/>
      <c r="E159"/>
      <c r="F159"/>
      <c r="G159"/>
      <c r="H159"/>
      <c r="I159"/>
      <c r="J159"/>
      <c r="K159"/>
      <c r="L159"/>
    </row>
    <row r="160" spans="1:25" s="337" customFormat="1">
      <c r="A160" s="358"/>
      <c r="B160" s="1179" t="s">
        <v>1538</v>
      </c>
      <c r="C160"/>
      <c r="D160"/>
      <c r="E160"/>
      <c r="F160"/>
      <c r="G160"/>
      <c r="H160"/>
      <c r="I160"/>
      <c r="J160"/>
      <c r="K160"/>
      <c r="L160"/>
    </row>
    <row r="161" spans="1:12" s="337" customFormat="1">
      <c r="A161" s="358"/>
      <c r="B161"/>
      <c r="C161"/>
      <c r="D161"/>
      <c r="E161"/>
      <c r="F161"/>
      <c r="G161"/>
      <c r="H161"/>
      <c r="I161"/>
      <c r="J161"/>
      <c r="K161"/>
      <c r="L161"/>
    </row>
    <row r="162" spans="1:12" s="337" customFormat="1">
      <c r="A162" s="358"/>
      <c r="B162"/>
      <c r="C162"/>
      <c r="D162"/>
      <c r="E162"/>
      <c r="F162"/>
      <c r="G162"/>
      <c r="H162"/>
      <c r="I162"/>
      <c r="J162"/>
      <c r="K162"/>
      <c r="L162"/>
    </row>
    <row r="163" spans="1:12" s="337" customFormat="1">
      <c r="A163" s="358"/>
    </row>
    <row r="164" spans="1:12" s="337" customFormat="1">
      <c r="A164" s="358"/>
    </row>
    <row r="165" spans="1:12" s="337" customFormat="1">
      <c r="A165" s="358"/>
    </row>
    <row r="166" spans="1:12" s="337" customFormat="1">
      <c r="A166" s="358"/>
    </row>
    <row r="167" spans="1:12" s="337" customFormat="1">
      <c r="A167" s="358"/>
    </row>
    <row r="168" spans="1:12" s="337" customFormat="1">
      <c r="A168" s="358"/>
    </row>
    <row r="169" spans="1:12" s="337" customFormat="1">
      <c r="A169" s="358"/>
    </row>
    <row r="170" spans="1:12" s="337" customFormat="1">
      <c r="A170" s="358"/>
    </row>
    <row r="171" spans="1:12" s="337" customFormat="1">
      <c r="A171" s="358"/>
    </row>
    <row r="172" spans="1:12" s="337" customFormat="1">
      <c r="A172" s="358"/>
    </row>
    <row r="173" spans="1:12" s="337" customFormat="1">
      <c r="A173" s="358"/>
    </row>
    <row r="174" spans="1:12" s="337" customFormat="1">
      <c r="A174" s="358"/>
    </row>
    <row r="175" spans="1:12" s="337" customFormat="1">
      <c r="A175" s="358"/>
    </row>
    <row r="176" spans="1:12" s="337" customFormat="1">
      <c r="A176" s="358"/>
    </row>
    <row r="177" spans="1:1" s="337" customFormat="1">
      <c r="A177" s="358"/>
    </row>
    <row r="178" spans="1:1" s="337" customFormat="1">
      <c r="A178" s="358"/>
    </row>
    <row r="179" spans="1:1" s="337" customFormat="1">
      <c r="A179" s="358"/>
    </row>
    <row r="180" spans="1:1" s="337" customFormat="1">
      <c r="A180" s="358"/>
    </row>
    <row r="181" spans="1:1" s="337" customFormat="1">
      <c r="A181" s="358"/>
    </row>
    <row r="182" spans="1:1" s="337" customFormat="1">
      <c r="A182" s="358"/>
    </row>
    <row r="183" spans="1:1" s="337" customFormat="1">
      <c r="A183" s="358"/>
    </row>
    <row r="184" spans="1:1" s="337" customFormat="1">
      <c r="A184" s="358"/>
    </row>
    <row r="185" spans="1:1" s="337" customFormat="1">
      <c r="A185" s="358"/>
    </row>
    <row r="186" spans="1:1" s="337" customFormat="1">
      <c r="A186" s="358"/>
    </row>
    <row r="187" spans="1:1" s="337" customFormat="1">
      <c r="A187" s="358"/>
    </row>
    <row r="188" spans="1:1" s="337" customFormat="1">
      <c r="A188" s="358"/>
    </row>
    <row r="189" spans="1:1" s="337" customFormat="1">
      <c r="A189" s="358"/>
    </row>
    <row r="190" spans="1:1" s="337" customFormat="1">
      <c r="A190" s="358"/>
    </row>
    <row r="191" spans="1:1" s="337" customFormat="1">
      <c r="A191" s="358"/>
    </row>
    <row r="192" spans="1:1" s="337" customFormat="1">
      <c r="A192" s="358"/>
    </row>
    <row r="193" spans="1:1" s="337" customFormat="1">
      <c r="A193" s="358"/>
    </row>
    <row r="194" spans="1:1" s="337" customFormat="1">
      <c r="A194" s="358"/>
    </row>
    <row r="195" spans="1:1" s="337" customFormat="1">
      <c r="A195" s="358"/>
    </row>
    <row r="196" spans="1:1" s="337" customFormat="1">
      <c r="A196" s="358"/>
    </row>
    <row r="197" spans="1:1" s="337" customFormat="1">
      <c r="A197" s="358"/>
    </row>
    <row r="198" spans="1:1" s="337" customFormat="1">
      <c r="A198" s="358"/>
    </row>
    <row r="199" spans="1:1" s="337" customFormat="1">
      <c r="A199" s="358"/>
    </row>
    <row r="200" spans="1:1" s="337" customFormat="1">
      <c r="A200" s="358"/>
    </row>
    <row r="201" spans="1:1" s="337" customFormat="1">
      <c r="A201" s="358"/>
    </row>
    <row r="202" spans="1:1" s="337" customFormat="1">
      <c r="A202" s="358"/>
    </row>
    <row r="203" spans="1:1" s="337" customFormat="1">
      <c r="A203" s="358"/>
    </row>
    <row r="204" spans="1:1" s="337" customFormat="1">
      <c r="A204" s="358"/>
    </row>
    <row r="205" spans="1:1" s="337" customFormat="1">
      <c r="A205" s="358"/>
    </row>
    <row r="206" spans="1:1" s="337" customFormat="1">
      <c r="A206" s="358"/>
    </row>
    <row r="207" spans="1:1" s="337" customFormat="1">
      <c r="A207" s="358"/>
    </row>
    <row r="208" spans="1:1" s="337" customFormat="1">
      <c r="A208" s="358"/>
    </row>
    <row r="209" spans="1:1" s="337" customFormat="1">
      <c r="A209" s="358"/>
    </row>
    <row r="210" spans="1:1" s="337" customFormat="1">
      <c r="A210" s="358"/>
    </row>
    <row r="211" spans="1:1" s="337" customFormat="1">
      <c r="A211" s="358"/>
    </row>
    <row r="212" spans="1:1" s="337" customFormat="1">
      <c r="A212" s="358"/>
    </row>
    <row r="213" spans="1:1" s="337" customFormat="1">
      <c r="A213" s="358"/>
    </row>
    <row r="214" spans="1:1" s="337" customFormat="1">
      <c r="A214" s="358"/>
    </row>
    <row r="215" spans="1:1" s="337" customFormat="1">
      <c r="A215" s="358"/>
    </row>
    <row r="216" spans="1:1" s="337" customFormat="1">
      <c r="A216" s="358"/>
    </row>
    <row r="217" spans="1:1" s="337" customFormat="1">
      <c r="A217" s="358"/>
    </row>
  </sheetData>
  <sheetProtection algorithmName="SHA-512" hashValue="NlPoyhNV2NfpKafDlf8kVXDMQ82KDKVv9JkNVQAn8S2wHsaLkJfQqBAiq0Kv7m3WwujE9Fhp7LO3ikYPhMiaqQ==" saltValue="5GBoZ0PXhUBobPei0y3SMQ==" spinCount="100000" sheet="1" objects="1" scenarios="1"/>
  <mergeCells count="94">
    <mergeCell ref="D133:E133"/>
    <mergeCell ref="D134:E134"/>
    <mergeCell ref="D135:E135"/>
    <mergeCell ref="F129:F130"/>
    <mergeCell ref="G110:G111"/>
    <mergeCell ref="D114:E114"/>
    <mergeCell ref="D115:E115"/>
    <mergeCell ref="D116:E116"/>
    <mergeCell ref="X99:Y99"/>
    <mergeCell ref="T141:T142"/>
    <mergeCell ref="V141:W141"/>
    <mergeCell ref="O141:O142"/>
    <mergeCell ref="P141:P142"/>
    <mergeCell ref="Q141:Q142"/>
    <mergeCell ref="R141:R142"/>
    <mergeCell ref="S141:S142"/>
    <mergeCell ref="Q132:Q133"/>
    <mergeCell ref="R132:R133"/>
    <mergeCell ref="O114:W115"/>
    <mergeCell ref="T132:U132"/>
    <mergeCell ref="O132:O133"/>
    <mergeCell ref="P132:P133"/>
    <mergeCell ref="O17:O18"/>
    <mergeCell ref="O92:W93"/>
    <mergeCell ref="O99:Q99"/>
    <mergeCell ref="R99:S99"/>
    <mergeCell ref="T99:U99"/>
    <mergeCell ref="V99:W99"/>
    <mergeCell ref="B8:L8"/>
    <mergeCell ref="B150:L150"/>
    <mergeCell ref="B51:L51"/>
    <mergeCell ref="C142:C143"/>
    <mergeCell ref="B71:D71"/>
    <mergeCell ref="K142:L142"/>
    <mergeCell ref="K71:L71"/>
    <mergeCell ref="E71:F71"/>
    <mergeCell ref="G71:H71"/>
    <mergeCell ref="E72:F72"/>
    <mergeCell ref="I71:J71"/>
    <mergeCell ref="K109:L110"/>
    <mergeCell ref="D142:E142"/>
    <mergeCell ref="G129:G130"/>
    <mergeCell ref="D131:E131"/>
    <mergeCell ref="D132:E132"/>
    <mergeCell ref="G142:H142"/>
    <mergeCell ref="B138:L138"/>
    <mergeCell ref="B10:L10"/>
    <mergeCell ref="B72:B73"/>
    <mergeCell ref="K90:L91"/>
    <mergeCell ref="I72:J72"/>
    <mergeCell ref="K72:L72"/>
    <mergeCell ref="C72:D72"/>
    <mergeCell ref="G72:H72"/>
    <mergeCell ref="C16:D17"/>
    <mergeCell ref="E16:F17"/>
    <mergeCell ref="C18:D18"/>
    <mergeCell ref="E18:F18"/>
    <mergeCell ref="C19:D19"/>
    <mergeCell ref="K128:L129"/>
    <mergeCell ref="F91:F92"/>
    <mergeCell ref="D89:E92"/>
    <mergeCell ref="E19:F19"/>
    <mergeCell ref="C20:D20"/>
    <mergeCell ref="E20:F20"/>
    <mergeCell ref="C21:D21"/>
    <mergeCell ref="E21:F21"/>
    <mergeCell ref="C127:C130"/>
    <mergeCell ref="D127:E130"/>
    <mergeCell ref="F127:G128"/>
    <mergeCell ref="D95:E95"/>
    <mergeCell ref="D96:E96"/>
    <mergeCell ref="D97:E97"/>
    <mergeCell ref="D112:E112"/>
    <mergeCell ref="D113:E113"/>
    <mergeCell ref="F110:F111"/>
    <mergeCell ref="C108:C111"/>
    <mergeCell ref="D108:E111"/>
    <mergeCell ref="F108:G109"/>
    <mergeCell ref="H34:L35"/>
    <mergeCell ref="G91:G92"/>
    <mergeCell ref="D93:E93"/>
    <mergeCell ref="D94:E94"/>
    <mergeCell ref="F45:H45"/>
    <mergeCell ref="F47:H47"/>
    <mergeCell ref="F46:H46"/>
    <mergeCell ref="F48:H48"/>
    <mergeCell ref="F49:H49"/>
    <mergeCell ref="C45:D45"/>
    <mergeCell ref="C49:D49"/>
    <mergeCell ref="C46:D46"/>
    <mergeCell ref="C47:D47"/>
    <mergeCell ref="C48:D48"/>
    <mergeCell ref="C89:C92"/>
    <mergeCell ref="F89:G90"/>
  </mergeCells>
  <phoneticPr fontId="0" type="noConversion"/>
  <dataValidations disablePrompts="1" count="2">
    <dataValidation type="list" allowBlank="1" showInputMessage="1" showErrorMessage="1" sqref="E27" xr:uid="{00000000-0002-0000-1700-000000000000}">
      <formula1>$N$27:$N$29</formula1>
    </dataValidation>
    <dataValidation type="list" allowBlank="1" showInputMessage="1" showErrorMessage="1" sqref="F12" xr:uid="{00000000-0002-0000-1700-000001000000}">
      <formula1>$P$14:$P$18</formula1>
    </dataValidation>
  </dataValidations>
  <pageMargins left="0.75" right="0.375" top="0.25" bottom="0.25" header="0.75" footer="0.25"/>
  <pageSetup scale="95" orientation="portrait" blackAndWhite="1" r:id="rId1"/>
  <headerFooter alignWithMargins="0">
    <oddHeader>&amp;L&amp;6
&amp;Z&amp;F&amp;R&amp;P                                &amp;N</oddHeader>
    <oddFooter>&amp;L&amp;D   &amp;T&amp;C&amp;8Rev.  8.0</oddFooter>
  </headerFooter>
  <rowBreaks count="3" manualBreakCount="3">
    <brk id="50" min="1" max="11" man="1"/>
    <brk id="81" min="1" max="11" man="1"/>
    <brk id="118" min="1" max="11"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1">
    <tabColor indexed="47"/>
  </sheetPr>
  <dimension ref="A1:AJ109"/>
  <sheetViews>
    <sheetView showGridLines="0" view="pageBreakPreview" topLeftCell="A13" zoomScaleSheetLayoutView="100" workbookViewId="0"/>
  </sheetViews>
  <sheetFormatPr defaultColWidth="9.140625" defaultRowHeight="12.75"/>
  <cols>
    <col min="1" max="1" width="24.7109375" style="359" customWidth="1"/>
    <col min="2" max="8" width="8.7109375" style="344" customWidth="1"/>
    <col min="9" max="9" width="10.28515625" style="344" customWidth="1"/>
    <col min="10" max="11" width="8.7109375" style="344" customWidth="1"/>
    <col min="12" max="12" width="7.140625" style="344" customWidth="1"/>
    <col min="13" max="13" width="17.28515625" style="344" customWidth="1"/>
    <col min="14" max="35" width="6.7109375" style="344" customWidth="1"/>
    <col min="36" max="16384" width="9.140625" style="344"/>
  </cols>
  <sheetData>
    <row r="1" spans="1:13">
      <c r="B1" s="383"/>
      <c r="C1" s="383"/>
      <c r="D1" s="383"/>
      <c r="E1" s="383"/>
      <c r="F1" s="383"/>
      <c r="G1" s="383"/>
      <c r="H1" s="383"/>
      <c r="I1" s="383"/>
      <c r="J1" s="383"/>
      <c r="K1" s="383"/>
      <c r="L1" s="383"/>
    </row>
    <row r="2" spans="1:13">
      <c r="B2" s="383"/>
      <c r="C2" s="383"/>
      <c r="D2" s="383"/>
      <c r="E2" s="383"/>
      <c r="F2" s="383"/>
      <c r="G2" s="383"/>
      <c r="H2" s="383"/>
      <c r="I2" s="383"/>
      <c r="J2" s="383"/>
      <c r="K2" s="383"/>
      <c r="L2" s="383"/>
    </row>
    <row r="3" spans="1:13">
      <c r="B3" s="383"/>
      <c r="C3" s="383"/>
      <c r="D3" s="383"/>
      <c r="E3" s="383"/>
      <c r="F3" s="383"/>
      <c r="G3" s="383"/>
      <c r="H3" s="383"/>
      <c r="I3" s="383"/>
      <c r="J3" s="383"/>
      <c r="K3" s="383"/>
      <c r="L3" s="383"/>
    </row>
    <row r="4" spans="1:13">
      <c r="B4" s="383"/>
      <c r="C4" s="383"/>
      <c r="D4" s="383"/>
      <c r="E4" s="383"/>
      <c r="F4" s="383"/>
      <c r="G4" s="383"/>
      <c r="H4" s="383"/>
      <c r="I4" s="383"/>
      <c r="J4" s="383"/>
      <c r="K4" s="383"/>
      <c r="L4" s="383"/>
    </row>
    <row r="5" spans="1:13">
      <c r="B5" s="383"/>
      <c r="C5" s="383"/>
      <c r="D5" s="383"/>
      <c r="E5" s="383"/>
      <c r="F5" s="383"/>
      <c r="G5" s="383"/>
      <c r="H5" s="383"/>
      <c r="I5" s="383"/>
      <c r="J5" s="383"/>
      <c r="K5" s="383"/>
      <c r="L5" s="383"/>
    </row>
    <row r="6" spans="1:13">
      <c r="B6" s="383"/>
      <c r="C6" s="383"/>
      <c r="D6" s="383"/>
      <c r="E6" s="383"/>
      <c r="F6" s="383"/>
      <c r="G6" s="383"/>
      <c r="H6" s="383"/>
      <c r="I6" s="383"/>
      <c r="J6" s="383"/>
      <c r="K6" s="383"/>
      <c r="L6" s="383"/>
    </row>
    <row r="7" spans="1:13">
      <c r="B7" s="383"/>
      <c r="C7" s="383"/>
      <c r="D7" s="383"/>
      <c r="E7" s="383"/>
      <c r="F7" s="383"/>
      <c r="G7" s="383"/>
      <c r="H7" s="383"/>
      <c r="I7" s="383"/>
      <c r="J7" s="383"/>
      <c r="K7" s="383"/>
      <c r="L7" s="383"/>
    </row>
    <row r="8" spans="1:13" ht="19.5" customHeight="1" thickBot="1">
      <c r="B8" s="1500" t="str">
        <f>"Column Analysis"&amp;IF(NoSupports=2," - Left","")</f>
        <v>Column Analysis</v>
      </c>
      <c r="C8" s="1500"/>
      <c r="D8" s="1500"/>
      <c r="E8" s="1500"/>
      <c r="F8" s="1500"/>
      <c r="G8" s="1500"/>
      <c r="H8" s="1500"/>
      <c r="I8" s="1500"/>
      <c r="J8" s="1500"/>
      <c r="K8" s="1500"/>
      <c r="L8" s="1500"/>
      <c r="M8" s="360"/>
    </row>
    <row r="9" spans="1:13" s="362" customFormat="1" thickTop="1">
      <c r="A9" s="361"/>
      <c r="B9" s="768" t="s">
        <v>1252</v>
      </c>
      <c r="C9" s="769"/>
      <c r="D9" s="48"/>
      <c r="E9" s="770"/>
      <c r="F9" s="771"/>
      <c r="G9" s="48"/>
      <c r="H9" s="48"/>
      <c r="I9" s="48"/>
      <c r="J9" s="48"/>
      <c r="K9" s="723"/>
      <c r="L9" s="723"/>
    </row>
    <row r="10" spans="1:13" s="362" customFormat="1" ht="11.85" customHeight="1">
      <c r="A10" s="361"/>
      <c r="B10" s="768"/>
      <c r="C10" s="1228" t="s">
        <v>609</v>
      </c>
      <c r="D10" s="48"/>
      <c r="E10" s="770"/>
      <c r="F10" s="771"/>
      <c r="G10" s="48"/>
      <c r="H10" s="48"/>
      <c r="I10" s="48"/>
      <c r="J10" s="48"/>
      <c r="K10" s="723"/>
      <c r="L10" s="723"/>
    </row>
    <row r="11" spans="1:13" s="362" customFormat="1" ht="11.85" customHeight="1">
      <c r="A11" s="361"/>
      <c r="B11" s="768"/>
      <c r="C11" s="1228" t="s">
        <v>610</v>
      </c>
      <c r="D11" s="48"/>
      <c r="E11" s="770"/>
      <c r="F11" s="771"/>
      <c r="G11" s="48"/>
      <c r="H11" s="48"/>
      <c r="I11" s="48"/>
      <c r="J11" s="48"/>
      <c r="K11" s="723"/>
      <c r="L11" s="723"/>
    </row>
    <row r="12" spans="1:13" s="364" customFormat="1" ht="11.85" customHeight="1">
      <c r="A12" s="363"/>
      <c r="B12" s="385"/>
      <c r="C12" s="1228" t="s">
        <v>1351</v>
      </c>
      <c r="D12" s="365"/>
      <c r="E12" s="772"/>
      <c r="F12" s="773"/>
      <c r="G12" s="365"/>
      <c r="H12" s="365"/>
      <c r="I12" s="365"/>
      <c r="J12" s="365"/>
      <c r="K12" s="385"/>
      <c r="L12" s="385"/>
    </row>
    <row r="13" spans="1:13" s="364" customFormat="1" ht="11.85" customHeight="1">
      <c r="A13" s="363"/>
      <c r="B13" s="385"/>
      <c r="C13" s="1229" t="s">
        <v>1257</v>
      </c>
      <c r="D13" s="365"/>
      <c r="E13" s="772"/>
      <c r="F13" s="773"/>
      <c r="G13" s="365"/>
      <c r="H13" s="365"/>
      <c r="I13" s="365"/>
      <c r="J13" s="365"/>
      <c r="K13" s="385"/>
      <c r="L13" s="385"/>
    </row>
    <row r="14" spans="1:13" s="364" customFormat="1" ht="11.85" customHeight="1">
      <c r="A14" s="363"/>
      <c r="B14" s="385"/>
      <c r="C14" s="1228" t="s">
        <v>1343</v>
      </c>
      <c r="D14" s="365"/>
      <c r="E14" s="772"/>
      <c r="F14" s="773"/>
      <c r="G14" s="365"/>
      <c r="H14" s="365"/>
      <c r="I14" s="365"/>
      <c r="J14" s="365"/>
      <c r="K14" s="385"/>
      <c r="L14" s="385"/>
    </row>
    <row r="15" spans="1:13" s="364" customFormat="1" ht="11.85" customHeight="1">
      <c r="A15" s="363"/>
      <c r="B15" s="385"/>
      <c r="C15" s="1228" t="s">
        <v>1352</v>
      </c>
      <c r="D15" s="365"/>
      <c r="E15" s="772"/>
      <c r="F15" s="773"/>
      <c r="G15" s="365"/>
      <c r="H15" s="365"/>
      <c r="I15" s="365"/>
      <c r="J15" s="365"/>
      <c r="K15" s="385"/>
      <c r="L15" s="385"/>
    </row>
    <row r="16" spans="1:13" s="364" customFormat="1" ht="11.25">
      <c r="A16" s="363"/>
      <c r="B16" s="385"/>
      <c r="C16" s="365"/>
      <c r="D16" s="365"/>
      <c r="E16" s="772"/>
      <c r="F16" s="773"/>
      <c r="G16" s="365"/>
      <c r="H16" s="365"/>
      <c r="I16" s="365"/>
      <c r="J16" s="365"/>
      <c r="K16" s="385"/>
      <c r="L16" s="385"/>
    </row>
    <row r="17" spans="1:22" s="364" customFormat="1" ht="3.75" customHeight="1">
      <c r="A17" s="363"/>
      <c r="B17" s="385"/>
      <c r="C17" s="365"/>
      <c r="D17" s="365"/>
      <c r="E17" s="772"/>
      <c r="F17" s="773"/>
      <c r="G17" s="365"/>
      <c r="H17" s="365"/>
      <c r="I17" s="365"/>
      <c r="J17" s="365"/>
      <c r="K17" s="385"/>
      <c r="L17" s="385"/>
    </row>
    <row r="18" spans="1:22" ht="12.75" customHeight="1">
      <c r="B18" s="662"/>
      <c r="C18" s="383"/>
      <c r="D18" s="299"/>
      <c r="E18" s="662"/>
      <c r="F18" s="366" t="s">
        <v>1258</v>
      </c>
      <c r="G18" s="774">
        <f>IF(NoSupports=1,1,IF(NoSupports=2,IF(ISERROR(('CAP18 Out(2)'!$G$13/'CAP18 Out(2)'!$G$23)),G19,('CAP18 Out(2)'!$G$13/'CAP18 Out(2)'!$G$23)),1/NoSupports))</f>
        <v>1</v>
      </c>
      <c r="H18" s="320" t="str">
        <f>IF(NoSupports=1,"",IF(NoSupports=2,IF(ISERROR(('CAP18 Out(2)'!$G$13/'CAP18 Out(2)'!$G$23)),"(Estimated based on distance to CL rdwy)","(Based on percent of DC per column from CAP18)"),"(Distributed Equally to all Columns)"))</f>
        <v/>
      </c>
      <c r="I18" s="299"/>
      <c r="J18" s="299"/>
      <c r="K18" s="662"/>
      <c r="L18" s="383"/>
      <c r="M18" s="1135" t="s">
        <v>1365</v>
      </c>
    </row>
    <row r="19" spans="1:22" ht="12.75" customHeight="1">
      <c r="B19" s="662"/>
      <c r="C19" s="383"/>
      <c r="D19" s="299"/>
      <c r="E19" s="662"/>
      <c r="F19" s="366" t="s">
        <v>1261</v>
      </c>
      <c r="G19" s="775">
        <f>IF(NoSupports=1,1,IF(NoSupports=2,1-(DeckWidth/2/COS(RADIANS(BentSkew))-Geometry!J107)/ColSpa2,1/NoSupports))</f>
        <v>1</v>
      </c>
      <c r="H19" s="320" t="str">
        <f>IF(NoSupports=1,"",IF(NoSupports=2,"(Based on distance to CL rdwy)","(Distributed Equally to all Columns)"))</f>
        <v/>
      </c>
      <c r="I19" s="299"/>
      <c r="J19" s="299"/>
      <c r="K19" s="662"/>
      <c r="L19" s="383"/>
    </row>
    <row r="20" spans="1:22" ht="12.75" customHeight="1">
      <c r="B20" s="662"/>
      <c r="C20" s="383"/>
      <c r="D20" s="299"/>
      <c r="E20" s="662"/>
      <c r="F20" s="366" t="s">
        <v>1259</v>
      </c>
      <c r="G20" s="775">
        <f>1/NoSupports</f>
        <v>1</v>
      </c>
      <c r="H20" s="299" t="str">
        <f>IF(NoSupports&gt;1,"(Distributed Equally to all Columns)","")</f>
        <v/>
      </c>
      <c r="I20" s="299"/>
      <c r="J20" s="299"/>
      <c r="K20" s="662"/>
      <c r="L20" s="383"/>
    </row>
    <row r="21" spans="1:22" ht="12.75" customHeight="1">
      <c r="B21" s="662"/>
      <c r="C21" s="383"/>
      <c r="D21" s="299"/>
      <c r="E21" s="662"/>
      <c r="F21" s="366" t="s">
        <v>1260</v>
      </c>
      <c r="G21" s="775">
        <f>G19</f>
        <v>1</v>
      </c>
      <c r="H21" s="320" t="str">
        <f>IF(NoSupports=2,"(Based on distance to CL rdwy)",IF(NoSupports&gt;2,"(Distributed Equally to all Columns)",""))</f>
        <v/>
      </c>
      <c r="I21" s="299"/>
      <c r="J21" s="299"/>
      <c r="K21" s="662"/>
      <c r="L21" s="383"/>
    </row>
    <row r="22" spans="1:22" ht="18" customHeight="1" thickBot="1">
      <c r="B22" s="1523" t="s">
        <v>1183</v>
      </c>
      <c r="C22" s="1523"/>
      <c r="D22" s="1523"/>
      <c r="E22" s="1523"/>
      <c r="F22" s="1523"/>
      <c r="G22" s="1523"/>
      <c r="H22" s="1523"/>
      <c r="I22" s="1523"/>
      <c r="J22" s="1523"/>
      <c r="K22" s="1523"/>
      <c r="L22" s="1523"/>
      <c r="M22" s="367"/>
    </row>
    <row r="23" spans="1:22" s="362" customFormat="1" ht="13.5" customHeight="1">
      <c r="A23" s="361"/>
      <c r="B23" s="723"/>
      <c r="C23" s="100" t="s">
        <v>89</v>
      </c>
      <c r="D23" s="100"/>
      <c r="E23" s="822"/>
      <c r="F23" s="723"/>
      <c r="G23" s="1051"/>
      <c r="H23" s="723"/>
      <c r="I23" s="723"/>
      <c r="J23" s="723"/>
      <c r="K23" s="723"/>
      <c r="L23" s="723"/>
      <c r="M23" s="1135" t="s">
        <v>858</v>
      </c>
      <c r="Q23" s="368"/>
    </row>
    <row r="24" spans="1:22" s="362" customFormat="1" ht="13.5" customHeight="1">
      <c r="A24" s="361"/>
      <c r="B24" s="723"/>
      <c r="C24" s="290"/>
      <c r="D24" s="100" t="s">
        <v>86</v>
      </c>
      <c r="E24" s="822">
        <f>6+CapDepth+superdepth+bkbrgpad/12</f>
        <v>17.729166666666668</v>
      </c>
      <c r="F24" s="723" t="s">
        <v>156</v>
      </c>
      <c r="G24" s="13" t="str">
        <f>"{6' + superstructure + substructure + pad = 6' + "&amp;FIXED(superdepth,3)&amp;"' + "&amp;FIXED(CapDepth,3)&amp;"' + "&amp;bkbrgpad&amp;"in}"</f>
        <v>{6' + superstructure + substructure + pad = 6' + 6.375' + 5.125' + 2.75in}</v>
      </c>
      <c r="H24" s="723"/>
      <c r="I24" s="723"/>
      <c r="J24" s="723"/>
      <c r="K24" s="723"/>
      <c r="L24" s="723"/>
      <c r="Q24" s="368"/>
    </row>
    <row r="25" spans="1:22" s="362" customFormat="1" ht="13.5" customHeight="1">
      <c r="A25" s="361"/>
      <c r="B25" s="723"/>
      <c r="C25" s="290"/>
      <c r="D25" s="100" t="s">
        <v>87</v>
      </c>
      <c r="E25" s="822">
        <f>(CapDepth+(superdepth+railheight/12)/2)+bkbrgpad/12</f>
        <v>10.291666666666666</v>
      </c>
      <c r="F25" s="723" t="s">
        <v>156</v>
      </c>
      <c r="G25" s="13" t="str">
        <f>"{substruc + (superstruc + rail)/2 + pad = "&amp;FIXED(CapDepth,3)&amp;"' + ("&amp;FIXED(superdepth,3)&amp;"' + "&amp;FIXED(railheight/12,3)&amp;"')/2} + "&amp;bkbrgpad&amp;"in}"</f>
        <v>{substruc + (superstruc + rail)/2 + pad = 5.125' + (6.375' + 3.500')/2} + 2.75in}</v>
      </c>
      <c r="H25" s="723"/>
      <c r="I25" s="723"/>
      <c r="J25" s="723"/>
      <c r="K25" s="723"/>
      <c r="L25" s="723"/>
      <c r="Q25" s="368"/>
    </row>
    <row r="26" spans="1:22" s="362" customFormat="1" ht="13.15" customHeight="1">
      <c r="A26" s="361"/>
      <c r="B26" s="723"/>
      <c r="C26" s="723"/>
      <c r="D26" s="100" t="s">
        <v>88</v>
      </c>
      <c r="E26" s="822">
        <f>CapDepth/2</f>
        <v>2.5625</v>
      </c>
      <c r="F26" s="723" t="s">
        <v>156</v>
      </c>
      <c r="G26" s="13" t="str">
        <f>"{top of column to top of bearing seat / 2 = "&amp;FIXED(CapDepth,3)&amp;"' / 2}"</f>
        <v>{top of column to top of bearing seat / 2 = 5.125' / 2}</v>
      </c>
      <c r="H26" s="723"/>
      <c r="I26" s="723"/>
      <c r="J26" s="723"/>
      <c r="K26" s="723"/>
      <c r="L26" s="723"/>
      <c r="Q26" s="368"/>
    </row>
    <row r="27" spans="1:22" s="364" customFormat="1" ht="14.25">
      <c r="A27" s="363"/>
      <c r="B27" s="385"/>
      <c r="C27" s="776"/>
      <c r="D27" s="385"/>
      <c r="E27" s="777"/>
      <c r="F27" s="778" t="s">
        <v>1184</v>
      </c>
      <c r="G27" s="778" t="s">
        <v>70</v>
      </c>
      <c r="H27" s="778" t="s">
        <v>71</v>
      </c>
      <c r="I27" s="778" t="s">
        <v>73</v>
      </c>
      <c r="J27" s="778" t="s">
        <v>72</v>
      </c>
      <c r="K27" s="385"/>
      <c r="L27" s="385"/>
      <c r="Q27" s="368"/>
      <c r="R27" s="362"/>
      <c r="S27" s="362"/>
    </row>
    <row r="28" spans="1:22" s="364" customFormat="1" hidden="1">
      <c r="A28" s="363" t="s">
        <v>1302</v>
      </c>
      <c r="B28" s="385"/>
      <c r="C28" s="776"/>
      <c r="D28" s="385"/>
      <c r="E28" s="672" t="s">
        <v>1185</v>
      </c>
      <c r="F28" s="369">
        <v>0</v>
      </c>
      <c r="G28" s="369">
        <v>0</v>
      </c>
      <c r="H28" s="369">
        <v>0</v>
      </c>
      <c r="I28" s="370">
        <v>0</v>
      </c>
      <c r="J28" s="370">
        <v>0</v>
      </c>
      <c r="K28" s="385"/>
      <c r="L28" s="319"/>
      <c r="M28" s="350"/>
      <c r="N28" s="350"/>
      <c r="O28" s="350"/>
      <c r="P28" s="350"/>
      <c r="Q28" s="351"/>
      <c r="R28" s="362"/>
      <c r="S28" s="352"/>
      <c r="T28" s="350"/>
      <c r="U28" s="350"/>
      <c r="V28" s="350"/>
    </row>
    <row r="29" spans="1:22" s="364" customFormat="1">
      <c r="A29" s="363"/>
      <c r="B29" s="385"/>
      <c r="C29" s="776"/>
      <c r="D29" s="385"/>
      <c r="E29" s="672" t="s">
        <v>721</v>
      </c>
      <c r="F29" s="373">
        <f>(BkSpanDC+FwdSpanDC+CapWeight+PedestalWt)*$G$18+CapitalWt+addl_DC_P</f>
        <v>1321.46875</v>
      </c>
      <c r="G29" s="373">
        <v>0</v>
      </c>
      <c r="H29" s="373">
        <v>0</v>
      </c>
      <c r="I29" s="370">
        <f>IF(NoSupports=1,SUM(S39,S40)-CapWeight*Col_Offset+addl_DC_My,0)</f>
        <v>499.50999999999658</v>
      </c>
      <c r="J29" s="370">
        <f>ABS((FwdSpanDC-BkSpanDC)*BearingDist/12*$G$18)+addl_DC_Mx</f>
        <v>94.916249999999877</v>
      </c>
      <c r="K29" s="385"/>
      <c r="L29" s="319"/>
      <c r="M29" s="350"/>
    </row>
    <row r="30" spans="1:22" s="364" customFormat="1">
      <c r="A30" s="363"/>
      <c r="B30" s="385"/>
      <c r="C30" s="776"/>
      <c r="D30" s="385"/>
      <c r="E30" s="672" t="s">
        <v>1186</v>
      </c>
      <c r="F30" s="373">
        <f>(MAX(BkSpanDC,FwdSpanDC)+CapWeight+PedestalWt)*$G$18+CapitalWt+addl_DC_P</f>
        <v>793.99249999999995</v>
      </c>
      <c r="G30" s="373">
        <v>0</v>
      </c>
      <c r="H30" s="373">
        <v>0</v>
      </c>
      <c r="I30" s="370">
        <f>IF(NoSupports=1,IF(bkspanpgl&gt;fdspanpgl,S39,S40)-CapWeight*Col_Offset+addl_DC_My,0)</f>
        <v>236.60999999999831</v>
      </c>
      <c r="J30" s="370">
        <f>ABS(IF(bkspanpgl&gt;fdspanpgl,BkSpanDC,FwdSpanDC)*BearingDist/12*$G$18)+addl_DC_Mx</f>
        <v>622.39249999999993</v>
      </c>
      <c r="K30" s="385"/>
      <c r="L30" s="385"/>
    </row>
    <row r="31" spans="1:22" s="364" customFormat="1" ht="13.5" thickBot="1">
      <c r="A31" s="363"/>
      <c r="B31" s="385"/>
      <c r="C31" s="776"/>
      <c r="D31" s="385"/>
      <c r="E31" s="672" t="s">
        <v>890</v>
      </c>
      <c r="F31" s="373">
        <f>(BkSpanDW+FwdSpanDW)*$G$19</f>
        <v>16.5</v>
      </c>
      <c r="G31" s="373">
        <v>0</v>
      </c>
      <c r="H31" s="373">
        <v>0</v>
      </c>
      <c r="I31" s="370">
        <f>IF(NoSupports=1,IF(bkspanpgl&gt;fdspanpgl,S42,S43),0)</f>
        <v>0</v>
      </c>
      <c r="J31" s="370">
        <f>ABS((FwdSpanDW-BkSpanDW)*BearingDist/12*$G$19)</f>
        <v>1.5</v>
      </c>
      <c r="K31" s="385"/>
      <c r="L31" s="385"/>
      <c r="N31" s="353" t="s">
        <v>1301</v>
      </c>
      <c r="O31" s="354"/>
      <c r="P31" s="354"/>
      <c r="Q31" s="371"/>
      <c r="R31" s="371"/>
      <c r="S31" s="372"/>
      <c r="T31" s="371"/>
      <c r="U31" s="371"/>
    </row>
    <row r="32" spans="1:22" s="364" customFormat="1" hidden="1">
      <c r="A32" s="363" t="s">
        <v>1302</v>
      </c>
      <c r="B32" s="385"/>
      <c r="C32" s="776"/>
      <c r="D32" s="385"/>
      <c r="E32" s="672" t="s">
        <v>1187</v>
      </c>
      <c r="F32" s="373">
        <v>0</v>
      </c>
      <c r="G32" s="373">
        <v>0</v>
      </c>
      <c r="H32" s="373">
        <v>0</v>
      </c>
      <c r="I32" s="370">
        <v>0</v>
      </c>
      <c r="J32" s="370">
        <v>0</v>
      </c>
      <c r="K32" s="385"/>
      <c r="L32" s="385"/>
    </row>
    <row r="33" spans="1:20" s="364" customFormat="1" hidden="1">
      <c r="A33" s="363" t="s">
        <v>1302</v>
      </c>
      <c r="B33" s="385"/>
      <c r="C33" s="776"/>
      <c r="D33" s="385"/>
      <c r="E33" s="672" t="s">
        <v>1190</v>
      </c>
      <c r="F33" s="373">
        <v>0</v>
      </c>
      <c r="G33" s="373">
        <v>0</v>
      </c>
      <c r="H33" s="373">
        <v>0</v>
      </c>
      <c r="I33" s="370">
        <v>0</v>
      </c>
      <c r="J33" s="370">
        <v>0</v>
      </c>
      <c r="K33" s="385"/>
      <c r="L33" s="385"/>
    </row>
    <row r="34" spans="1:20" s="364" customFormat="1" hidden="1">
      <c r="A34" s="363" t="s">
        <v>1302</v>
      </c>
      <c r="B34" s="385"/>
      <c r="C34" s="776"/>
      <c r="D34" s="385"/>
      <c r="E34" s="672" t="s">
        <v>1189</v>
      </c>
      <c r="F34" s="373">
        <v>0</v>
      </c>
      <c r="G34" s="373">
        <v>0</v>
      </c>
      <c r="H34" s="373">
        <v>0</v>
      </c>
      <c r="I34" s="370">
        <v>0</v>
      </c>
      <c r="J34" s="370">
        <v>0</v>
      </c>
      <c r="K34" s="385"/>
      <c r="L34" s="385"/>
    </row>
    <row r="35" spans="1:20" s="364" customFormat="1" hidden="1">
      <c r="A35" s="363" t="s">
        <v>1302</v>
      </c>
      <c r="B35" s="385"/>
      <c r="C35" s="776"/>
      <c r="D35" s="385"/>
      <c r="E35" s="672" t="s">
        <v>1188</v>
      </c>
      <c r="F35" s="373">
        <v>0</v>
      </c>
      <c r="G35" s="373">
        <v>0</v>
      </c>
      <c r="H35" s="373">
        <v>0</v>
      </c>
      <c r="I35" s="370">
        <v>0</v>
      </c>
      <c r="J35" s="370">
        <v>0</v>
      </c>
      <c r="K35" s="385"/>
      <c r="L35" s="385"/>
    </row>
    <row r="36" spans="1:20" s="364" customFormat="1" hidden="1">
      <c r="A36" s="363" t="s">
        <v>1302</v>
      </c>
      <c r="B36" s="385"/>
      <c r="C36" s="776"/>
      <c r="D36" s="385"/>
      <c r="E36" s="672" t="s">
        <v>1191</v>
      </c>
      <c r="F36" s="373">
        <v>0</v>
      </c>
      <c r="G36" s="373">
        <v>0</v>
      </c>
      <c r="H36" s="373">
        <v>0</v>
      </c>
      <c r="I36" s="370">
        <v>0</v>
      </c>
      <c r="J36" s="370">
        <v>0</v>
      </c>
      <c r="K36" s="385"/>
      <c r="L36" s="385"/>
    </row>
    <row r="37" spans="1:20" s="364" customFormat="1" hidden="1">
      <c r="A37" s="363" t="s">
        <v>1302</v>
      </c>
      <c r="B37" s="385"/>
      <c r="C37" s="776"/>
      <c r="D37" s="385"/>
      <c r="E37" s="672" t="s">
        <v>1192</v>
      </c>
      <c r="F37" s="373">
        <v>0</v>
      </c>
      <c r="G37" s="373">
        <v>0</v>
      </c>
      <c r="H37" s="373">
        <v>0</v>
      </c>
      <c r="I37" s="370">
        <v>0</v>
      </c>
      <c r="J37" s="370">
        <v>0</v>
      </c>
      <c r="K37" s="385"/>
      <c r="L37" s="385"/>
    </row>
    <row r="38" spans="1:20" s="364" customFormat="1" hidden="1">
      <c r="A38" s="363" t="s">
        <v>1302</v>
      </c>
      <c r="B38" s="385"/>
      <c r="C38" s="776"/>
      <c r="D38" s="385"/>
      <c r="E38" s="672" t="s">
        <v>1193</v>
      </c>
      <c r="F38" s="373">
        <v>0</v>
      </c>
      <c r="G38" s="373">
        <v>0</v>
      </c>
      <c r="H38" s="373">
        <v>0</v>
      </c>
      <c r="I38" s="370">
        <v>0</v>
      </c>
      <c r="J38" s="370">
        <v>0</v>
      </c>
      <c r="K38" s="385"/>
      <c r="L38" s="385"/>
    </row>
    <row r="39" spans="1:20" s="364" customFormat="1">
      <c r="A39" s="363"/>
      <c r="B39" s="385"/>
      <c r="C39" s="776"/>
      <c r="D39" s="385"/>
      <c r="E39" s="672" t="s">
        <v>1194</v>
      </c>
      <c r="F39" s="373">
        <f t="shared" ref="F39:F44" si="0">IF(NoSupports=2,-G39/$G$20*($E$24)/ColSpa2,0)</f>
        <v>0</v>
      </c>
      <c r="G39" s="373">
        <f>NumLanes*VLOOKUP(NumLanes,'CE &amp; BR'!A36:L39,11)*$G$20</f>
        <v>0</v>
      </c>
      <c r="H39" s="373">
        <f>NumLanes*VLOOKUP(NumLanes,'CE &amp; BR'!A36:L39,12)*$G$21</f>
        <v>17.881066666666669</v>
      </c>
      <c r="I39" s="370">
        <f t="shared" ref="I39:I46" si="1">IF(NoSupports=1,G39*$E$24,0)</f>
        <v>0</v>
      </c>
      <c r="J39" s="370">
        <f t="shared" ref="J39:J46" si="2">H39*$E$24</f>
        <v>317.01641111111115</v>
      </c>
      <c r="K39" s="385"/>
      <c r="L39" s="385"/>
      <c r="M39" s="1135" t="s">
        <v>857</v>
      </c>
      <c r="R39" s="368" t="s">
        <v>1276</v>
      </c>
      <c r="S39" s="1230">
        <f>'Dead Load Moment'!J34</f>
        <v>262.89999999999827</v>
      </c>
      <c r="T39" s="362" t="s">
        <v>400</v>
      </c>
    </row>
    <row r="40" spans="1:20" s="364" customFormat="1">
      <c r="A40" t="str">
        <f>IF(NoSupports&lt;&gt;1,"*",IF(Col_Offset=0,IF(curvedirection="left","","*"),""))</f>
        <v/>
      </c>
      <c r="B40" s="385"/>
      <c r="C40" s="776"/>
      <c r="D40" s="385"/>
      <c r="E40" s="672" t="s">
        <v>830</v>
      </c>
      <c r="F40" s="373">
        <f t="shared" si="0"/>
        <v>0</v>
      </c>
      <c r="G40" s="373">
        <f>IF(NumLanesOut=0,0,NumLanesOut*VLOOKUP(NumLanesOut,'CE &amp; BR'!A36:L39,11)*$G$20)</f>
        <v>0</v>
      </c>
      <c r="H40" s="373">
        <f>IF(NumLanesOut=0,0,NumLanesOut*VLOOKUP(NumLanesOut,'CE &amp; BR'!A36:L39,12)*$G$21)</f>
        <v>13.754666666666669</v>
      </c>
      <c r="I40" s="370">
        <f>IF(NoSupports=1,G40*$E$24,0)</f>
        <v>0</v>
      </c>
      <c r="J40" s="370">
        <f t="shared" si="2"/>
        <v>243.85877777777785</v>
      </c>
      <c r="K40" s="385"/>
      <c r="L40" s="385"/>
      <c r="M40" s="1135" t="s">
        <v>852</v>
      </c>
      <c r="R40" s="368" t="s">
        <v>1277</v>
      </c>
      <c r="S40" s="1230">
        <f>'Dead Load Moment'!J59</f>
        <v>236.60999999999831</v>
      </c>
      <c r="T40" s="362" t="s">
        <v>400</v>
      </c>
    </row>
    <row r="41" spans="1:20" s="364" customFormat="1" hidden="1">
      <c r="A41" t="str">
        <f>IF(NoSupports&lt;&gt;1,"*",IF(Col_Offset=0,IF(curvedirection="left","*",""),""))</f>
        <v>*</v>
      </c>
      <c r="B41" s="385"/>
      <c r="C41" s="776"/>
      <c r="D41" s="385"/>
      <c r="E41" s="672" t="s">
        <v>833</v>
      </c>
      <c r="F41" s="373">
        <f t="shared" si="0"/>
        <v>0</v>
      </c>
      <c r="G41" s="373">
        <f>IF(NumLanesIn=0,0,NumLanesIn*VLOOKUP(NumLanesIn,'CE &amp; BR'!A36:L39,11)*$G$20)</f>
        <v>0</v>
      </c>
      <c r="H41" s="373">
        <f>IF(NumLanesIn=0,0,NumLanesIn*VLOOKUP(NumLanesIn,'CE &amp; BR'!A36:L39,12)*$G$21)</f>
        <v>13.754666666666669</v>
      </c>
      <c r="I41" s="370">
        <f>IF(NoSupports=1,G41*$E$24,0)</f>
        <v>0</v>
      </c>
      <c r="J41" s="370">
        <f t="shared" si="2"/>
        <v>243.85877777777785</v>
      </c>
      <c r="K41" s="385"/>
      <c r="L41" s="385"/>
      <c r="M41" s="1135" t="s">
        <v>854</v>
      </c>
      <c r="R41" s="368"/>
      <c r="S41" s="1230"/>
      <c r="T41" s="362"/>
    </row>
    <row r="42" spans="1:20" s="364" customFormat="1">
      <c r="A42" s="363"/>
      <c r="B42" s="385"/>
      <c r="C42" s="776"/>
      <c r="D42" s="385"/>
      <c r="E42" s="672" t="s">
        <v>1195</v>
      </c>
      <c r="F42" s="373">
        <f t="shared" si="0"/>
        <v>0</v>
      </c>
      <c r="G42" s="373">
        <f>NumLanes*VLOOKUP(NumLanes,'CE &amp; BR'!A42:L45,11)*$G$20</f>
        <v>0</v>
      </c>
      <c r="H42" s="373">
        <f>NumLanes*VLOOKUP(NumLanes,'CE &amp; BR'!A42:L45,12)*$G$21</f>
        <v>13.624000000000004</v>
      </c>
      <c r="I42" s="370">
        <f t="shared" si="1"/>
        <v>0</v>
      </c>
      <c r="J42" s="370">
        <f t="shared" si="2"/>
        <v>241.54216666666676</v>
      </c>
      <c r="K42" s="385"/>
      <c r="L42" s="385"/>
      <c r="R42" s="368" t="s">
        <v>1278</v>
      </c>
      <c r="S42" s="1230">
        <f>'Dead Load Moment'!K34</f>
        <v>0</v>
      </c>
      <c r="T42" s="362" t="s">
        <v>400</v>
      </c>
    </row>
    <row r="43" spans="1:20" s="364" customFormat="1">
      <c r="A43" t="str">
        <f>IF(NoSupports&lt;&gt;1,"*",IF(Col_Offset=0,IF(curvedirection="left","","*"),""))</f>
        <v/>
      </c>
      <c r="B43" s="385"/>
      <c r="C43" s="776"/>
      <c r="D43" s="385"/>
      <c r="E43" s="672" t="s">
        <v>831</v>
      </c>
      <c r="F43" s="373">
        <f t="shared" si="0"/>
        <v>0</v>
      </c>
      <c r="G43" s="373">
        <f>IF(NumLanesOut=0,0,NumLanesOut*VLOOKUP(NumLanesOut,'CE &amp; BR'!A42:L45,11)*$G$20)</f>
        <v>0</v>
      </c>
      <c r="H43" s="373">
        <f>IF(NumLanesOut=0,0,NumLanesOut*VLOOKUP(NumLanesOut,'CE &amp; BR'!A42:L45,12)*$G$21)</f>
        <v>10.480000000000002</v>
      </c>
      <c r="I43" s="370">
        <f t="shared" si="1"/>
        <v>0</v>
      </c>
      <c r="J43" s="370">
        <f t="shared" si="2"/>
        <v>185.8016666666667</v>
      </c>
      <c r="K43" s="385"/>
      <c r="L43" s="385"/>
      <c r="R43" s="368" t="s">
        <v>1279</v>
      </c>
      <c r="S43" s="1230">
        <f>'Dead Load Moment'!K59</f>
        <v>0</v>
      </c>
      <c r="T43" s="362" t="s">
        <v>400</v>
      </c>
    </row>
    <row r="44" spans="1:20" s="364" customFormat="1" hidden="1">
      <c r="A44" t="str">
        <f>IF(NoSupports&lt;&gt;1,"*",IF(Col_Offset=0,IF(curvedirection="left","*",""),""))</f>
        <v>*</v>
      </c>
      <c r="B44" s="385"/>
      <c r="C44" s="776"/>
      <c r="D44" s="385"/>
      <c r="E44" s="672" t="s">
        <v>832</v>
      </c>
      <c r="F44" s="373">
        <f t="shared" si="0"/>
        <v>0</v>
      </c>
      <c r="G44" s="373">
        <f>IF(NumLanesIn=0,0,NumLanesIn*VLOOKUP(NumLanesIn,'CE &amp; BR'!A42:L45,11)*$G$20)</f>
        <v>0</v>
      </c>
      <c r="H44" s="373">
        <f>IF(NumLanesIn=0,0,NumLanesIn*VLOOKUP(NumLanesIn,'CE &amp; BR'!A42:L45,12)*$G$21)</f>
        <v>10.480000000000002</v>
      </c>
      <c r="I44" s="370">
        <f>IF(NoSupports=1,G44*$E$24,0)</f>
        <v>0</v>
      </c>
      <c r="J44" s="370">
        <f>H44*$E$24</f>
        <v>185.8016666666667</v>
      </c>
      <c r="K44" s="385"/>
      <c r="L44" s="385"/>
      <c r="R44" s="368"/>
      <c r="S44" s="1230"/>
      <c r="T44" s="362"/>
    </row>
    <row r="45" spans="1:20" s="364" customFormat="1">
      <c r="A45" s="363"/>
      <c r="B45" s="385"/>
      <c r="C45" s="776"/>
      <c r="D45" s="385"/>
      <c r="E45" s="672" t="s">
        <v>1275</v>
      </c>
      <c r="F45" s="373">
        <f>IF(NoSupports=2,-1*G45^2/$G$20*$E$24/ColSpa2,0)</f>
        <v>0</v>
      </c>
      <c r="G45" s="373">
        <f>NumLanes*VLOOKUP(NumLanes,'CE &amp; BR'!A24:L27,11)*G20</f>
        <v>1.8720000000000001E-2</v>
      </c>
      <c r="H45" s="373">
        <f>NumLanes*VLOOKUP(NumLanes,'CE &amp; BR'!A24:L27,12)*$G$21</f>
        <v>0</v>
      </c>
      <c r="I45" s="370">
        <f>IF(NoSupports=1,G45*$E$24,0)</f>
        <v>0.33189000000000002</v>
      </c>
      <c r="J45" s="370">
        <f t="shared" si="2"/>
        <v>0</v>
      </c>
      <c r="K45" s="385"/>
      <c r="L45" s="385"/>
      <c r="M45" s="1135" t="s">
        <v>1353</v>
      </c>
      <c r="R45" s="4" t="s">
        <v>1280</v>
      </c>
      <c r="S45" s="1230">
        <f>'Live Load on Column'!G27</f>
        <v>57.611840000000001</v>
      </c>
      <c r="T45" s="362" t="s">
        <v>400</v>
      </c>
    </row>
    <row r="46" spans="1:20" s="364" customFormat="1">
      <c r="A46" t="str">
        <f>IF(NoSupports&lt;&gt;1,"*",IF(Col_Offset=0,IF(curvedirection="left","","*"),""))</f>
        <v/>
      </c>
      <c r="B46" s="385"/>
      <c r="C46" s="776"/>
      <c r="D46" s="385"/>
      <c r="E46" s="672" t="s">
        <v>834</v>
      </c>
      <c r="F46" s="373">
        <f>IF(NoSupports=2,-1*G46^2/$G$20*$E$24/ColSpa2,0)</f>
        <v>0</v>
      </c>
      <c r="G46" s="373">
        <f>IF(curvedirection="left",IF(NumLanesOut=0,0,NumLanesOut*VLOOKUP(NumLanesOut,'CE &amp; BR'!A24:L27,11)*G20),0)</f>
        <v>1.4400000000000001E-2</v>
      </c>
      <c r="H46" s="373">
        <f>IF(curvedirection="left",IF(NumLanesOut=0,0,NumLanesOut*VLOOKUP(NumLanesOut,'CE &amp; BR'!A24:L27,12)*G21),0)</f>
        <v>0</v>
      </c>
      <c r="I46" s="370">
        <f t="shared" si="1"/>
        <v>0.25530000000000003</v>
      </c>
      <c r="J46" s="370">
        <f t="shared" si="2"/>
        <v>0</v>
      </c>
      <c r="K46" s="1136" t="str">
        <f>IF(curvedirection="right","    Ignore CE","")</f>
        <v/>
      </c>
      <c r="L46" s="385"/>
      <c r="M46" s="1135" t="s">
        <v>855</v>
      </c>
      <c r="R46" s="4" t="s">
        <v>844</v>
      </c>
      <c r="S46" s="1230">
        <f>'Live Load on Column'!G28</f>
        <v>576.11840000000007</v>
      </c>
      <c r="T46" s="362" t="s">
        <v>400</v>
      </c>
    </row>
    <row r="47" spans="1:20" s="364" customFormat="1" hidden="1">
      <c r="A47" t="str">
        <f>IF(NoSupports&lt;&gt;1,"*",IF(Col_Offset=0,IF(curvedirection="left","*",""),""))</f>
        <v>*</v>
      </c>
      <c r="B47" s="385"/>
      <c r="C47" s="776"/>
      <c r="D47" s="385"/>
      <c r="E47" s="672" t="s">
        <v>835</v>
      </c>
      <c r="F47" s="373">
        <f>IF(NoSupports=2,-1*G47^2/$G$20*$E$24/ColSpa2,0)</f>
        <v>0</v>
      </c>
      <c r="G47" s="373">
        <f>IF(curvedirection="right",IF(NumLanesIn=0,0,NumLanesIn*VLOOKUP(NumLanesIn,'CE &amp; BR'!A24:L27,11)*G20),0)</f>
        <v>0</v>
      </c>
      <c r="H47" s="373">
        <f>IF(curvedirection="right",IF(NumLanesIn=0,0,NumLanesIn*VLOOKUP(NumLanesIn,'CE &amp; BR'!A24:L27,12)*G21),0)</f>
        <v>0</v>
      </c>
      <c r="I47" s="370">
        <f>IF(NoSupports=1,G47*$E$24,0)</f>
        <v>0</v>
      </c>
      <c r="J47" s="370">
        <f>H47*$E$24</f>
        <v>0</v>
      </c>
      <c r="K47" s="1136" t="str">
        <f>IF(curvedirection="left","    Ignore CE","")</f>
        <v xml:space="preserve">    Ignore CE</v>
      </c>
      <c r="L47" s="385"/>
      <c r="M47" s="1135" t="s">
        <v>856</v>
      </c>
      <c r="R47" s="342"/>
      <c r="S47" s="1230"/>
      <c r="T47" s="362"/>
    </row>
    <row r="48" spans="1:20" s="364" customFormat="1" hidden="1">
      <c r="A48" s="363" t="s">
        <v>1302</v>
      </c>
      <c r="B48" s="385"/>
      <c r="C48" s="776"/>
      <c r="D48" s="385"/>
      <c r="E48" s="672" t="s">
        <v>1196</v>
      </c>
      <c r="F48" s="373">
        <v>0</v>
      </c>
      <c r="G48" s="373">
        <v>0</v>
      </c>
      <c r="H48" s="373">
        <v>0</v>
      </c>
      <c r="I48" s="370">
        <v>0</v>
      </c>
      <c r="J48" s="370">
        <v>0</v>
      </c>
      <c r="K48" s="385"/>
      <c r="L48" s="385"/>
      <c r="R48" s="346"/>
      <c r="S48" s="346"/>
    </row>
    <row r="49" spans="1:20" s="364" customFormat="1" hidden="1">
      <c r="A49" s="363" t="s">
        <v>1302</v>
      </c>
      <c r="B49" s="385"/>
      <c r="C49" s="776"/>
      <c r="D49" s="385"/>
      <c r="E49" s="672" t="s">
        <v>1197</v>
      </c>
      <c r="F49" s="373">
        <v>0</v>
      </c>
      <c r="G49" s="373">
        <v>0</v>
      </c>
      <c r="H49" s="373">
        <v>0</v>
      </c>
      <c r="I49" s="370">
        <v>0</v>
      </c>
      <c r="J49" s="370">
        <v>0</v>
      </c>
      <c r="K49" s="385"/>
      <c r="L49" s="385"/>
      <c r="R49" s="346"/>
      <c r="S49" s="346"/>
    </row>
    <row r="50" spans="1:20" s="364" customFormat="1" hidden="1">
      <c r="A50" s="363" t="s">
        <v>1302</v>
      </c>
      <c r="B50" s="385"/>
      <c r="C50" s="776"/>
      <c r="D50" s="385"/>
      <c r="E50" s="672" t="s">
        <v>1198</v>
      </c>
      <c r="F50" s="373">
        <v>0</v>
      </c>
      <c r="G50" s="373">
        <v>0</v>
      </c>
      <c r="H50" s="373">
        <v>0</v>
      </c>
      <c r="I50" s="370">
        <v>0</v>
      </c>
      <c r="J50" s="370">
        <v>0</v>
      </c>
      <c r="K50" s="385"/>
      <c r="L50" s="385"/>
      <c r="R50" s="346"/>
      <c r="S50" s="346"/>
    </row>
    <row r="51" spans="1:20" s="364" customFormat="1" hidden="1">
      <c r="A51" s="363" t="s">
        <v>1302</v>
      </c>
      <c r="B51" s="385"/>
      <c r="C51" s="776"/>
      <c r="D51" s="385"/>
      <c r="E51" s="672" t="s">
        <v>1199</v>
      </c>
      <c r="F51" s="373">
        <v>0</v>
      </c>
      <c r="G51" s="373">
        <v>0</v>
      </c>
      <c r="H51" s="373">
        <v>0</v>
      </c>
      <c r="I51" s="370">
        <v>0</v>
      </c>
      <c r="J51" s="370">
        <v>0</v>
      </c>
      <c r="K51" s="385"/>
      <c r="L51" s="385"/>
      <c r="R51" s="346"/>
      <c r="S51" s="346"/>
    </row>
    <row r="52" spans="1:20" s="364" customFormat="1" hidden="1">
      <c r="A52" s="363" t="s">
        <v>1302</v>
      </c>
      <c r="B52" s="385"/>
      <c r="C52" s="776"/>
      <c r="D52" s="385"/>
      <c r="E52" s="672" t="s">
        <v>1200</v>
      </c>
      <c r="F52" s="373">
        <v>0</v>
      </c>
      <c r="G52" s="373">
        <v>0</v>
      </c>
      <c r="H52" s="373">
        <v>0</v>
      </c>
      <c r="I52" s="370">
        <v>0</v>
      </c>
      <c r="J52" s="370">
        <v>0</v>
      </c>
      <c r="K52" s="385"/>
      <c r="L52" s="385"/>
      <c r="R52" s="346"/>
      <c r="S52" s="346"/>
    </row>
    <row r="53" spans="1:20" s="364" customFormat="1">
      <c r="A53" s="363"/>
      <c r="B53" s="385"/>
      <c r="C53" s="776"/>
      <c r="D53" s="385"/>
      <c r="E53" s="672" t="s">
        <v>1201</v>
      </c>
      <c r="F53" s="373">
        <f>IF(NoSupports=1,NumLanes*MultiPresTot*IMBothSpan,NumLanes*MultiPresTot*IMBothSpan*$G$19)</f>
        <v>57.611840000000001</v>
      </c>
      <c r="G53" s="373">
        <v>0</v>
      </c>
      <c r="H53" s="373">
        <v>0</v>
      </c>
      <c r="I53" s="370">
        <f>IF(NoSupports=1,S45,0)</f>
        <v>57.611840000000001</v>
      </c>
      <c r="J53" s="370">
        <f>ABS('Live Load on Column'!G51*G19)</f>
        <v>45.805759999999992</v>
      </c>
      <c r="K53" s="385"/>
      <c r="L53" s="385"/>
      <c r="R53" s="4" t="s">
        <v>845</v>
      </c>
      <c r="S53" s="1230">
        <f>'Live Load on Column'!G29</f>
        <v>-576.11840000000007</v>
      </c>
      <c r="T53" s="362" t="s">
        <v>400</v>
      </c>
    </row>
    <row r="54" spans="1:20" s="364" customFormat="1">
      <c r="A54" t="str">
        <f>IF(NoSupports&lt;&gt;1,"*",IF(Col_Offset=0,IF(curvedirection="left","","*"),""))</f>
        <v/>
      </c>
      <c r="B54" s="385"/>
      <c r="C54" s="776"/>
      <c r="D54" s="385"/>
      <c r="E54" s="672" t="s">
        <v>836</v>
      </c>
      <c r="F54" s="373">
        <f>IF(NoSupports=1,NumLanesOut*MultiPresOut*IMBothSpan,NumLanesOut*MultiPresOut*IMBothSpan*$G$19)</f>
        <v>44.316800000000001</v>
      </c>
      <c r="G54" s="373">
        <v>0</v>
      </c>
      <c r="H54" s="373">
        <v>0</v>
      </c>
      <c r="I54" s="370">
        <f>IF(NoSupports=1,S46,0)</f>
        <v>576.11840000000007</v>
      </c>
      <c r="J54" s="370">
        <f>ABS('Live Load on Column'!G52*G19)</f>
        <v>35.235199999999992</v>
      </c>
      <c r="K54" s="385"/>
      <c r="L54" s="385"/>
      <c r="M54" s="1135" t="s">
        <v>852</v>
      </c>
      <c r="R54" s="4" t="s">
        <v>1281</v>
      </c>
      <c r="S54" s="1230">
        <f>'Live Load on Column'!G36</f>
        <v>56.97120000000001</v>
      </c>
      <c r="T54" s="362" t="s">
        <v>400</v>
      </c>
    </row>
    <row r="55" spans="1:20" s="364" customFormat="1" hidden="1">
      <c r="A55" t="str">
        <f>IF(NoSupports&lt;&gt;1,"*",IF(Col_Offset=0,IF(curvedirection="left","*",""),""))</f>
        <v>*</v>
      </c>
      <c r="B55" s="385"/>
      <c r="C55" s="776"/>
      <c r="D55" s="385"/>
      <c r="E55" s="672" t="s">
        <v>837</v>
      </c>
      <c r="F55" s="373">
        <f>IF(NoSupports=1,NumLanesIn*MultiPresIn*IMBothSpan,NumLanesIn*MultiPresIn*IMBothSpan*$G$19)</f>
        <v>44.316800000000001</v>
      </c>
      <c r="G55" s="373">
        <v>0</v>
      </c>
      <c r="H55" s="373">
        <v>0</v>
      </c>
      <c r="I55" s="370">
        <f>IF(NoSupports=1,S53,0)</f>
        <v>-576.11840000000007</v>
      </c>
      <c r="J55" s="370">
        <f>ABS('Live Load on Column'!G53*G19)</f>
        <v>35.235199999999992</v>
      </c>
      <c r="K55" s="385"/>
      <c r="L55" s="385"/>
      <c r="M55" s="1135" t="s">
        <v>854</v>
      </c>
      <c r="R55" s="4" t="s">
        <v>846</v>
      </c>
      <c r="S55" s="1230">
        <f>'Live Load on Column'!G37</f>
        <v>569.7120000000001</v>
      </c>
      <c r="T55" s="362" t="s">
        <v>400</v>
      </c>
    </row>
    <row r="56" spans="1:20" s="364" customFormat="1">
      <c r="A56" s="363"/>
      <c r="B56" s="385"/>
      <c r="C56" s="776"/>
      <c r="D56" s="385"/>
      <c r="E56" s="672" t="s">
        <v>1202</v>
      </c>
      <c r="F56" s="373">
        <f>IF(NoSupports=1,NumLanes*MultiPresTot*IMLongSpan,NumLanes*MultiPresTot*IMLongSpan*$G$19)</f>
        <v>56.97120000000001</v>
      </c>
      <c r="G56" s="373">
        <v>0</v>
      </c>
      <c r="H56" s="373">
        <v>0</v>
      </c>
      <c r="I56" s="370">
        <f>IF(NoSupports=1,S54,0)</f>
        <v>56.97120000000001</v>
      </c>
      <c r="J56" s="370">
        <f>ABS('Live Load on Column'!G60*G19)</f>
        <v>56.97120000000001</v>
      </c>
      <c r="K56" s="385"/>
      <c r="L56" s="385"/>
      <c r="R56" s="4" t="s">
        <v>847</v>
      </c>
      <c r="S56" s="1230">
        <f>'Live Load on Column'!G38</f>
        <v>-569.7120000000001</v>
      </c>
      <c r="T56" s="362" t="s">
        <v>400</v>
      </c>
    </row>
    <row r="57" spans="1:20" s="364" customFormat="1">
      <c r="A57" t="str">
        <f>IF(NoSupports&lt;&gt;1,"*",IF(Col_Offset=0,IF(curvedirection="left","","*"),""))</f>
        <v/>
      </c>
      <c r="B57" s="385"/>
      <c r="C57" s="776"/>
      <c r="D57" s="385"/>
      <c r="E57" s="672" t="s">
        <v>838</v>
      </c>
      <c r="F57" s="373">
        <f>IF(NoSupports=1,NumLanesOut*MultiPresOut*IMLongSpan,NumLanesOut*MultiPresOut*IMLongSpan*$G$19)</f>
        <v>43.824000000000005</v>
      </c>
      <c r="G57" s="373">
        <v>0</v>
      </c>
      <c r="H57" s="373">
        <v>0</v>
      </c>
      <c r="I57" s="370">
        <f>IF(NoSupports=1,S55,0)</f>
        <v>569.7120000000001</v>
      </c>
      <c r="J57" s="370">
        <f>ABS('Live Load on Column'!G61*G19)</f>
        <v>43.824000000000005</v>
      </c>
      <c r="K57" s="385"/>
      <c r="L57" s="385"/>
      <c r="M57" s="1135" t="s">
        <v>852</v>
      </c>
      <c r="R57" s="4" t="s">
        <v>1282</v>
      </c>
      <c r="S57" s="1230">
        <f>'Live Load on Column'!G24</f>
        <v>357.62133333333338</v>
      </c>
      <c r="T57" s="362" t="s">
        <v>400</v>
      </c>
    </row>
    <row r="58" spans="1:20" s="364" customFormat="1" hidden="1">
      <c r="A58" t="str">
        <f>IF(NoSupports&lt;&gt;1,"*",IF(Col_Offset=0,IF(curvedirection="left","*",""),""))</f>
        <v>*</v>
      </c>
      <c r="B58" s="385"/>
      <c r="C58" s="776"/>
      <c r="D58" s="385"/>
      <c r="E58" s="672" t="s">
        <v>839</v>
      </c>
      <c r="F58" s="373">
        <f>IF(NoSupports=1,NumLanesIn*MultiPresIn*IMLongSpan,NumLanesIn*MultiPresIn*IMLongSpan*$G$19)</f>
        <v>43.824000000000005</v>
      </c>
      <c r="G58" s="373">
        <v>0</v>
      </c>
      <c r="H58" s="373">
        <v>0</v>
      </c>
      <c r="I58" s="370">
        <f>IF(NoSupports=1,S56,0)</f>
        <v>-569.7120000000001</v>
      </c>
      <c r="J58" s="370">
        <f>ABS('Live Load on Column'!G62*G19)</f>
        <v>43.824000000000005</v>
      </c>
      <c r="K58" s="385"/>
      <c r="L58" s="385"/>
      <c r="M58" s="1135" t="s">
        <v>854</v>
      </c>
      <c r="R58" s="4" t="s">
        <v>848</v>
      </c>
      <c r="S58" s="1230">
        <f>'Live Load on Column'!G25</f>
        <v>3576.2133333333336</v>
      </c>
      <c r="T58" s="362" t="s">
        <v>400</v>
      </c>
    </row>
    <row r="59" spans="1:20" s="364" customFormat="1">
      <c r="A59" s="363"/>
      <c r="B59" s="385"/>
      <c r="C59" s="776"/>
      <c r="D59" s="385"/>
      <c r="E59" s="672" t="s">
        <v>1203</v>
      </c>
      <c r="F59" s="373">
        <f>NumLanes*MultiPresTot*LLBothSpan*$G$19+addl_LL_P</f>
        <v>357.62133333333338</v>
      </c>
      <c r="G59" s="373">
        <v>0</v>
      </c>
      <c r="H59" s="373">
        <v>0</v>
      </c>
      <c r="I59" s="370">
        <f t="shared" ref="I59:I64" si="3">IF(NoSupports=1,S57,0)+addl_Ll_My</f>
        <v>357.62133333333338</v>
      </c>
      <c r="J59" s="370">
        <f>ABS('Live Load on Column'!G48*G19)+addl_LL_Mx</f>
        <v>155.44533333333331</v>
      </c>
      <c r="K59" s="385"/>
      <c r="L59" s="385"/>
      <c r="R59" s="4" t="s">
        <v>849</v>
      </c>
      <c r="S59" s="1230">
        <f>'Live Load on Column'!G26</f>
        <v>-3576.2133333333336</v>
      </c>
      <c r="T59" s="362" t="s">
        <v>400</v>
      </c>
    </row>
    <row r="60" spans="1:20" s="364" customFormat="1">
      <c r="A60" t="str">
        <f>IF(NoSupports&lt;&gt;1,"*",IF(Col_Offset=0,IF(curvedirection="left","","*"),""))</f>
        <v/>
      </c>
      <c r="B60" s="385"/>
      <c r="C60" s="776"/>
      <c r="D60" s="385"/>
      <c r="E60" s="672" t="s">
        <v>840</v>
      </c>
      <c r="F60" s="373">
        <f>NumLanesOut*MultiPresOut*LLBothSpan*$G$19+addl_LL_P</f>
        <v>275.09333333333336</v>
      </c>
      <c r="G60" s="373">
        <v>0</v>
      </c>
      <c r="H60" s="373">
        <v>0</v>
      </c>
      <c r="I60" s="370">
        <f t="shared" si="3"/>
        <v>3576.2133333333336</v>
      </c>
      <c r="J60" s="370">
        <f>ABS('Live Load on Column'!G49*G19)+addl_LL_Mx</f>
        <v>119.57333333333331</v>
      </c>
      <c r="K60" s="385"/>
      <c r="L60" s="385"/>
      <c r="M60" s="1135" t="s">
        <v>852</v>
      </c>
      <c r="R60" s="4" t="s">
        <v>1283</v>
      </c>
      <c r="S60" s="1230">
        <f>'Live Load on Column'!G33</f>
        <v>272.48</v>
      </c>
      <c r="T60" s="362" t="s">
        <v>400</v>
      </c>
    </row>
    <row r="61" spans="1:20" s="364" customFormat="1" hidden="1">
      <c r="A61" t="str">
        <f>IF(NoSupports&lt;&gt;1,"*",IF(Col_Offset=0,IF(curvedirection="left","*",""),""))</f>
        <v>*</v>
      </c>
      <c r="B61" s="385"/>
      <c r="C61" s="776"/>
      <c r="D61" s="385"/>
      <c r="E61" s="672" t="s">
        <v>841</v>
      </c>
      <c r="F61" s="373">
        <f>NumLanesIn*MultiPresIn*LLBothSpan*$G$19+addl_LL_P</f>
        <v>275.09333333333336</v>
      </c>
      <c r="G61" s="373">
        <v>0</v>
      </c>
      <c r="H61" s="373">
        <v>0</v>
      </c>
      <c r="I61" s="370">
        <f t="shared" si="3"/>
        <v>-3576.2133333333336</v>
      </c>
      <c r="J61" s="370">
        <f>ABS('Live Load on Column'!G50*G19)+addl_LL_Mx</f>
        <v>119.57333333333331</v>
      </c>
      <c r="K61" s="385"/>
      <c r="L61" s="385"/>
      <c r="M61" s="1135" t="s">
        <v>854</v>
      </c>
      <c r="R61" s="4" t="s">
        <v>850</v>
      </c>
      <c r="S61" s="1230">
        <f>'Live Load on Column'!G34</f>
        <v>2724.8</v>
      </c>
      <c r="T61" s="362" t="s">
        <v>400</v>
      </c>
    </row>
    <row r="62" spans="1:20" s="364" customFormat="1">
      <c r="A62" s="363"/>
      <c r="B62" s="385"/>
      <c r="C62" s="776"/>
      <c r="D62" s="385"/>
      <c r="E62" s="672" t="s">
        <v>1206</v>
      </c>
      <c r="F62" s="373">
        <f>NumLanes*MultiPresTot*LLLongSpan*$G$19+addl_LL_P</f>
        <v>272.48</v>
      </c>
      <c r="G62" s="373">
        <v>0</v>
      </c>
      <c r="H62" s="373">
        <v>0</v>
      </c>
      <c r="I62" s="370">
        <f t="shared" si="3"/>
        <v>272.48</v>
      </c>
      <c r="J62" s="370">
        <f>ABS('Live Load on Column'!G57*G19)+addl_LL_Mx</f>
        <v>272.48</v>
      </c>
      <c r="K62" s="385"/>
      <c r="L62" s="385"/>
      <c r="R62" s="4" t="s">
        <v>851</v>
      </c>
      <c r="S62" s="1230">
        <f>'Live Load on Column'!G35</f>
        <v>-2724.8</v>
      </c>
      <c r="T62" s="362" t="s">
        <v>400</v>
      </c>
    </row>
    <row r="63" spans="1:20" s="364" customFormat="1" ht="13.5" thickBot="1">
      <c r="A63" t="str">
        <f>IF(NoSupports&lt;&gt;1,"*",IF(Col_Offset=0,IF(curvedirection="left","","*"),""))</f>
        <v/>
      </c>
      <c r="B63" s="385"/>
      <c r="C63" s="776"/>
      <c r="D63" s="385"/>
      <c r="E63" s="672" t="s">
        <v>842</v>
      </c>
      <c r="F63" s="373">
        <f>NumLanesOut*MultiPresOut*LLLongSpan*$G$19+addl_LL_P</f>
        <v>209.60000000000002</v>
      </c>
      <c r="G63" s="373">
        <v>0</v>
      </c>
      <c r="H63" s="373">
        <v>0</v>
      </c>
      <c r="I63" s="370">
        <f t="shared" si="3"/>
        <v>2724.8</v>
      </c>
      <c r="J63" s="370">
        <f>ABS('Live Load on Column'!G58*G19)+addl_LL_Mx</f>
        <v>209.60000000000002</v>
      </c>
      <c r="K63" s="385"/>
      <c r="L63" s="385"/>
      <c r="M63" s="1135" t="s">
        <v>852</v>
      </c>
    </row>
    <row r="64" spans="1:20" s="364" customFormat="1" hidden="1">
      <c r="A64" t="str">
        <f>IF(NoSupports&lt;&gt;1,"*",IF(Col_Offset=0,IF(curvedirection="left","*",""),""))</f>
        <v>*</v>
      </c>
      <c r="B64" s="385"/>
      <c r="C64" s="776"/>
      <c r="D64" s="385"/>
      <c r="E64" s="672" t="s">
        <v>843</v>
      </c>
      <c r="F64" s="373">
        <f>NumLanesIn*MultiPresIn*LLLongSpan*$G$19+addl_LL_P</f>
        <v>209.60000000000002</v>
      </c>
      <c r="G64" s="373">
        <v>0</v>
      </c>
      <c r="H64" s="373">
        <v>0</v>
      </c>
      <c r="I64" s="370">
        <f t="shared" si="3"/>
        <v>-2724.8</v>
      </c>
      <c r="J64" s="370">
        <f>ABS('Live Load on Column'!G59*G19)+addl_LL_Mx</f>
        <v>209.60000000000002</v>
      </c>
      <c r="K64" s="385"/>
      <c r="L64" s="385"/>
      <c r="M64" s="1135" t="s">
        <v>854</v>
      </c>
    </row>
    <row r="65" spans="1:36" s="364" customFormat="1" hidden="1">
      <c r="A65" s="363" t="s">
        <v>1302</v>
      </c>
      <c r="B65" s="385"/>
      <c r="C65" s="776"/>
      <c r="D65" s="385"/>
      <c r="E65" s="672" t="s">
        <v>1207</v>
      </c>
      <c r="F65" s="373">
        <v>0</v>
      </c>
      <c r="G65" s="373">
        <v>0</v>
      </c>
      <c r="H65" s="373">
        <v>0</v>
      </c>
      <c r="I65" s="370">
        <v>0</v>
      </c>
      <c r="J65" s="370">
        <v>0</v>
      </c>
      <c r="K65" s="385"/>
      <c r="L65" s="385"/>
      <c r="Q65" s="368"/>
      <c r="R65" s="362"/>
      <c r="S65" s="362"/>
    </row>
    <row r="66" spans="1:36" s="364" customFormat="1" hidden="1">
      <c r="A66" s="363" t="s">
        <v>1302</v>
      </c>
      <c r="B66" s="385"/>
      <c r="C66" s="776"/>
      <c r="D66" s="385"/>
      <c r="E66" s="672" t="s">
        <v>1208</v>
      </c>
      <c r="F66" s="373">
        <v>0</v>
      </c>
      <c r="G66" s="373">
        <v>0</v>
      </c>
      <c r="H66" s="373">
        <v>0</v>
      </c>
      <c r="I66" s="370">
        <v>0</v>
      </c>
      <c r="J66" s="370">
        <v>0</v>
      </c>
      <c r="K66" s="385"/>
      <c r="L66" s="385"/>
      <c r="Q66" s="368"/>
      <c r="R66" s="362"/>
      <c r="S66" s="362"/>
    </row>
    <row r="67" spans="1:36" s="364" customFormat="1" hidden="1">
      <c r="A67" s="363" t="s">
        <v>1302</v>
      </c>
      <c r="B67" s="385"/>
      <c r="C67" s="776"/>
      <c r="D67" s="385"/>
      <c r="E67" s="672" t="s">
        <v>1209</v>
      </c>
      <c r="F67" s="373">
        <v>0</v>
      </c>
      <c r="G67" s="373">
        <v>0</v>
      </c>
      <c r="H67" s="373">
        <v>0</v>
      </c>
      <c r="I67" s="370">
        <v>0</v>
      </c>
      <c r="J67" s="370">
        <v>0</v>
      </c>
      <c r="K67" s="385"/>
      <c r="L67" s="385"/>
      <c r="Q67" s="368"/>
      <c r="R67" s="362"/>
      <c r="S67" s="362"/>
    </row>
    <row r="68" spans="1:36" s="364" customFormat="1" hidden="1">
      <c r="A68" s="363" t="s">
        <v>1302</v>
      </c>
      <c r="B68" s="385"/>
      <c r="C68" s="776"/>
      <c r="D68" s="385"/>
      <c r="E68" s="672" t="s">
        <v>1210</v>
      </c>
      <c r="F68" s="373">
        <v>0</v>
      </c>
      <c r="G68" s="373">
        <v>0</v>
      </c>
      <c r="H68" s="373">
        <v>0</v>
      </c>
      <c r="I68" s="370">
        <v>0</v>
      </c>
      <c r="J68" s="370">
        <v>0</v>
      </c>
      <c r="K68" s="385"/>
      <c r="L68" s="385"/>
      <c r="Q68" s="368"/>
      <c r="R68" s="362"/>
      <c r="S68" s="362"/>
    </row>
    <row r="69" spans="1:36" s="364" customFormat="1" ht="13.5" hidden="1" thickBot="1">
      <c r="A69" s="363" t="s">
        <v>1302</v>
      </c>
      <c r="B69" s="385"/>
      <c r="C69" s="776"/>
      <c r="D69" s="385"/>
      <c r="E69" s="672" t="s">
        <v>1211</v>
      </c>
      <c r="F69" s="373">
        <v>0</v>
      </c>
      <c r="G69" s="373">
        <v>0</v>
      </c>
      <c r="H69" s="373">
        <v>0</v>
      </c>
      <c r="I69" s="370">
        <v>0</v>
      </c>
      <c r="J69" s="370">
        <v>0</v>
      </c>
      <c r="K69" s="385"/>
      <c r="L69" s="385"/>
      <c r="Q69" s="368"/>
      <c r="R69" s="362"/>
      <c r="S69" s="362"/>
    </row>
    <row r="70" spans="1:36" s="364" customFormat="1" ht="12.75" customHeight="1">
      <c r="A70" s="363"/>
      <c r="B70" s="1726" t="s">
        <v>859</v>
      </c>
      <c r="C70" s="1727"/>
      <c r="D70" s="1728"/>
      <c r="E70" s="672" t="s">
        <v>1212</v>
      </c>
      <c r="F70" s="373">
        <f>IF(NoSupports=2,-1*'Col Analysis-I'!G70/$G$20*$E$24/ColSpa2,0)</f>
        <v>0</v>
      </c>
      <c r="G70" s="373">
        <f>O76*$G$20</f>
        <v>11</v>
      </c>
      <c r="H70" s="373">
        <f>Q76*$G$21</f>
        <v>0</v>
      </c>
      <c r="I70" s="370">
        <f>IF(NoSupports=1,G70*$E$24,0)</f>
        <v>195.02083333333334</v>
      </c>
      <c r="J70" s="370">
        <f>H70*$E$24</f>
        <v>0</v>
      </c>
      <c r="K70" s="385"/>
      <c r="L70" s="385"/>
      <c r="M70" s="1135" t="s">
        <v>1354</v>
      </c>
      <c r="Q70" s="368"/>
      <c r="R70" s="362"/>
      <c r="S70" s="362"/>
    </row>
    <row r="71" spans="1:36" s="364" customFormat="1" ht="12.75" customHeight="1">
      <c r="A71" s="363"/>
      <c r="B71" s="1729"/>
      <c r="C71" s="1730"/>
      <c r="D71" s="1731"/>
      <c r="E71" s="672" t="s">
        <v>1213</v>
      </c>
      <c r="F71" s="373">
        <f>IF(NoSupports=2,-1*'Col Analysis-I'!G71/$G$20*$E$24/ColSpa2,0)</f>
        <v>0</v>
      </c>
      <c r="G71" s="373">
        <f>O77*$G$20</f>
        <v>9.68</v>
      </c>
      <c r="H71" s="373">
        <f>Q77*$G$21</f>
        <v>1.32</v>
      </c>
      <c r="I71" s="370">
        <f>IF(NoSupports=1,G71*$E$24,0)</f>
        <v>171.61833333333334</v>
      </c>
      <c r="J71" s="370">
        <f>H71*$E$24</f>
        <v>23.402500000000003</v>
      </c>
      <c r="K71" s="385"/>
      <c r="L71" s="385"/>
      <c r="M71" s="1135" t="s">
        <v>1354</v>
      </c>
      <c r="Q71" s="368"/>
      <c r="R71" s="362"/>
      <c r="S71" s="362"/>
    </row>
    <row r="72" spans="1:36" s="364" customFormat="1" ht="13.5" customHeight="1" thickBot="1">
      <c r="A72" s="363"/>
      <c r="B72" s="1729"/>
      <c r="C72" s="1730"/>
      <c r="D72" s="1731"/>
      <c r="E72" s="672" t="s">
        <v>1214</v>
      </c>
      <c r="F72" s="373">
        <f>IF(NoSupports=2,-1*'Col Analysis-I'!G72/$G$20*$E$24/ColSpa2,0)</f>
        <v>0</v>
      </c>
      <c r="G72" s="373">
        <f>O78*$G$20</f>
        <v>9.02</v>
      </c>
      <c r="H72" s="373">
        <f>Q78*$G$21</f>
        <v>2.64</v>
      </c>
      <c r="I72" s="370">
        <f>IF(NoSupports=1,G72*$E$24,0)</f>
        <v>159.91708333333332</v>
      </c>
      <c r="J72" s="370">
        <f>H72*$E$24</f>
        <v>46.805000000000007</v>
      </c>
      <c r="K72" s="385"/>
      <c r="L72" s="385"/>
      <c r="M72" s="1135" t="s">
        <v>1354</v>
      </c>
      <c r="N72" s="356" t="s">
        <v>1154</v>
      </c>
      <c r="O72" s="371"/>
      <c r="P72" s="371"/>
      <c r="Q72" s="376"/>
      <c r="R72" s="372"/>
      <c r="S72" s="372"/>
      <c r="T72" s="371"/>
      <c r="U72" s="371"/>
    </row>
    <row r="73" spans="1:36" s="364" customFormat="1" ht="13.5" customHeight="1">
      <c r="A73" s="363"/>
      <c r="B73" s="1729"/>
      <c r="C73" s="1730"/>
      <c r="D73" s="1731"/>
      <c r="E73" s="672" t="s">
        <v>1215</v>
      </c>
      <c r="F73" s="373">
        <f>IF(NoSupports=2,-1*'Col Analysis-I'!G73/$G$20*$E$24/ColSpa2,0)</f>
        <v>0</v>
      </c>
      <c r="G73" s="373">
        <f>O79*$G$20</f>
        <v>7.2600000000000007</v>
      </c>
      <c r="H73" s="373">
        <f>Q79*$G$21</f>
        <v>3.52</v>
      </c>
      <c r="I73" s="370">
        <f>IF(NoSupports=1,G73*$E$24,0)</f>
        <v>128.71375000000003</v>
      </c>
      <c r="J73" s="370">
        <f>H73*$E$24</f>
        <v>62.406666666666673</v>
      </c>
      <c r="K73" s="385"/>
      <c r="L73" s="385"/>
      <c r="M73" s="1135" t="s">
        <v>1354</v>
      </c>
      <c r="N73" s="357"/>
      <c r="O73" s="357"/>
      <c r="R73" s="377"/>
      <c r="S73" s="377"/>
    </row>
    <row r="74" spans="1:36" s="364" customFormat="1" ht="13.5" thickBot="1">
      <c r="A74" s="363"/>
      <c r="B74" s="1732"/>
      <c r="C74" s="1733"/>
      <c r="D74" s="1734"/>
      <c r="E74" s="672" t="s">
        <v>1216</v>
      </c>
      <c r="F74" s="373">
        <f>IF(NoSupports=2,-1*'Col Analysis-I'!G74/$G$20*$E$24/ColSpa2,0)</f>
        <v>0</v>
      </c>
      <c r="G74" s="373">
        <f>O80*$G$20</f>
        <v>3.74</v>
      </c>
      <c r="H74" s="373">
        <f>Q80*$G$21</f>
        <v>4.18</v>
      </c>
      <c r="I74" s="370">
        <f>IF(NoSupports=1,G74*$E$24,0)</f>
        <v>66.307083333333338</v>
      </c>
      <c r="J74" s="370">
        <f>H74*$E$24</f>
        <v>74.107916666666668</v>
      </c>
      <c r="K74" s="385"/>
      <c r="L74" s="385"/>
      <c r="M74" s="1135" t="s">
        <v>1354</v>
      </c>
      <c r="N74" s="378"/>
      <c r="O74" s="1725" t="s">
        <v>1284</v>
      </c>
      <c r="P74" s="1725"/>
      <c r="Q74" s="1725"/>
      <c r="R74" s="1725"/>
      <c r="S74" s="1725" t="s">
        <v>1289</v>
      </c>
      <c r="T74" s="1725"/>
      <c r="U74" s="1725"/>
      <c r="V74" s="1725"/>
      <c r="W74" s="1725" t="s">
        <v>1290</v>
      </c>
      <c r="X74" s="1725"/>
      <c r="Y74" s="1725"/>
      <c r="Z74" s="1725"/>
      <c r="AA74" s="1725" t="s">
        <v>1291</v>
      </c>
      <c r="AB74" s="1725"/>
      <c r="AC74" s="1725"/>
      <c r="AD74" s="1725"/>
      <c r="AE74" s="1725" t="s">
        <v>1292</v>
      </c>
      <c r="AF74" s="1725"/>
      <c r="AG74" s="1725"/>
      <c r="AH74" s="1725"/>
    </row>
    <row r="75" spans="1:36" s="364" customFormat="1">
      <c r="A75" s="363"/>
      <c r="B75" s="385"/>
      <c r="C75" s="776"/>
      <c r="D75" s="385"/>
      <c r="E75" s="672" t="s">
        <v>1217</v>
      </c>
      <c r="F75" s="373">
        <f>IF(NoSupports=2,-1*(S76*$E$25+AA76*$E$26)/ColSpa2,0)</f>
        <v>0</v>
      </c>
      <c r="G75" s="373">
        <f>(S76+AA76)*$G$20</f>
        <v>63.997128114907127</v>
      </c>
      <c r="H75" s="373">
        <f>(U76+AC76)*$G$21</f>
        <v>0</v>
      </c>
      <c r="I75" s="370">
        <f>IF(NoSupports=1,S76*$E$25+AA76*$E$26,0)*$G$20</f>
        <v>646.34038103422301</v>
      </c>
      <c r="J75" s="370">
        <f>(U76*$E$25+AC76*$E$26)*$G$21</f>
        <v>0</v>
      </c>
      <c r="K75" s="385"/>
      <c r="L75" s="385"/>
      <c r="M75" s="1135" t="s">
        <v>1354</v>
      </c>
      <c r="N75" s="379" t="s">
        <v>1285</v>
      </c>
      <c r="O75" s="1725" t="s">
        <v>412</v>
      </c>
      <c r="P75" s="1725"/>
      <c r="Q75" s="1725" t="s">
        <v>411</v>
      </c>
      <c r="R75" s="1725"/>
      <c r="S75" s="1725" t="s">
        <v>412</v>
      </c>
      <c r="T75" s="1725"/>
      <c r="U75" s="1725" t="s">
        <v>411</v>
      </c>
      <c r="V75" s="1725"/>
      <c r="W75" s="1725" t="s">
        <v>412</v>
      </c>
      <c r="X75" s="1725"/>
      <c r="Y75" s="1725" t="s">
        <v>411</v>
      </c>
      <c r="Z75" s="1725"/>
      <c r="AA75" s="1725" t="s">
        <v>412</v>
      </c>
      <c r="AB75" s="1725"/>
      <c r="AC75" s="1725" t="s">
        <v>411</v>
      </c>
      <c r="AD75" s="1725"/>
      <c r="AE75" s="1725" t="s">
        <v>412</v>
      </c>
      <c r="AF75" s="1725"/>
      <c r="AG75" s="1725" t="s">
        <v>411</v>
      </c>
      <c r="AH75" s="1725"/>
    </row>
    <row r="76" spans="1:36" s="364" customFormat="1">
      <c r="A76" s="363"/>
      <c r="B76" s="385"/>
      <c r="C76" s="776"/>
      <c r="D76" s="385"/>
      <c r="E76" s="672" t="s">
        <v>1218</v>
      </c>
      <c r="F76" s="373">
        <f>IF(NoSupports=2,-1*(S77*$E$25+AA77*$E$26)/ColSpa2,0)</f>
        <v>0</v>
      </c>
      <c r="G76" s="373">
        <f>(S77+AA77)*$G$20</f>
        <v>56.454176561632678</v>
      </c>
      <c r="H76" s="373">
        <f>(U77+AC77)*$G$21</f>
        <v>11.880938986969426</v>
      </c>
      <c r="I76" s="370">
        <f>IF(NoSupports=1,S77*$E$25+AA77*$E$26,0)*$G$20</f>
        <v>569.12983885018434</v>
      </c>
      <c r="J76" s="370">
        <f>(U77*$E$25+AC77*$E$26)*$G$21</f>
        <v>88.32663498288197</v>
      </c>
      <c r="K76" s="385"/>
      <c r="L76" s="385"/>
      <c r="M76" s="1135" t="s">
        <v>1354</v>
      </c>
      <c r="N76" s="379" t="s">
        <v>1287</v>
      </c>
      <c r="O76" s="381">
        <f>'Wind Loads'!K144</f>
        <v>11</v>
      </c>
      <c r="P76" s="382" t="s">
        <v>341</v>
      </c>
      <c r="Q76" s="381">
        <f>'Wind Loads'!L144</f>
        <v>0</v>
      </c>
      <c r="R76" s="382" t="s">
        <v>341</v>
      </c>
      <c r="S76" s="381">
        <f>'Wind Loads'!I74</f>
        <v>62.406176634795493</v>
      </c>
      <c r="T76" s="382" t="s">
        <v>341</v>
      </c>
      <c r="U76" s="381">
        <f>'Wind Loads'!J74</f>
        <v>0</v>
      </c>
      <c r="V76" s="382" t="s">
        <v>341</v>
      </c>
      <c r="W76" s="381">
        <f>'Wind Loads'!K74</f>
        <v>34.039732709888447</v>
      </c>
      <c r="X76" s="382" t="s">
        <v>341</v>
      </c>
      <c r="Y76" s="381">
        <f>'Wind Loads'!L74</f>
        <v>0</v>
      </c>
      <c r="Z76" s="382" t="s">
        <v>341</v>
      </c>
      <c r="AA76" s="381">
        <f>'Wind Loads'!K93</f>
        <v>1.5909514801116313</v>
      </c>
      <c r="AB76" s="382" t="s">
        <v>341</v>
      </c>
      <c r="AC76" s="381">
        <f>'Wind Loads'!L93</f>
        <v>0</v>
      </c>
      <c r="AD76" s="382" t="s">
        <v>341</v>
      </c>
      <c r="AE76" s="381">
        <f>'Wind Loads'!K112</f>
        <v>5.6567163737302453</v>
      </c>
      <c r="AF76" s="382" t="s">
        <v>341</v>
      </c>
      <c r="AG76" s="381">
        <f>'Wind Loads'!L112</f>
        <v>0</v>
      </c>
      <c r="AH76" s="382" t="s">
        <v>341</v>
      </c>
    </row>
    <row r="77" spans="1:36" s="364" customFormat="1">
      <c r="A77" s="363"/>
      <c r="B77" s="385"/>
      <c r="C77" s="385"/>
      <c r="D77" s="385"/>
      <c r="E77" s="672" t="s">
        <v>1219</v>
      </c>
      <c r="F77" s="373">
        <f>IF(NoSupports=2,-1*(S78*$E$25+AA78*$E$26)/ColSpa2,0)</f>
        <v>0</v>
      </c>
      <c r="G77" s="373">
        <f>(S78+AA78)*$G$20</f>
        <v>52.550869238497427</v>
      </c>
      <c r="H77" s="373">
        <f>(U78+AC78)*$G$21</f>
        <v>23.462556952946287</v>
      </c>
      <c r="I77" s="370">
        <f>IF(NoSupports=1,S78*$E$25+AA78*$E$26,0)*$G$20</f>
        <v>530.18674942026382</v>
      </c>
      <c r="J77" s="370">
        <f>(U78*$E$25+AC78*$E$26)*$G$21</f>
        <v>175.88625984947049</v>
      </c>
      <c r="K77" s="385"/>
      <c r="L77" s="385"/>
      <c r="M77" s="1135" t="s">
        <v>1354</v>
      </c>
      <c r="N77" s="379" t="s">
        <v>1169</v>
      </c>
      <c r="O77" s="381">
        <f>'Wind Loads'!K145</f>
        <v>9.68</v>
      </c>
      <c r="P77" s="382" t="s">
        <v>341</v>
      </c>
      <c r="Q77" s="381">
        <f>'Wind Loads'!L145</f>
        <v>1.32</v>
      </c>
      <c r="R77" s="382" t="s">
        <v>341</v>
      </c>
      <c r="S77" s="381">
        <f>'Wind Loads'!I75</f>
        <v>54.917435438620032</v>
      </c>
      <c r="T77" s="382" t="s">
        <v>341</v>
      </c>
      <c r="U77" s="381">
        <f>'Wind Loads'!J75</f>
        <v>7.4887411961754591</v>
      </c>
      <c r="V77" s="382" t="s">
        <v>341</v>
      </c>
      <c r="W77" s="381">
        <f>'Wind Loads'!K75</f>
        <v>29.954964784701833</v>
      </c>
      <c r="X77" s="382" t="s">
        <v>341</v>
      </c>
      <c r="Y77" s="381">
        <f>'Wind Loads'!L75</f>
        <v>4.0847679251866138</v>
      </c>
      <c r="Z77" s="382" t="s">
        <v>341</v>
      </c>
      <c r="AA77" s="381">
        <f>'Wind Loads'!K94</f>
        <v>1.5367411230126438</v>
      </c>
      <c r="AB77" s="382" t="s">
        <v>341</v>
      </c>
      <c r="AC77" s="381">
        <f>'Wind Loads'!L94</f>
        <v>4.3921977907939675</v>
      </c>
      <c r="AD77" s="382" t="s">
        <v>341</v>
      </c>
      <c r="AE77" s="381">
        <f>'Wind Loads'!K113</f>
        <v>5.4639684373782895</v>
      </c>
      <c r="AF77" s="382" t="s">
        <v>341</v>
      </c>
      <c r="AG77" s="381">
        <f>'Wind Loads'!L113</f>
        <v>2.1960988953969838</v>
      </c>
      <c r="AH77" s="382" t="s">
        <v>341</v>
      </c>
    </row>
    <row r="78" spans="1:36" ht="12.75" customHeight="1">
      <c r="B78" s="383"/>
      <c r="C78" s="383"/>
      <c r="D78" s="383"/>
      <c r="E78" s="672" t="s">
        <v>1220</v>
      </c>
      <c r="F78" s="373">
        <f>IF(NoSupports=2,-1*(S79*$E$25+AA79*$E$26)/ColSpa2,0)</f>
        <v>0</v>
      </c>
      <c r="G78" s="373">
        <f>(S79+AA79)*$G$20</f>
        <v>42.313049159090731</v>
      </c>
      <c r="H78" s="373">
        <f>(U79+AC79)*$G$21</f>
        <v>31.969684044475457</v>
      </c>
      <c r="I78" s="370">
        <f>IF(NoSupports=1,S79*$E$25+AA79*$E$26,0)*$G$20</f>
        <v>426.77669702842047</v>
      </c>
      <c r="J78" s="370">
        <f>(U79*$E$25+AC79*$E$26)*$G$21</f>
        <v>236.27359224069588</v>
      </c>
      <c r="K78" s="383"/>
      <c r="L78" s="383"/>
      <c r="M78" s="1135" t="s">
        <v>1354</v>
      </c>
      <c r="N78" s="379" t="s">
        <v>1170</v>
      </c>
      <c r="O78" s="381">
        <f>'Wind Loads'!K146</f>
        <v>9.02</v>
      </c>
      <c r="P78" s="382" t="s">
        <v>341</v>
      </c>
      <c r="Q78" s="381">
        <f>'Wind Loads'!L146</f>
        <v>2.64</v>
      </c>
      <c r="R78" s="382" t="s">
        <v>341</v>
      </c>
      <c r="S78" s="381">
        <f>'Wind Loads'!I76</f>
        <v>51.173064840532298</v>
      </c>
      <c r="T78" s="382" t="s">
        <v>341</v>
      </c>
      <c r="U78" s="381">
        <f>'Wind Loads'!J76</f>
        <v>14.977482392350918</v>
      </c>
      <c r="V78" s="382" t="s">
        <v>341</v>
      </c>
      <c r="W78" s="381">
        <f>'Wind Loads'!K76</f>
        <v>27.912580822108524</v>
      </c>
      <c r="X78" s="382" t="s">
        <v>341</v>
      </c>
      <c r="Y78" s="381">
        <f>'Wind Loads'!L76</f>
        <v>8.1695358503732276</v>
      </c>
      <c r="Z78" s="382" t="s">
        <v>341</v>
      </c>
      <c r="AA78" s="381">
        <f>'Wind Loads'!K95</f>
        <v>1.377804397965126</v>
      </c>
      <c r="AB78" s="382" t="s">
        <v>341</v>
      </c>
      <c r="AC78" s="381">
        <f>'Wind Loads'!L95</f>
        <v>8.4850745605953666</v>
      </c>
      <c r="AD78" s="382" t="s">
        <v>341</v>
      </c>
      <c r="AE78" s="381">
        <f>'Wind Loads'!K114</f>
        <v>4.8988600816537815</v>
      </c>
      <c r="AF78" s="382" t="s">
        <v>341</v>
      </c>
      <c r="AG78" s="381">
        <f>'Wind Loads'!L114</f>
        <v>4.2425372802976833</v>
      </c>
      <c r="AH78" s="382" t="s">
        <v>341</v>
      </c>
      <c r="AI78" s="364"/>
      <c r="AJ78" s="364"/>
    </row>
    <row r="79" spans="1:36">
      <c r="B79" s="383"/>
      <c r="C79" s="383"/>
      <c r="D79" s="383"/>
      <c r="E79" s="672" t="s">
        <v>1221</v>
      </c>
      <c r="F79" s="373">
        <f>IF(NoSupports=2,-1*(S80*$E$25+AA80*$E$26)/ColSpa2,0)</f>
        <v>0</v>
      </c>
      <c r="G79" s="373">
        <f>(S80+AA80)*$G$20</f>
        <v>22.013575795886286</v>
      </c>
      <c r="H79" s="373">
        <f>(U80+AC80)*$G$21</f>
        <v>38.410927366183628</v>
      </c>
      <c r="I79" s="370">
        <f>IF(NoSupports=1,S80*$E$25+AA80*$E$26,0)*$G$20</f>
        <v>220.40801965848158</v>
      </c>
      <c r="J79" s="370">
        <f>(U80*$E$25+AC80*$E$26)*$G$21</f>
        <v>281.72014266695948</v>
      </c>
      <c r="K79" s="779"/>
      <c r="L79" s="383"/>
      <c r="M79" s="1135" t="s">
        <v>1354</v>
      </c>
      <c r="N79" s="379" t="s">
        <v>1171</v>
      </c>
      <c r="O79" s="381">
        <f>'Wind Loads'!K147</f>
        <v>7.2600000000000007</v>
      </c>
      <c r="P79" s="382" t="s">
        <v>341</v>
      </c>
      <c r="Q79" s="381">
        <f>'Wind Loads'!L147</f>
        <v>3.52</v>
      </c>
      <c r="R79" s="382" t="s">
        <v>341</v>
      </c>
      <c r="S79" s="381">
        <f>'Wind Loads'!I77</f>
        <v>41.188076578965024</v>
      </c>
      <c r="T79" s="382" t="s">
        <v>341</v>
      </c>
      <c r="U79" s="381">
        <f>'Wind Loads'!J77</f>
        <v>19.969976523134559</v>
      </c>
      <c r="V79" s="382" t="s">
        <v>341</v>
      </c>
      <c r="W79" s="381">
        <f>'Wind Loads'!K77</f>
        <v>22.466223588526375</v>
      </c>
      <c r="X79" s="382" t="s">
        <v>341</v>
      </c>
      <c r="Y79" s="381">
        <f>'Wind Loads'!L77</f>
        <v>10.892714467164303</v>
      </c>
      <c r="Z79" s="382" t="s">
        <v>341</v>
      </c>
      <c r="AA79" s="381">
        <f>'Wind Loads'!K96</f>
        <v>1.1249725801257093</v>
      </c>
      <c r="AB79" s="382" t="s">
        <v>341</v>
      </c>
      <c r="AC79" s="381">
        <f>'Wind Loads'!L96</f>
        <v>11.999707521340897</v>
      </c>
      <c r="AD79" s="382" t="s">
        <v>341</v>
      </c>
      <c r="AE79" s="381">
        <f>'Wind Loads'!K115</f>
        <v>3.9999025071136334</v>
      </c>
      <c r="AF79" s="382" t="s">
        <v>341</v>
      </c>
      <c r="AG79" s="381">
        <f>'Wind Loads'!L115</f>
        <v>5.9998537606704483</v>
      </c>
      <c r="AH79" s="382" t="s">
        <v>341</v>
      </c>
      <c r="AI79" s="364"/>
      <c r="AJ79" s="364"/>
    </row>
    <row r="80" spans="1:36">
      <c r="B80" s="383"/>
      <c r="C80" s="383"/>
      <c r="D80" s="383"/>
      <c r="E80" s="672" t="s">
        <v>1222</v>
      </c>
      <c r="F80" s="373">
        <f>IF(NoSupports=2,-1*(W76*$E$25+AA76*$E$26)/ColSpa2,0)</f>
        <v>0</v>
      </c>
      <c r="G80" s="373">
        <f>(W76+AA76)*$G$20</f>
        <v>35.630684190000082</v>
      </c>
      <c r="H80" s="373">
        <f>(Y76+AC76)*$G$21</f>
        <v>0</v>
      </c>
      <c r="I80" s="370">
        <f>IF(NoSupports=1,W76*$E$25+AA76*$E$26,0)*$G$20</f>
        <v>354.40239564038797</v>
      </c>
      <c r="J80" s="370">
        <f>(Y76*$E$25+AC76*$E$26)*$G$21</f>
        <v>0</v>
      </c>
      <c r="K80" s="779"/>
      <c r="L80" s="383"/>
      <c r="M80" s="1135" t="s">
        <v>1353</v>
      </c>
      <c r="N80" s="379" t="s">
        <v>1288</v>
      </c>
      <c r="O80" s="381">
        <f>'Wind Loads'!K148</f>
        <v>3.74</v>
      </c>
      <c r="P80" s="382" t="s">
        <v>341</v>
      </c>
      <c r="Q80" s="381">
        <f>'Wind Loads'!L148</f>
        <v>4.18</v>
      </c>
      <c r="R80" s="382" t="s">
        <v>341</v>
      </c>
      <c r="S80" s="381">
        <f>'Wind Loads'!I78</f>
        <v>21.218100055830469</v>
      </c>
      <c r="T80" s="382" t="s">
        <v>341</v>
      </c>
      <c r="U80" s="381">
        <f>'Wind Loads'!J78</f>
        <v>23.714347121222289</v>
      </c>
      <c r="V80" s="382" t="s">
        <v>341</v>
      </c>
      <c r="W80" s="381">
        <f>'Wind Loads'!K78</f>
        <v>11.573509121362074</v>
      </c>
      <c r="X80" s="382" t="s">
        <v>341</v>
      </c>
      <c r="Y80" s="381">
        <f>'Wind Loads'!L78</f>
        <v>12.935098429757611</v>
      </c>
      <c r="Z80" s="382" t="s">
        <v>341</v>
      </c>
      <c r="AA80" s="381">
        <f>'Wind Loads'!K97</f>
        <v>0.79547574005581589</v>
      </c>
      <c r="AB80" s="382" t="s">
        <v>341</v>
      </c>
      <c r="AC80" s="381">
        <f>'Wind Loads'!L97</f>
        <v>14.696580244961343</v>
      </c>
      <c r="AD80" s="382" t="s">
        <v>341</v>
      </c>
      <c r="AE80" s="381">
        <f>'Wind Loads'!K116</f>
        <v>2.8283581868651231</v>
      </c>
      <c r="AF80" s="382" t="s">
        <v>341</v>
      </c>
      <c r="AG80" s="381">
        <f>'Wind Loads'!L116</f>
        <v>7.3482901224806714</v>
      </c>
      <c r="AH80" s="382" t="s">
        <v>341</v>
      </c>
      <c r="AI80" s="364"/>
    </row>
    <row r="81" spans="1:36">
      <c r="B81" s="383"/>
      <c r="C81" s="383"/>
      <c r="D81" s="383"/>
      <c r="E81" s="672" t="s">
        <v>1230</v>
      </c>
      <c r="F81" s="373">
        <f>IF(NoSupports=2,-1*(W77*$E$25+AA77*$E$26)/ColSpa2,0)</f>
        <v>0</v>
      </c>
      <c r="G81" s="373">
        <f>(W77+AA77)*$G$20</f>
        <v>31.491705907714476</v>
      </c>
      <c r="H81" s="373">
        <f>(Y77+AC77)*$G$21</f>
        <v>8.4769657159805814</v>
      </c>
      <c r="I81" s="370">
        <f>IF(NoSupports=1,W77*$E$25+AA77*$E$26,0)*$G$20</f>
        <v>312.22441170360958</v>
      </c>
      <c r="J81" s="370">
        <f>(Y77*$E$25+AC77*$E$26)*$G$21</f>
        <v>53.294076735621779</v>
      </c>
      <c r="K81" s="383"/>
      <c r="L81" s="383"/>
      <c r="M81" s="1135" t="s">
        <v>1353</v>
      </c>
      <c r="N81" s="362"/>
      <c r="O81" s="362"/>
      <c r="P81" s="362"/>
      <c r="Q81" s="362"/>
      <c r="R81" s="362"/>
      <c r="S81" s="362"/>
      <c r="T81" s="362"/>
      <c r="U81" s="364"/>
      <c r="V81" s="364"/>
      <c r="W81" s="364"/>
      <c r="X81" s="364"/>
      <c r="Y81" s="364"/>
      <c r="Z81" s="364"/>
      <c r="AA81" s="364"/>
      <c r="AB81" s="364"/>
      <c r="AC81" s="364"/>
      <c r="AD81" s="364"/>
      <c r="AE81" s="364"/>
      <c r="AF81" s="364"/>
      <c r="AG81" s="364"/>
      <c r="AH81" s="364"/>
      <c r="AI81" s="364"/>
      <c r="AJ81" s="364"/>
    </row>
    <row r="82" spans="1:36">
      <c r="B82" s="383"/>
      <c r="C82" s="383"/>
      <c r="D82" s="383"/>
      <c r="E82" s="672" t="s">
        <v>1231</v>
      </c>
      <c r="F82" s="373">
        <f>IF(NoSupports=2,-1*(W78*$E$25+AA78*$E$26)/ColSpa2,0)</f>
        <v>0</v>
      </c>
      <c r="G82" s="373">
        <f>(W78+AA78)*$G$20</f>
        <v>29.290385220073649</v>
      </c>
      <c r="H82" s="373">
        <f>(Y78+AC78)*$G$21</f>
        <v>16.654610410968594</v>
      </c>
      <c r="I82" s="370">
        <f>IF(NoSupports=1,W78*$E$25+AA78*$E$26,0)*$G$20</f>
        <v>290.79760139731917</v>
      </c>
      <c r="J82" s="370">
        <f>(Y78*$E$25+AC78*$E$26)*$G$21</f>
        <v>105.8211433549501</v>
      </c>
      <c r="K82" s="383"/>
      <c r="L82" s="383"/>
      <c r="M82" s="1135" t="s">
        <v>1353</v>
      </c>
      <c r="N82" s="364"/>
      <c r="O82" s="364"/>
      <c r="P82" s="364"/>
      <c r="Q82" s="364"/>
      <c r="R82" s="364"/>
      <c r="S82" s="364"/>
      <c r="T82" s="364"/>
      <c r="U82" s="364"/>
      <c r="V82" s="364"/>
      <c r="W82" s="364"/>
      <c r="X82" s="364"/>
      <c r="Y82" s="364"/>
      <c r="Z82" s="364"/>
      <c r="AA82" s="364"/>
      <c r="AB82" s="364"/>
      <c r="AC82" s="364"/>
      <c r="AD82" s="364"/>
      <c r="AE82" s="364"/>
      <c r="AF82" s="364"/>
      <c r="AG82" s="364"/>
      <c r="AH82" s="364"/>
      <c r="AI82" s="364"/>
      <c r="AJ82" s="364"/>
    </row>
    <row r="83" spans="1:36">
      <c r="B83" s="383"/>
      <c r="C83" s="383"/>
      <c r="D83" s="383"/>
      <c r="E83" s="672" t="s">
        <v>1232</v>
      </c>
      <c r="F83" s="373">
        <f>IF(NoSupports=2,-1*(W79*$E$25+AA79*$E$26)/ColSpa2,0)</f>
        <v>0</v>
      </c>
      <c r="G83" s="373">
        <f>(W79+AA79)*$G$20</f>
        <v>23.591196168652086</v>
      </c>
      <c r="H83" s="373">
        <f>(Y79+AC79)*$G$21</f>
        <v>22.892421988505198</v>
      </c>
      <c r="I83" s="370">
        <f>IF(NoSupports=1,W79*$E$25+AA79*$E$26,0)*$G$20</f>
        <v>234.0976266684894</v>
      </c>
      <c r="J83" s="370">
        <f>(Y79*$E$25+AC79*$E$26)*$G$21</f>
        <v>142.85343691466866</v>
      </c>
      <c r="K83" s="383"/>
      <c r="L83" s="383"/>
      <c r="M83" s="1135" t="s">
        <v>1353</v>
      </c>
      <c r="N83" s="362"/>
      <c r="O83" s="364"/>
      <c r="P83" s="364"/>
      <c r="Q83" s="364"/>
      <c r="R83" s="364"/>
      <c r="S83" s="364"/>
      <c r="T83" s="364"/>
      <c r="U83" s="364"/>
      <c r="V83" s="364"/>
      <c r="W83" s="364"/>
      <c r="X83" s="364"/>
      <c r="Y83" s="364"/>
      <c r="Z83" s="364"/>
      <c r="AA83" s="364"/>
      <c r="AB83" s="364"/>
      <c r="AC83" s="364"/>
      <c r="AD83" s="364"/>
      <c r="AE83" s="364"/>
      <c r="AF83" s="364"/>
      <c r="AG83" s="364"/>
      <c r="AH83" s="364"/>
      <c r="AI83" s="364"/>
      <c r="AJ83" s="364"/>
    </row>
    <row r="84" spans="1:36">
      <c r="B84" s="383"/>
      <c r="C84" s="383"/>
      <c r="D84" s="383"/>
      <c r="E84" s="672" t="s">
        <v>1234</v>
      </c>
      <c r="F84" s="373">
        <f>IF(NoSupports=2,-1*(W80*$E$25+AA80*$E$26)/ColSpa2,0)</f>
        <v>0</v>
      </c>
      <c r="G84" s="373">
        <f>(W80+AA80)*$G$20</f>
        <v>12.368984861417889</v>
      </c>
      <c r="H84" s="373">
        <f>(Y80+AC80)*$G$21</f>
        <v>27.631678674718955</v>
      </c>
      <c r="I84" s="370">
        <f>IF(NoSupports=1,W80*$E$25+AA80*$E$26,0)*$G$20</f>
        <v>121.14910462457769</v>
      </c>
      <c r="J84" s="370">
        <f>(Y80*$E$25+AC80*$E$26)*$G$21</f>
        <v>170.78370821730218</v>
      </c>
      <c r="K84" s="383"/>
      <c r="L84" s="383"/>
      <c r="M84" s="1135" t="s">
        <v>1353</v>
      </c>
      <c r="N84" s="362"/>
      <c r="O84" s="364"/>
      <c r="P84" s="364"/>
      <c r="Q84" s="364"/>
      <c r="R84" s="364"/>
      <c r="S84" s="364"/>
      <c r="T84" s="364"/>
      <c r="U84" s="364"/>
      <c r="V84" s="364"/>
      <c r="W84" s="364"/>
      <c r="X84" s="364"/>
      <c r="Y84" s="364"/>
      <c r="Z84" s="364"/>
      <c r="AA84" s="364"/>
      <c r="AB84" s="364"/>
      <c r="AC84" s="364"/>
      <c r="AD84" s="364"/>
      <c r="AE84" s="364"/>
      <c r="AF84" s="364"/>
      <c r="AG84" s="364"/>
      <c r="AH84" s="364"/>
      <c r="AI84" s="364"/>
      <c r="AJ84" s="364"/>
    </row>
    <row r="85" spans="1:36">
      <c r="A85" t="str">
        <f>IF(NoSupports&lt;&gt;1,"*",IF(Col_Offset=0,IF(curvedirection="left","","*"),""))</f>
        <v/>
      </c>
      <c r="B85" s="383"/>
      <c r="C85" s="383"/>
      <c r="D85" s="383"/>
      <c r="E85" s="672" t="s">
        <v>860</v>
      </c>
      <c r="F85" s="373">
        <f>'Wind Loads'!G156*$G$19</f>
        <v>-110</v>
      </c>
      <c r="G85" s="373">
        <v>0</v>
      </c>
      <c r="H85" s="373">
        <v>0</v>
      </c>
      <c r="I85" s="370">
        <f>IF(NoSupports=1,ABS('Wind Loads'!G156*(0.25*DeckWidth+Col_Offset)),0)</f>
        <v>1375</v>
      </c>
      <c r="J85" s="370">
        <v>0</v>
      </c>
      <c r="K85" s="384"/>
      <c r="L85" s="383"/>
      <c r="N85" s="362"/>
      <c r="O85" s="364"/>
      <c r="P85" s="364"/>
      <c r="Q85" s="364"/>
      <c r="R85" s="364"/>
      <c r="S85" s="364"/>
      <c r="T85" s="364"/>
      <c r="U85" s="364"/>
      <c r="V85" s="364"/>
      <c r="W85" s="364"/>
      <c r="X85" s="364"/>
      <c r="Y85" s="364"/>
      <c r="Z85" s="364"/>
      <c r="AA85" s="364"/>
      <c r="AB85" s="364"/>
      <c r="AC85" s="364"/>
      <c r="AD85" s="364"/>
      <c r="AE85" s="364"/>
      <c r="AF85" s="364"/>
      <c r="AG85" s="364"/>
      <c r="AH85" s="364"/>
      <c r="AI85" s="364"/>
      <c r="AJ85" s="364"/>
    </row>
    <row r="86" spans="1:36" hidden="1">
      <c r="A86" t="str">
        <f>IF(NoSupports&lt;&gt;1,"*",IF(Col_Offset=0,IF(curvedirection="left","*",""),""))</f>
        <v>*</v>
      </c>
      <c r="B86" s="383"/>
      <c r="C86" s="383"/>
      <c r="D86" s="383"/>
      <c r="E86" s="672" t="s">
        <v>861</v>
      </c>
      <c r="F86" s="373">
        <f>'Wind Loads'!G156*$G$19</f>
        <v>-110</v>
      </c>
      <c r="G86" s="373">
        <v>0</v>
      </c>
      <c r="H86" s="373">
        <v>0</v>
      </c>
      <c r="I86" s="370">
        <f>IF(NoSupports=1,-ABS('Wind Loads'!G156*(0.25*DeckWidth-Col_Offset)),0)</f>
        <v>-1375</v>
      </c>
      <c r="J86" s="370">
        <v>0</v>
      </c>
      <c r="K86" s="384"/>
      <c r="L86" s="383"/>
      <c r="N86" s="362"/>
      <c r="O86" s="364"/>
      <c r="P86" s="364"/>
      <c r="Q86" s="364"/>
      <c r="R86" s="364"/>
      <c r="S86" s="364"/>
      <c r="T86" s="364"/>
      <c r="U86" s="364"/>
      <c r="V86" s="364"/>
      <c r="W86" s="364"/>
      <c r="X86" s="364"/>
      <c r="Y86" s="364"/>
      <c r="Z86" s="364"/>
      <c r="AA86" s="364"/>
      <c r="AB86" s="364"/>
      <c r="AC86" s="364"/>
      <c r="AD86" s="364"/>
      <c r="AE86" s="364"/>
      <c r="AF86" s="364"/>
      <c r="AG86" s="364"/>
      <c r="AH86" s="364"/>
      <c r="AI86" s="364"/>
      <c r="AJ86" s="364"/>
    </row>
    <row r="87" spans="1:36">
      <c r="B87" s="383"/>
      <c r="C87" s="383"/>
      <c r="D87" s="383"/>
      <c r="E87" s="556" t="s">
        <v>1520</v>
      </c>
      <c r="F87" s="373">
        <f>'Wind Loads'!G157*$G$19</f>
        <v>-60</v>
      </c>
      <c r="G87" s="373">
        <v>0</v>
      </c>
      <c r="H87" s="373">
        <v>0</v>
      </c>
      <c r="I87" s="370">
        <f>IF(NoSupports=1,SIGN(M87)*ABS('Wind Loads'!G157*(0.25*DeckWidth+ABS(Col_Offset))),0)</f>
        <v>750</v>
      </c>
      <c r="J87" s="370">
        <v>0</v>
      </c>
      <c r="K87" s="384"/>
      <c r="L87" s="383"/>
      <c r="M87" s="344">
        <f>IF(1.75*ABS(I45+G45*ColHeightI)&gt;ABS(1.25*I29+1.5*I31+1.75*I53+1.75*I59),SIGN(I29),SIGN(I29+I31+I53+I59))</f>
        <v>1</v>
      </c>
      <c r="N87" s="362"/>
      <c r="O87" s="364"/>
      <c r="P87" s="364"/>
      <c r="Q87" s="364"/>
      <c r="R87" s="364"/>
      <c r="S87" s="364"/>
      <c r="T87" s="364"/>
      <c r="U87" s="364"/>
      <c r="V87" s="364"/>
      <c r="W87" s="364"/>
      <c r="X87" s="364"/>
      <c r="Y87" s="364"/>
      <c r="Z87" s="364"/>
      <c r="AA87" s="364"/>
      <c r="AB87" s="364"/>
      <c r="AC87" s="364"/>
      <c r="AD87" s="364"/>
      <c r="AE87" s="364"/>
      <c r="AF87" s="364"/>
      <c r="AG87" s="364"/>
      <c r="AH87" s="364"/>
      <c r="AI87" s="364"/>
      <c r="AJ87" s="364"/>
    </row>
    <row r="88" spans="1:36" ht="12.75" customHeight="1">
      <c r="A88" s="359" t="s">
        <v>670</v>
      </c>
      <c r="B88" s="385"/>
      <c r="C88" s="383"/>
      <c r="D88" s="383"/>
      <c r="E88" s="383"/>
      <c r="F88" s="383"/>
      <c r="G88" s="383"/>
      <c r="H88" s="383"/>
      <c r="I88" s="383"/>
      <c r="J88" s="383"/>
      <c r="K88" s="383"/>
      <c r="L88" s="383"/>
      <c r="N88" s="362"/>
      <c r="O88" s="364"/>
      <c r="P88" s="364"/>
      <c r="Q88" s="364"/>
      <c r="R88" s="364"/>
      <c r="S88" s="364"/>
      <c r="T88" s="364"/>
      <c r="U88" s="364"/>
      <c r="V88" s="364"/>
      <c r="W88" s="364"/>
      <c r="X88" s="364"/>
      <c r="Y88" s="364"/>
      <c r="Z88" s="364"/>
      <c r="AA88" s="364"/>
      <c r="AB88" s="364"/>
      <c r="AC88" s="364"/>
      <c r="AD88" s="364"/>
      <c r="AE88" s="364"/>
      <c r="AF88" s="364"/>
      <c r="AG88" s="364"/>
      <c r="AH88" s="364"/>
      <c r="AI88" s="364"/>
      <c r="AJ88" s="364"/>
    </row>
    <row r="89" spans="1:36" ht="4.5" customHeight="1">
      <c r="B89" s="385"/>
      <c r="C89" s="383"/>
      <c r="D89" s="383"/>
      <c r="E89" s="383"/>
      <c r="F89" s="383"/>
      <c r="G89" s="383"/>
      <c r="H89" s="383"/>
      <c r="I89" s="383"/>
      <c r="J89" s="383"/>
      <c r="K89" s="383"/>
      <c r="L89" s="383"/>
      <c r="N89" s="362"/>
      <c r="O89" s="364"/>
      <c r="P89" s="364"/>
      <c r="Q89" s="364"/>
      <c r="R89" s="364"/>
      <c r="S89" s="364"/>
      <c r="T89" s="364"/>
      <c r="U89" s="364"/>
      <c r="V89" s="364"/>
      <c r="W89" s="364"/>
      <c r="X89" s="364"/>
      <c r="Y89" s="364"/>
      <c r="Z89" s="364"/>
      <c r="AA89" s="364"/>
      <c r="AB89" s="364"/>
      <c r="AC89" s="364"/>
      <c r="AD89" s="364"/>
      <c r="AE89" s="364"/>
      <c r="AF89" s="364"/>
      <c r="AG89" s="364"/>
      <c r="AH89" s="364"/>
      <c r="AI89" s="364"/>
      <c r="AJ89" s="364"/>
    </row>
    <row r="90" spans="1:36" ht="18" customHeight="1" thickBot="1">
      <c r="B90" s="1523" t="s">
        <v>1235</v>
      </c>
      <c r="C90" s="1523"/>
      <c r="D90" s="1523"/>
      <c r="E90" s="1523"/>
      <c r="F90" s="1523"/>
      <c r="G90" s="1523"/>
      <c r="H90" s="1523"/>
      <c r="I90" s="1523"/>
      <c r="J90" s="1523"/>
      <c r="K90" s="1523"/>
      <c r="L90" s="1523"/>
      <c r="M90" s="367"/>
      <c r="N90" s="362"/>
      <c r="O90" s="362"/>
      <c r="P90" s="362"/>
      <c r="Q90" s="362"/>
      <c r="R90" s="364"/>
      <c r="S90" s="364"/>
      <c r="T90" s="364"/>
      <c r="U90" s="364"/>
      <c r="V90" s="364"/>
      <c r="W90" s="364"/>
      <c r="X90" s="364"/>
      <c r="Y90" s="364"/>
      <c r="Z90" s="364"/>
      <c r="AA90" s="364"/>
      <c r="AB90" s="364"/>
      <c r="AC90" s="364"/>
      <c r="AD90" s="364"/>
      <c r="AE90" s="364"/>
      <c r="AF90" s="364"/>
      <c r="AG90" s="364"/>
      <c r="AH90" s="364"/>
      <c r="AI90" s="364"/>
      <c r="AJ90" s="364"/>
    </row>
    <row r="91" spans="1:36" ht="3.75" customHeight="1">
      <c r="B91" s="780"/>
      <c r="C91" s="780"/>
      <c r="D91" s="780"/>
      <c r="E91" s="780"/>
      <c r="F91" s="780"/>
      <c r="G91" s="780"/>
      <c r="H91" s="780"/>
      <c r="I91" s="780"/>
      <c r="J91" s="780"/>
      <c r="K91" s="780"/>
      <c r="L91" s="780"/>
      <c r="M91" s="367"/>
      <c r="N91" s="364"/>
      <c r="O91" s="364"/>
      <c r="P91" s="364"/>
      <c r="Q91" s="364"/>
      <c r="R91" s="364"/>
      <c r="S91" s="364"/>
      <c r="T91" s="364"/>
      <c r="U91" s="364"/>
      <c r="V91" s="364"/>
      <c r="W91" s="364"/>
      <c r="X91" s="364"/>
      <c r="Y91" s="364"/>
      <c r="Z91" s="364"/>
      <c r="AA91" s="364"/>
      <c r="AB91" s="364"/>
      <c r="AC91" s="364"/>
      <c r="AD91" s="364"/>
      <c r="AE91" s="364"/>
      <c r="AF91" s="364"/>
      <c r="AG91" s="364"/>
      <c r="AH91" s="364"/>
      <c r="AI91" s="364"/>
      <c r="AJ91" s="364"/>
    </row>
    <row r="92" spans="1:36" ht="14.25">
      <c r="B92" s="780"/>
      <c r="C92" s="780"/>
      <c r="D92" s="780"/>
      <c r="E92" s="780"/>
      <c r="F92" s="778" t="s">
        <v>1184</v>
      </c>
      <c r="G92" s="778" t="s">
        <v>70</v>
      </c>
      <c r="H92" s="778" t="s">
        <v>71</v>
      </c>
      <c r="I92" s="778" t="s">
        <v>73</v>
      </c>
      <c r="J92" s="778" t="s">
        <v>72</v>
      </c>
      <c r="K92" s="780"/>
      <c r="L92" s="780"/>
      <c r="M92" s="367"/>
      <c r="N92" s="362"/>
      <c r="O92" s="364"/>
      <c r="P92" s="364"/>
      <c r="Q92" s="364"/>
      <c r="R92" s="364"/>
      <c r="S92" s="364"/>
      <c r="T92" s="364"/>
      <c r="U92" s="364"/>
      <c r="V92" s="364"/>
      <c r="W92" s="364"/>
      <c r="X92" s="364"/>
      <c r="Y92" s="364"/>
      <c r="Z92" s="364"/>
      <c r="AA92" s="364"/>
      <c r="AB92" s="364"/>
      <c r="AC92" s="364"/>
      <c r="AD92" s="364"/>
      <c r="AE92" s="364"/>
      <c r="AF92" s="364"/>
      <c r="AG92" s="364"/>
      <c r="AH92" s="364"/>
      <c r="AI92" s="364"/>
      <c r="AJ92" s="364"/>
    </row>
    <row r="93" spans="1:36">
      <c r="B93" s="383"/>
      <c r="C93" s="383"/>
      <c r="D93" s="383"/>
      <c r="E93" s="556" t="s">
        <v>1236</v>
      </c>
      <c r="F93" s="373">
        <f>'Conc DL'!G109</f>
        <v>72</v>
      </c>
      <c r="G93" s="373">
        <v>0</v>
      </c>
      <c r="H93" s="373">
        <v>0</v>
      </c>
      <c r="I93" s="370">
        <v>0</v>
      </c>
      <c r="J93" s="370">
        <v>0</v>
      </c>
      <c r="K93" s="383"/>
      <c r="L93" s="383"/>
      <c r="N93" s="362"/>
      <c r="O93" s="364"/>
      <c r="P93" s="364"/>
      <c r="Q93" s="364"/>
      <c r="R93" s="364"/>
      <c r="S93" s="364"/>
      <c r="T93" s="364"/>
      <c r="U93" s="364"/>
      <c r="V93" s="364"/>
      <c r="W93" s="364"/>
      <c r="X93" s="364"/>
      <c r="Y93" s="364"/>
      <c r="Z93" s="364"/>
      <c r="AA93" s="364"/>
      <c r="AB93" s="364"/>
      <c r="AC93" s="364"/>
      <c r="AD93" s="364"/>
      <c r="AE93" s="364"/>
      <c r="AF93" s="364"/>
      <c r="AG93" s="364"/>
      <c r="AH93" s="364"/>
      <c r="AI93" s="364"/>
      <c r="AJ93" s="364"/>
    </row>
    <row r="94" spans="1:36">
      <c r="B94" s="383"/>
      <c r="C94" s="383"/>
      <c r="D94" s="383"/>
      <c r="E94" s="672" t="s">
        <v>1237</v>
      </c>
      <c r="F94" s="373">
        <v>0</v>
      </c>
      <c r="G94" s="373">
        <f>AE76</f>
        <v>5.6567163737302453</v>
      </c>
      <c r="H94" s="373">
        <f>AG76</f>
        <v>0</v>
      </c>
      <c r="I94" s="370">
        <f t="shared" ref="I94:J98" si="4">G94*WindCentroid</f>
        <v>56.567163737302451</v>
      </c>
      <c r="J94" s="370">
        <f t="shared" si="4"/>
        <v>0</v>
      </c>
      <c r="K94" s="383"/>
      <c r="L94" s="383"/>
      <c r="N94" s="362"/>
      <c r="O94" s="364"/>
      <c r="P94" s="364"/>
      <c r="Q94" s="364"/>
      <c r="R94" s="364"/>
      <c r="S94" s="364"/>
      <c r="T94" s="364"/>
      <c r="U94" s="364"/>
      <c r="V94" s="364"/>
      <c r="W94" s="364"/>
      <c r="X94" s="364"/>
      <c r="Y94" s="364"/>
      <c r="Z94" s="364"/>
      <c r="AA94" s="364"/>
      <c r="AB94" s="364"/>
      <c r="AC94" s="364"/>
      <c r="AD94" s="364"/>
      <c r="AE94" s="364"/>
      <c r="AF94" s="364"/>
      <c r="AG94" s="364"/>
      <c r="AH94" s="364"/>
      <c r="AI94" s="364"/>
      <c r="AJ94" s="364"/>
    </row>
    <row r="95" spans="1:36">
      <c r="B95" s="383"/>
      <c r="C95" s="383"/>
      <c r="D95" s="383"/>
      <c r="E95" s="672" t="s">
        <v>1238</v>
      </c>
      <c r="F95" s="373">
        <v>0</v>
      </c>
      <c r="G95" s="373">
        <f>AE77</f>
        <v>5.4639684373782895</v>
      </c>
      <c r="H95" s="373">
        <f>AG77</f>
        <v>2.1960988953969838</v>
      </c>
      <c r="I95" s="370">
        <f t="shared" si="4"/>
        <v>54.639684373782899</v>
      </c>
      <c r="J95" s="370">
        <f t="shared" si="4"/>
        <v>21.960988953969839</v>
      </c>
      <c r="K95" s="383"/>
      <c r="L95" s="383"/>
      <c r="N95" s="362"/>
      <c r="O95" s="364"/>
      <c r="P95" s="364"/>
      <c r="Q95" s="364"/>
      <c r="R95" s="364"/>
      <c r="S95" s="364"/>
      <c r="T95" s="364"/>
      <c r="U95" s="364"/>
      <c r="V95" s="364"/>
      <c r="W95" s="364"/>
      <c r="X95" s="364"/>
      <c r="Y95" s="364"/>
      <c r="Z95" s="364"/>
      <c r="AA95" s="364"/>
      <c r="AB95" s="364"/>
      <c r="AC95" s="364"/>
      <c r="AD95" s="364"/>
      <c r="AE95" s="364"/>
      <c r="AF95" s="364"/>
      <c r="AG95" s="364"/>
      <c r="AH95" s="364"/>
      <c r="AI95" s="364"/>
      <c r="AJ95" s="364"/>
    </row>
    <row r="96" spans="1:36">
      <c r="B96" s="383"/>
      <c r="C96" s="383"/>
      <c r="D96" s="383"/>
      <c r="E96" s="672" t="s">
        <v>1239</v>
      </c>
      <c r="F96" s="373">
        <v>0</v>
      </c>
      <c r="G96" s="373">
        <f>AE78</f>
        <v>4.8988600816537815</v>
      </c>
      <c r="H96" s="373">
        <f>AG78</f>
        <v>4.2425372802976833</v>
      </c>
      <c r="I96" s="370">
        <f t="shared" si="4"/>
        <v>48.988600816537812</v>
      </c>
      <c r="J96" s="370">
        <f t="shared" si="4"/>
        <v>42.425372802976831</v>
      </c>
      <c r="K96" s="383"/>
      <c r="L96" s="383"/>
      <c r="N96" s="362"/>
      <c r="O96" s="364"/>
      <c r="P96" s="364"/>
      <c r="Q96" s="364"/>
      <c r="R96" s="364"/>
      <c r="S96" s="364"/>
      <c r="T96" s="364"/>
      <c r="U96" s="364"/>
      <c r="V96" s="364"/>
      <c r="W96" s="364"/>
      <c r="X96" s="364"/>
      <c r="Y96" s="364"/>
      <c r="Z96" s="364"/>
      <c r="AA96" s="364"/>
      <c r="AB96" s="364"/>
      <c r="AC96" s="364"/>
      <c r="AD96" s="364"/>
      <c r="AE96" s="364"/>
      <c r="AF96" s="364"/>
      <c r="AG96" s="364"/>
      <c r="AH96" s="364"/>
      <c r="AI96" s="364"/>
      <c r="AJ96" s="364"/>
    </row>
    <row r="97" spans="2:36">
      <c r="B97" s="383"/>
      <c r="C97" s="383"/>
      <c r="D97" s="383"/>
      <c r="E97" s="672" t="s">
        <v>1240</v>
      </c>
      <c r="F97" s="373">
        <v>0</v>
      </c>
      <c r="G97" s="373">
        <f>AE79</f>
        <v>3.9999025071136334</v>
      </c>
      <c r="H97" s="373">
        <f>AG79</f>
        <v>5.9998537606704483</v>
      </c>
      <c r="I97" s="370">
        <f t="shared" si="4"/>
        <v>39.99902507113633</v>
      </c>
      <c r="J97" s="370">
        <f t="shared" si="4"/>
        <v>59.998537606704481</v>
      </c>
      <c r="K97" s="383"/>
      <c r="L97" s="383"/>
      <c r="N97" s="362"/>
      <c r="O97" s="362"/>
      <c r="P97" s="362"/>
      <c r="Q97" s="362"/>
      <c r="R97" s="364"/>
      <c r="S97" s="364"/>
      <c r="T97" s="364"/>
      <c r="U97" s="364"/>
      <c r="V97" s="364"/>
      <c r="W97" s="364"/>
      <c r="X97" s="364"/>
      <c r="Y97" s="364"/>
      <c r="Z97" s="364"/>
      <c r="AA97" s="364"/>
      <c r="AB97" s="364"/>
      <c r="AC97" s="364"/>
      <c r="AD97" s="364"/>
      <c r="AE97" s="364"/>
      <c r="AF97" s="364"/>
      <c r="AG97" s="364"/>
      <c r="AH97" s="364"/>
      <c r="AI97" s="364"/>
      <c r="AJ97" s="364"/>
    </row>
    <row r="98" spans="2:36">
      <c r="B98" s="383"/>
      <c r="C98" s="383"/>
      <c r="D98" s="383"/>
      <c r="E98" s="672" t="s">
        <v>1241</v>
      </c>
      <c r="F98" s="373">
        <v>0</v>
      </c>
      <c r="G98" s="373">
        <f>AE80</f>
        <v>2.8283581868651231</v>
      </c>
      <c r="H98" s="373">
        <f>AG80</f>
        <v>7.3482901224806714</v>
      </c>
      <c r="I98" s="370">
        <f t="shared" si="4"/>
        <v>28.283581868651233</v>
      </c>
      <c r="J98" s="370">
        <f t="shared" si="4"/>
        <v>73.48290122480671</v>
      </c>
      <c r="K98" s="383"/>
      <c r="L98" s="383"/>
      <c r="N98" s="364"/>
      <c r="O98" s="364"/>
      <c r="P98" s="364"/>
      <c r="Q98" s="364"/>
      <c r="R98" s="364"/>
      <c r="S98" s="364"/>
      <c r="T98" s="364"/>
      <c r="U98" s="364"/>
      <c r="V98" s="364"/>
      <c r="W98" s="364"/>
      <c r="X98" s="364"/>
      <c r="Y98" s="364"/>
      <c r="Z98" s="364"/>
      <c r="AA98" s="364"/>
      <c r="AB98" s="364"/>
      <c r="AC98" s="364"/>
      <c r="AD98" s="364"/>
      <c r="AE98" s="364"/>
      <c r="AF98" s="364"/>
      <c r="AG98" s="364"/>
      <c r="AH98" s="364"/>
      <c r="AI98" s="364"/>
      <c r="AJ98" s="364"/>
    </row>
    <row r="99" spans="2:36">
      <c r="B99" s="383"/>
      <c r="C99" s="383"/>
      <c r="D99" s="383"/>
      <c r="E99" s="383"/>
      <c r="F99" s="383"/>
      <c r="G99" s="383"/>
      <c r="H99" s="383"/>
      <c r="I99" s="383"/>
      <c r="J99" s="383"/>
      <c r="K99" s="383"/>
      <c r="L99" s="383"/>
    </row>
    <row r="105" spans="2:36">
      <c r="N105" s="362"/>
    </row>
    <row r="106" spans="2:36">
      <c r="N106" s="362"/>
    </row>
    <row r="107" spans="2:36">
      <c r="N107" s="362"/>
    </row>
    <row r="108" spans="2:36">
      <c r="N108" s="362"/>
    </row>
    <row r="109" spans="2:36">
      <c r="N109" s="362"/>
    </row>
  </sheetData>
  <sheetProtection algorithmName="SHA-512" hashValue="d5AFhiha3fYIGIl0j+b6nA/ySHGLfzfOPH9f8/mUZRZd5MPqsCd4DEIiOzNmxECilBPqL6kZ0nwz02v4VJkTGw==" saltValue="8/eGVlqPOdK5VObAQnf4tQ==" spinCount="100000" sheet="1" objects="1" scenarios="1"/>
  <mergeCells count="19">
    <mergeCell ref="AE74:AH74"/>
    <mergeCell ref="Y75:Z75"/>
    <mergeCell ref="W75:X75"/>
    <mergeCell ref="AA75:AB75"/>
    <mergeCell ref="AC75:AD75"/>
    <mergeCell ref="AE75:AF75"/>
    <mergeCell ref="AG75:AH75"/>
    <mergeCell ref="AA74:AD74"/>
    <mergeCell ref="S74:V74"/>
    <mergeCell ref="Q75:R75"/>
    <mergeCell ref="S75:T75"/>
    <mergeCell ref="U75:V75"/>
    <mergeCell ref="W74:Z74"/>
    <mergeCell ref="B8:L8"/>
    <mergeCell ref="B22:L22"/>
    <mergeCell ref="B90:L90"/>
    <mergeCell ref="O75:P75"/>
    <mergeCell ref="O74:R74"/>
    <mergeCell ref="B70:D74"/>
  </mergeCells>
  <phoneticPr fontId="0" type="noConversion"/>
  <conditionalFormatting sqref="F93">
    <cfRule type="cellIs" dxfId="0" priority="1" stopIfTrue="1" operator="equal">
      <formula>0</formula>
    </cfRule>
  </conditionalFormatting>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79" min="1" max="11"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1">
    <tabColor indexed="47"/>
  </sheetPr>
  <dimension ref="A1:AJ109"/>
  <sheetViews>
    <sheetView showGridLines="0" view="pageBreakPreview" topLeftCell="A15" zoomScaleSheetLayoutView="100" workbookViewId="0"/>
  </sheetViews>
  <sheetFormatPr defaultColWidth="9.140625" defaultRowHeight="12.75"/>
  <cols>
    <col min="1" max="1" width="24.7109375" style="359" customWidth="1"/>
    <col min="2" max="12" width="8.7109375" style="344" customWidth="1"/>
    <col min="13" max="13" width="4.28515625" style="344" customWidth="1"/>
    <col min="14" max="35" width="6.7109375" style="344" customWidth="1"/>
    <col min="36" max="16384" width="9.140625" style="344"/>
  </cols>
  <sheetData>
    <row r="1" spans="1:13">
      <c r="B1" s="383"/>
      <c r="C1" s="383"/>
      <c r="D1" s="383"/>
      <c r="E1" s="383"/>
      <c r="F1" s="383"/>
      <c r="G1" s="383"/>
      <c r="H1" s="383"/>
      <c r="I1" s="383"/>
      <c r="J1" s="383"/>
      <c r="K1" s="383"/>
      <c r="L1" s="383"/>
    </row>
    <row r="2" spans="1:13">
      <c r="B2" s="383"/>
      <c r="C2" s="383"/>
      <c r="D2" s="383"/>
      <c r="E2" s="383"/>
      <c r="F2" s="383"/>
      <c r="G2" s="383"/>
      <c r="H2" s="383"/>
      <c r="I2" s="383"/>
      <c r="J2" s="383"/>
      <c r="K2" s="383"/>
      <c r="L2" s="383"/>
    </row>
    <row r="3" spans="1:13">
      <c r="B3" s="383"/>
      <c r="C3" s="383"/>
      <c r="D3" s="383"/>
      <c r="E3" s="383"/>
      <c r="F3" s="383"/>
      <c r="G3" s="383"/>
      <c r="H3" s="383"/>
      <c r="I3" s="383"/>
      <c r="J3" s="383"/>
      <c r="K3" s="383"/>
      <c r="L3" s="383"/>
    </row>
    <row r="4" spans="1:13">
      <c r="B4" s="383"/>
      <c r="C4" s="383"/>
      <c r="D4" s="383"/>
      <c r="E4" s="383"/>
      <c r="F4" s="383"/>
      <c r="G4" s="383"/>
      <c r="H4" s="383"/>
      <c r="I4" s="383"/>
      <c r="J4" s="383"/>
      <c r="K4" s="383"/>
      <c r="L4" s="383"/>
    </row>
    <row r="5" spans="1:13">
      <c r="B5" s="383"/>
      <c r="C5" s="383"/>
      <c r="D5" s="383"/>
      <c r="E5" s="383"/>
      <c r="F5" s="383"/>
      <c r="G5" s="383"/>
      <c r="H5" s="383"/>
      <c r="I5" s="383"/>
      <c r="J5" s="383"/>
      <c r="K5" s="383"/>
      <c r="L5" s="383"/>
    </row>
    <row r="6" spans="1:13">
      <c r="B6" s="383"/>
      <c r="C6" s="383"/>
      <c r="D6" s="383"/>
      <c r="E6" s="383"/>
      <c r="F6" s="383"/>
      <c r="G6" s="383"/>
      <c r="H6" s="383"/>
      <c r="I6" s="383"/>
      <c r="J6" s="383"/>
      <c r="K6" s="383"/>
      <c r="L6" s="383"/>
    </row>
    <row r="7" spans="1:13">
      <c r="B7" s="383"/>
      <c r="C7" s="383"/>
      <c r="D7" s="383"/>
      <c r="E7" s="383"/>
      <c r="F7" s="383"/>
      <c r="G7" s="383"/>
      <c r="H7" s="383"/>
      <c r="I7" s="383"/>
      <c r="J7" s="383"/>
      <c r="K7" s="383"/>
      <c r="L7" s="383"/>
    </row>
    <row r="8" spans="1:13" ht="19.5" customHeight="1" thickBot="1">
      <c r="B8" s="1500" t="s">
        <v>1242</v>
      </c>
      <c r="C8" s="1500"/>
      <c r="D8" s="1500"/>
      <c r="E8" s="1500"/>
      <c r="F8" s="1500"/>
      <c r="G8" s="1500"/>
      <c r="H8" s="1500"/>
      <c r="I8" s="1500"/>
      <c r="J8" s="1500"/>
      <c r="K8" s="1500"/>
      <c r="L8" s="1500"/>
      <c r="M8" s="360"/>
    </row>
    <row r="9" spans="1:13" s="362" customFormat="1" thickTop="1">
      <c r="A9" s="361"/>
      <c r="B9" s="768" t="s">
        <v>1252</v>
      </c>
      <c r="C9" s="769"/>
      <c r="D9" s="48"/>
      <c r="E9" s="770"/>
      <c r="F9" s="771"/>
      <c r="G9" s="48"/>
      <c r="H9" s="48"/>
      <c r="I9" s="48"/>
      <c r="J9" s="48"/>
      <c r="K9" s="723"/>
      <c r="L9" s="723"/>
    </row>
    <row r="10" spans="1:13" s="364" customFormat="1" ht="12" customHeight="1">
      <c r="A10" s="363"/>
      <c r="B10" s="385"/>
      <c r="C10" s="1086" t="s">
        <v>609</v>
      </c>
      <c r="D10" s="48"/>
      <c r="E10" s="770"/>
      <c r="F10" s="771"/>
      <c r="G10" s="48"/>
      <c r="H10" s="48"/>
      <c r="I10" s="48"/>
      <c r="J10" s="48"/>
      <c r="K10" s="723"/>
      <c r="L10" s="723"/>
    </row>
    <row r="11" spans="1:13" s="364" customFormat="1" ht="12" customHeight="1">
      <c r="A11" s="363"/>
      <c r="B11" s="385"/>
      <c r="C11" s="1086" t="s">
        <v>610</v>
      </c>
      <c r="D11" s="48"/>
      <c r="E11" s="770"/>
      <c r="F11" s="771"/>
      <c r="G11" s="48"/>
      <c r="H11" s="48"/>
      <c r="I11" s="48"/>
      <c r="J11" s="48"/>
      <c r="K11" s="723"/>
      <c r="L11" s="723"/>
    </row>
    <row r="12" spans="1:13" s="364" customFormat="1" ht="12" customHeight="1">
      <c r="A12" s="363"/>
      <c r="B12" s="385"/>
      <c r="C12" s="365" t="s">
        <v>1256</v>
      </c>
      <c r="D12" s="365"/>
      <c r="E12" s="772"/>
      <c r="F12" s="773"/>
      <c r="G12" s="365"/>
      <c r="H12" s="365"/>
      <c r="I12" s="365"/>
      <c r="J12" s="365"/>
      <c r="K12" s="385"/>
      <c r="L12" s="385"/>
    </row>
    <row r="13" spans="1:13" s="364" customFormat="1" ht="12" customHeight="1">
      <c r="A13" s="363"/>
      <c r="B13" s="385"/>
      <c r="C13" s="365" t="s">
        <v>1257</v>
      </c>
      <c r="D13" s="365"/>
      <c r="E13" s="772"/>
      <c r="F13" s="773"/>
      <c r="G13" s="365"/>
      <c r="H13" s="365"/>
      <c r="I13" s="365"/>
      <c r="J13" s="365"/>
      <c r="K13" s="385"/>
      <c r="L13" s="385"/>
    </row>
    <row r="14" spans="1:13" s="364" customFormat="1" ht="12" customHeight="1">
      <c r="A14" s="363"/>
      <c r="B14" s="385"/>
      <c r="C14" s="1086" t="s">
        <v>1343</v>
      </c>
      <c r="D14" s="365"/>
      <c r="E14" s="772"/>
      <c r="F14" s="773"/>
      <c r="G14" s="365"/>
      <c r="H14" s="365"/>
      <c r="I14" s="365"/>
      <c r="J14" s="365"/>
      <c r="K14" s="385"/>
      <c r="L14" s="385"/>
    </row>
    <row r="15" spans="1:13" s="364" customFormat="1" ht="12" customHeight="1">
      <c r="A15" s="363"/>
      <c r="B15" s="385"/>
      <c r="C15" s="1086" t="s">
        <v>1352</v>
      </c>
      <c r="D15" s="365"/>
      <c r="E15" s="772"/>
      <c r="F15" s="773"/>
      <c r="G15" s="365"/>
      <c r="H15" s="365"/>
      <c r="I15" s="365"/>
      <c r="J15" s="365"/>
      <c r="K15" s="385"/>
      <c r="L15" s="385"/>
    </row>
    <row r="16" spans="1:13" s="364" customFormat="1" ht="12" customHeight="1">
      <c r="A16" s="363"/>
      <c r="B16" s="385"/>
      <c r="C16" s="365"/>
      <c r="D16" s="365"/>
      <c r="E16" s="772"/>
      <c r="F16" s="773"/>
      <c r="G16" s="365"/>
      <c r="H16" s="365"/>
      <c r="I16" s="365"/>
      <c r="J16" s="365"/>
      <c r="K16" s="385"/>
      <c r="L16" s="385"/>
    </row>
    <row r="17" spans="1:22" s="364" customFormat="1" ht="4.5" customHeight="1">
      <c r="A17" s="363"/>
      <c r="B17" s="385"/>
      <c r="C17" s="365"/>
      <c r="D17" s="365"/>
      <c r="E17" s="772"/>
      <c r="F17" s="773"/>
      <c r="G17" s="365"/>
      <c r="H17" s="365"/>
      <c r="I17" s="365"/>
      <c r="J17" s="365"/>
      <c r="K17" s="385"/>
      <c r="L17" s="385"/>
    </row>
    <row r="18" spans="1:22" ht="12.75" customHeight="1">
      <c r="B18" s="662"/>
      <c r="C18" s="383"/>
      <c r="D18" s="299"/>
      <c r="E18" s="662"/>
      <c r="F18" s="366" t="s">
        <v>1258</v>
      </c>
      <c r="G18" s="774">
        <f>1-'Col Analysis-I'!G18</f>
        <v>0</v>
      </c>
      <c r="H18" s="320" t="str">
        <f>'Col Analysis-I'!H18</f>
        <v/>
      </c>
      <c r="I18" s="299"/>
      <c r="J18" s="299"/>
      <c r="K18" s="662"/>
      <c r="L18" s="383"/>
      <c r="M18" s="1031" t="str">
        <f>'Col Analysis-I'!M18</f>
        <v>Rev_6.11 - Named cell G18 to DC_LEFT_PERC for use in module II</v>
      </c>
    </row>
    <row r="19" spans="1:22" ht="12.75" customHeight="1">
      <c r="B19" s="662"/>
      <c r="C19" s="383"/>
      <c r="D19" s="299"/>
      <c r="E19" s="662"/>
      <c r="F19" s="366" t="s">
        <v>1261</v>
      </c>
      <c r="G19" s="775">
        <f>1-'Col Analysis-I'!G19</f>
        <v>0</v>
      </c>
      <c r="H19" s="320" t="str">
        <f>IF(NoSupports=1,"",IF(NoSupports=2,"(Based on distance to CL rdwy)","(Distributed Equally to all Columns"))</f>
        <v/>
      </c>
      <c r="I19" s="299"/>
      <c r="J19" s="299"/>
      <c r="K19" s="662"/>
      <c r="L19" s="383"/>
    </row>
    <row r="20" spans="1:22" ht="12.75" customHeight="1">
      <c r="B20" s="662"/>
      <c r="C20" s="383"/>
      <c r="D20" s="299"/>
      <c r="E20" s="662"/>
      <c r="F20" s="366" t="s">
        <v>1259</v>
      </c>
      <c r="G20" s="775">
        <f>1-'Col Analysis-I'!G20</f>
        <v>0</v>
      </c>
      <c r="H20" s="299" t="str">
        <f>IF(NoSupports&gt;1,"(Distributed Equally to all Columns)","")</f>
        <v/>
      </c>
      <c r="I20" s="299"/>
      <c r="J20" s="299"/>
      <c r="K20" s="662"/>
      <c r="L20" s="383"/>
    </row>
    <row r="21" spans="1:22" ht="12.75" customHeight="1">
      <c r="B21" s="662"/>
      <c r="C21" s="383"/>
      <c r="D21" s="299"/>
      <c r="E21" s="662"/>
      <c r="F21" s="366" t="s">
        <v>1260</v>
      </c>
      <c r="G21" s="775">
        <f>1-'Col Analysis-I'!G21</f>
        <v>0</v>
      </c>
      <c r="H21" s="320" t="str">
        <f>IF(NoSupports=2,"(Based on distance to CL rdwy)",IF(NoSupports&gt;2,"(Distributed Equally to all Columns)",""))</f>
        <v/>
      </c>
      <c r="I21" s="299"/>
      <c r="J21" s="299"/>
      <c r="K21" s="662"/>
      <c r="L21" s="383"/>
    </row>
    <row r="22" spans="1:22" ht="18" customHeight="1" thickBot="1">
      <c r="B22" s="1523" t="s">
        <v>1183</v>
      </c>
      <c r="C22" s="1523"/>
      <c r="D22" s="1523"/>
      <c r="E22" s="1523"/>
      <c r="F22" s="1523"/>
      <c r="G22" s="1523"/>
      <c r="H22" s="1523"/>
      <c r="I22" s="1523"/>
      <c r="J22" s="1523"/>
      <c r="K22" s="1523"/>
      <c r="L22" s="1523"/>
      <c r="M22" s="367"/>
    </row>
    <row r="23" spans="1:22" s="362" customFormat="1" ht="18" customHeight="1">
      <c r="A23" s="361"/>
      <c r="B23" s="723"/>
      <c r="C23" s="100" t="s">
        <v>89</v>
      </c>
      <c r="D23" s="100"/>
      <c r="E23" s="723"/>
      <c r="F23" s="723"/>
      <c r="G23" s="823"/>
      <c r="H23" s="723"/>
      <c r="I23" s="723"/>
      <c r="J23" s="723"/>
      <c r="K23" s="723"/>
      <c r="L23" s="723"/>
      <c r="Q23" s="368"/>
    </row>
    <row r="24" spans="1:22" s="362" customFormat="1" ht="13.5" customHeight="1">
      <c r="A24" s="361"/>
      <c r="B24" s="723"/>
      <c r="C24" s="290"/>
      <c r="D24" s="100" t="s">
        <v>86</v>
      </c>
      <c r="E24" s="822">
        <f>6+CapDepth+superdepth+bkbrgpad/12</f>
        <v>17.729166666666668</v>
      </c>
      <c r="F24" s="723" t="s">
        <v>156</v>
      </c>
      <c r="G24" s="13" t="str">
        <f>"{6' + superstructure + substructure +pad = 6' + "&amp;FIXED(superdepth,3)&amp;"' + "&amp;FIXED(CapDepth,3)&amp;"' + "&amp;bkbrgpad&amp;"in}"</f>
        <v>{6' + superstructure + substructure +pad = 6' + 6.375' + 5.125' + 2.75in}</v>
      </c>
      <c r="H24" s="723"/>
      <c r="I24" s="723"/>
      <c r="J24" s="723"/>
      <c r="K24" s="723"/>
      <c r="L24" s="723"/>
      <c r="Q24" s="368"/>
    </row>
    <row r="25" spans="1:22" s="362" customFormat="1" ht="13.5" customHeight="1">
      <c r="A25" s="361"/>
      <c r="B25" s="723"/>
      <c r="C25" s="290"/>
      <c r="D25" s="100" t="s">
        <v>87</v>
      </c>
      <c r="E25" s="822">
        <f>(CapDepth+(superdepth+railheight/12)/2)+bkbrgpad/12</f>
        <v>10.291666666666666</v>
      </c>
      <c r="F25" s="723" t="s">
        <v>156</v>
      </c>
      <c r="G25" s="13" t="str">
        <f>"{substruc + (superstruc + rail)/2 + pad = "&amp;FIXED(CapDepth,3)&amp;"' + ("&amp;FIXED(superdepth,3)&amp;"' + "&amp;FIXED(railheight/12,3)&amp;"')/2} + "&amp;bkbrgpad&amp;"in}"</f>
        <v>{substruc + (superstruc + rail)/2 + pad = 5.125' + (6.375' + 3.500')/2} + 2.75in}</v>
      </c>
      <c r="H25" s="723"/>
      <c r="I25" s="723"/>
      <c r="J25" s="723"/>
      <c r="K25" s="723"/>
      <c r="L25" s="723"/>
      <c r="Q25" s="368"/>
    </row>
    <row r="26" spans="1:22" s="362" customFormat="1" ht="13.5" customHeight="1">
      <c r="A26" s="361"/>
      <c r="B26" s="723"/>
      <c r="C26" s="723"/>
      <c r="D26" s="100" t="s">
        <v>88</v>
      </c>
      <c r="E26" s="822">
        <f>CapDepth/2</f>
        <v>2.5625</v>
      </c>
      <c r="F26" s="723" t="s">
        <v>156</v>
      </c>
      <c r="G26" s="13" t="str">
        <f>"{top of column to top of bearing seat / 2 = "&amp;FIXED(CapDepth,3)&amp;"' / 2}"</f>
        <v>{top of column to top of bearing seat / 2 = 5.125' / 2}</v>
      </c>
      <c r="H26" s="723"/>
      <c r="I26" s="723"/>
      <c r="J26" s="723"/>
      <c r="K26" s="723"/>
      <c r="L26" s="723"/>
      <c r="Q26" s="368"/>
    </row>
    <row r="27" spans="1:22" s="364" customFormat="1" ht="14.25" customHeight="1">
      <c r="A27" s="363"/>
      <c r="B27" s="385"/>
      <c r="C27" s="776"/>
      <c r="D27" s="385"/>
      <c r="E27" s="777"/>
      <c r="F27" s="778" t="s">
        <v>1184</v>
      </c>
      <c r="G27" s="778" t="s">
        <v>70</v>
      </c>
      <c r="H27" s="778" t="s">
        <v>71</v>
      </c>
      <c r="I27" s="778" t="s">
        <v>73</v>
      </c>
      <c r="J27" s="778" t="s">
        <v>72</v>
      </c>
      <c r="K27" s="385"/>
      <c r="L27" s="385"/>
      <c r="Q27" s="368"/>
      <c r="R27" s="362"/>
      <c r="S27" s="362"/>
    </row>
    <row r="28" spans="1:22" s="364" customFormat="1" hidden="1">
      <c r="A28" s="363" t="s">
        <v>1302</v>
      </c>
      <c r="B28" s="385"/>
      <c r="C28" s="776"/>
      <c r="D28" s="385"/>
      <c r="E28" s="672" t="s">
        <v>1185</v>
      </c>
      <c r="F28" s="369">
        <v>0</v>
      </c>
      <c r="G28" s="369">
        <v>0</v>
      </c>
      <c r="H28" s="369">
        <v>0</v>
      </c>
      <c r="I28" s="370">
        <v>0</v>
      </c>
      <c r="J28" s="370">
        <v>0</v>
      </c>
      <c r="K28" s="385"/>
      <c r="L28" s="319"/>
      <c r="M28" s="350"/>
      <c r="N28" s="350"/>
      <c r="O28" s="350"/>
      <c r="P28" s="350"/>
      <c r="Q28" s="351"/>
      <c r="R28" s="362"/>
      <c r="S28" s="352"/>
      <c r="T28" s="350"/>
      <c r="U28" s="350"/>
      <c r="V28" s="350"/>
    </row>
    <row r="29" spans="1:22" s="364" customFormat="1">
      <c r="A29" s="363"/>
      <c r="B29" s="385"/>
      <c r="C29" s="776"/>
      <c r="D29" s="385"/>
      <c r="E29" s="672" t="s">
        <v>721</v>
      </c>
      <c r="F29" s="373">
        <f>(BkSpanDC+FwdSpanDC+CapWeight+PedestalWt)*$G$18+CapitalWt</f>
        <v>0</v>
      </c>
      <c r="G29" s="373">
        <v>0</v>
      </c>
      <c r="H29" s="373">
        <v>0</v>
      </c>
      <c r="I29" s="370">
        <v>0</v>
      </c>
      <c r="J29" s="370">
        <f>ABS((FwdSpanDC-BkSpanDC)*BearingDist/12*$G$18)</f>
        <v>0</v>
      </c>
      <c r="K29" s="385"/>
      <c r="L29" s="319"/>
      <c r="M29" s="350"/>
    </row>
    <row r="30" spans="1:22" s="364" customFormat="1">
      <c r="A30" s="363"/>
      <c r="B30" s="385"/>
      <c r="C30" s="776"/>
      <c r="D30" s="385"/>
      <c r="E30" s="672" t="s">
        <v>1186</v>
      </c>
      <c r="F30" s="373">
        <f>(MAX(BkSpanDC,FwdSpanDC)+CapWeight+PedestalWt)*$G$18+CapitalWt</f>
        <v>0</v>
      </c>
      <c r="G30" s="373">
        <v>0</v>
      </c>
      <c r="H30" s="373">
        <v>0</v>
      </c>
      <c r="I30" s="370">
        <v>0</v>
      </c>
      <c r="J30" s="370">
        <f>ABS(IF(bkspanpgl&gt;fdspanpgl,-BkSpanDC,FwdSpanDC)*BearingDist/12*$G$18)</f>
        <v>0</v>
      </c>
      <c r="K30" s="385"/>
      <c r="L30" s="385"/>
    </row>
    <row r="31" spans="1:22" s="364" customFormat="1" ht="13.5" thickBot="1">
      <c r="A31" s="363"/>
      <c r="B31" s="385"/>
      <c r="C31" s="776"/>
      <c r="D31" s="385"/>
      <c r="E31" s="672" t="s">
        <v>890</v>
      </c>
      <c r="F31" s="373">
        <f>(BkSpanDW+FwdSpanDW)*$G$19</f>
        <v>0</v>
      </c>
      <c r="G31" s="373">
        <v>0</v>
      </c>
      <c r="H31" s="373">
        <v>0</v>
      </c>
      <c r="I31" s="370">
        <v>0</v>
      </c>
      <c r="J31" s="370">
        <f>ABS((FwdSpanDW-BkSpanDW)*BearingDist/12*$G$19)</f>
        <v>0</v>
      </c>
      <c r="K31" s="385"/>
      <c r="L31" s="385"/>
      <c r="N31" s="353" t="s">
        <v>1301</v>
      </c>
      <c r="O31" s="354"/>
      <c r="P31" s="354"/>
      <c r="Q31" s="371"/>
      <c r="R31" s="371"/>
      <c r="S31" s="372"/>
      <c r="T31" s="371"/>
      <c r="U31" s="371"/>
    </row>
    <row r="32" spans="1:22" s="364" customFormat="1" hidden="1">
      <c r="A32" s="363" t="s">
        <v>1302</v>
      </c>
      <c r="B32" s="385"/>
      <c r="C32" s="776"/>
      <c r="D32" s="385"/>
      <c r="E32" s="672" t="s">
        <v>1187</v>
      </c>
      <c r="F32" s="373">
        <v>0</v>
      </c>
      <c r="G32" s="373">
        <v>0</v>
      </c>
      <c r="H32" s="373">
        <v>0</v>
      </c>
      <c r="I32" s="370">
        <v>0</v>
      </c>
      <c r="J32" s="370">
        <v>0</v>
      </c>
      <c r="K32" s="385"/>
      <c r="L32" s="385"/>
    </row>
    <row r="33" spans="1:20" s="364" customFormat="1" hidden="1">
      <c r="A33" s="363" t="s">
        <v>1302</v>
      </c>
      <c r="B33" s="385"/>
      <c r="C33" s="776"/>
      <c r="D33" s="385"/>
      <c r="E33" s="672" t="s">
        <v>1190</v>
      </c>
      <c r="F33" s="373">
        <v>0</v>
      </c>
      <c r="G33" s="373">
        <v>0</v>
      </c>
      <c r="H33" s="373">
        <v>0</v>
      </c>
      <c r="I33" s="370">
        <v>0</v>
      </c>
      <c r="J33" s="370">
        <v>0</v>
      </c>
      <c r="K33" s="385"/>
      <c r="L33" s="385"/>
    </row>
    <row r="34" spans="1:20" s="364" customFormat="1" hidden="1">
      <c r="A34" s="363" t="s">
        <v>1302</v>
      </c>
      <c r="B34" s="385"/>
      <c r="C34" s="776"/>
      <c r="D34" s="385"/>
      <c r="E34" s="672" t="s">
        <v>1189</v>
      </c>
      <c r="F34" s="373">
        <v>0</v>
      </c>
      <c r="G34" s="373">
        <v>0</v>
      </c>
      <c r="H34" s="373">
        <v>0</v>
      </c>
      <c r="I34" s="370">
        <v>0</v>
      </c>
      <c r="J34" s="370">
        <v>0</v>
      </c>
      <c r="K34" s="385"/>
      <c r="L34" s="385"/>
    </row>
    <row r="35" spans="1:20" s="364" customFormat="1" hidden="1">
      <c r="A35" s="363" t="s">
        <v>1302</v>
      </c>
      <c r="B35" s="385"/>
      <c r="C35" s="776"/>
      <c r="D35" s="385"/>
      <c r="E35" s="672" t="s">
        <v>1188</v>
      </c>
      <c r="F35" s="373">
        <v>0</v>
      </c>
      <c r="G35" s="373">
        <v>0</v>
      </c>
      <c r="H35" s="373">
        <v>0</v>
      </c>
      <c r="I35" s="370">
        <v>0</v>
      </c>
      <c r="J35" s="370">
        <v>0</v>
      </c>
      <c r="K35" s="385"/>
      <c r="L35" s="385"/>
    </row>
    <row r="36" spans="1:20" s="364" customFormat="1" hidden="1">
      <c r="A36" s="363" t="s">
        <v>1302</v>
      </c>
      <c r="B36" s="385"/>
      <c r="C36" s="776"/>
      <c r="D36" s="385"/>
      <c r="E36" s="672" t="s">
        <v>1191</v>
      </c>
      <c r="F36" s="373">
        <v>0</v>
      </c>
      <c r="G36" s="373">
        <v>0</v>
      </c>
      <c r="H36" s="373">
        <v>0</v>
      </c>
      <c r="I36" s="370">
        <v>0</v>
      </c>
      <c r="J36" s="370">
        <v>0</v>
      </c>
      <c r="K36" s="385"/>
      <c r="L36" s="385"/>
    </row>
    <row r="37" spans="1:20" s="364" customFormat="1" hidden="1">
      <c r="A37" s="363" t="s">
        <v>1302</v>
      </c>
      <c r="B37" s="385"/>
      <c r="C37" s="776"/>
      <c r="D37" s="385"/>
      <c r="E37" s="672" t="s">
        <v>1192</v>
      </c>
      <c r="F37" s="373">
        <v>0</v>
      </c>
      <c r="G37" s="373">
        <v>0</v>
      </c>
      <c r="H37" s="373">
        <v>0</v>
      </c>
      <c r="I37" s="370">
        <v>0</v>
      </c>
      <c r="J37" s="370">
        <v>0</v>
      </c>
      <c r="K37" s="385"/>
      <c r="L37" s="385"/>
    </row>
    <row r="38" spans="1:20" s="364" customFormat="1" hidden="1">
      <c r="A38" s="363" t="s">
        <v>1302</v>
      </c>
      <c r="B38" s="385"/>
      <c r="C38" s="776"/>
      <c r="D38" s="385"/>
      <c r="E38" s="672" t="s">
        <v>1193</v>
      </c>
      <c r="F38" s="373">
        <v>0</v>
      </c>
      <c r="G38" s="373">
        <v>0</v>
      </c>
      <c r="H38" s="373">
        <v>0</v>
      </c>
      <c r="I38" s="370">
        <v>0</v>
      </c>
      <c r="J38" s="370">
        <v>0</v>
      </c>
      <c r="K38" s="385"/>
      <c r="L38" s="385"/>
    </row>
    <row r="39" spans="1:20" s="364" customFormat="1">
      <c r="A39" s="363"/>
      <c r="B39" s="385"/>
      <c r="C39" s="776"/>
      <c r="D39" s="385"/>
      <c r="E39" s="672" t="s">
        <v>1194</v>
      </c>
      <c r="F39" s="373">
        <f t="shared" ref="F39:F44" si="0">IF(NoSupports=2,G39/$G$20*($E$24)/ColSpa2,0)</f>
        <v>0</v>
      </c>
      <c r="G39" s="373">
        <f>NumLanes*VLOOKUP(NumLanes,'CE &amp; BR'!A36:L39,11)*$G$20</f>
        <v>0</v>
      </c>
      <c r="H39" s="373">
        <f>NumLanes*VLOOKUP(NumLanes,'CE &amp; BR'!A36:L39,12)*$G$21</f>
        <v>0</v>
      </c>
      <c r="I39" s="370">
        <f t="shared" ref="I39:I47" si="1">IF(NoSupports=1,G39*$E$24,0)</f>
        <v>0</v>
      </c>
      <c r="J39" s="370">
        <f t="shared" ref="J39:J47" si="2">H39*$E$24</f>
        <v>0</v>
      </c>
      <c r="K39" s="385"/>
      <c r="L39" s="385"/>
      <c r="R39" s="368" t="s">
        <v>1276</v>
      </c>
      <c r="S39" s="374">
        <f>'Dead Load Moment'!J34</f>
        <v>262.89999999999827</v>
      </c>
      <c r="T39" s="362" t="s">
        <v>400</v>
      </c>
    </row>
    <row r="40" spans="1:20" s="364" customFormat="1" hidden="1">
      <c r="A40" s="363" t="str">
        <f>IF(NoSupports&lt;&gt;1,"*","")</f>
        <v/>
      </c>
      <c r="B40" s="385"/>
      <c r="C40" s="776"/>
      <c r="D40" s="385"/>
      <c r="E40" s="672" t="s">
        <v>830</v>
      </c>
      <c r="F40" s="373">
        <f t="shared" si="0"/>
        <v>0</v>
      </c>
      <c r="G40" s="373">
        <f>IF(NumLanesOut=0,0,NumLanesOut*VLOOKUP(NumLanesOut,'CE &amp; BR'!A36:L39,11)*$G$20)</f>
        <v>0</v>
      </c>
      <c r="H40" s="373">
        <f>IF(NumLanesOut=0,0,NumLanesOut*VLOOKUP(NumLanesOut,'CE &amp; BR'!A36:L39,12)*$G$21)</f>
        <v>0</v>
      </c>
      <c r="I40" s="370">
        <f>IF(NoSupports=1,G40*$E$24,0)</f>
        <v>0</v>
      </c>
      <c r="J40" s="370">
        <f t="shared" si="2"/>
        <v>0</v>
      </c>
      <c r="K40" s="385"/>
      <c r="L40" s="385"/>
      <c r="R40" s="368" t="s">
        <v>1277</v>
      </c>
      <c r="S40" s="374">
        <f>'Dead Load Moment'!J59</f>
        <v>236.60999999999831</v>
      </c>
      <c r="T40" s="362" t="s">
        <v>400</v>
      </c>
    </row>
    <row r="41" spans="1:20" s="364" customFormat="1" hidden="1">
      <c r="A41" s="363" t="str">
        <f>IF(NoSupports&lt;&gt;1,"*","")</f>
        <v/>
      </c>
      <c r="B41" s="385"/>
      <c r="C41" s="776"/>
      <c r="D41" s="385"/>
      <c r="E41" s="672" t="s">
        <v>833</v>
      </c>
      <c r="F41" s="373">
        <f t="shared" si="0"/>
        <v>0</v>
      </c>
      <c r="G41" s="373">
        <f>IF(NumLanesIn=0,0,NumLanesIn*VLOOKUP(NumLanesIn,'CE &amp; BR'!A36:L39,11)*$G$20)</f>
        <v>0</v>
      </c>
      <c r="H41" s="373">
        <f>IF(NumLanesIn=0,0,NumLanesIn*VLOOKUP(NumLanesIn,'CE &amp; BR'!A36:L39,12)*$G$21)</f>
        <v>0</v>
      </c>
      <c r="I41" s="370">
        <f>IF(NoSupports=1,G41*$E$24,0)</f>
        <v>0</v>
      </c>
      <c r="J41" s="370">
        <f t="shared" si="2"/>
        <v>0</v>
      </c>
      <c r="K41" s="385"/>
      <c r="L41" s="385"/>
      <c r="R41" s="368"/>
      <c r="S41" s="374"/>
      <c r="T41" s="362"/>
    </row>
    <row r="42" spans="1:20" s="364" customFormat="1">
      <c r="A42" s="363"/>
      <c r="B42" s="385"/>
      <c r="C42" s="776"/>
      <c r="D42" s="385"/>
      <c r="E42" s="672" t="s">
        <v>1195</v>
      </c>
      <c r="F42" s="373">
        <f t="shared" si="0"/>
        <v>0</v>
      </c>
      <c r="G42" s="373">
        <f>NumLanes*VLOOKUP(NumLanes,'CE &amp; BR'!A42:L45,11)*$G$20</f>
        <v>0</v>
      </c>
      <c r="H42" s="373">
        <f>NumLanes*VLOOKUP(NumLanes,'CE &amp; BR'!A42:L45,12)*$G$21</f>
        <v>0</v>
      </c>
      <c r="I42" s="370">
        <f t="shared" si="1"/>
        <v>0</v>
      </c>
      <c r="J42" s="370">
        <f t="shared" si="2"/>
        <v>0</v>
      </c>
      <c r="K42" s="385"/>
      <c r="L42" s="385"/>
      <c r="R42" s="368" t="s">
        <v>1278</v>
      </c>
      <c r="S42" s="374">
        <f>'Dead Load Moment'!K34</f>
        <v>0</v>
      </c>
      <c r="T42" s="362" t="s">
        <v>400</v>
      </c>
    </row>
    <row r="43" spans="1:20" s="364" customFormat="1" hidden="1">
      <c r="A43" s="363" t="str">
        <f>IF(NoSupports&lt;&gt;1,"*","")</f>
        <v/>
      </c>
      <c r="B43" s="385"/>
      <c r="C43" s="776"/>
      <c r="D43" s="385"/>
      <c r="E43" s="672" t="s">
        <v>831</v>
      </c>
      <c r="F43" s="373">
        <f t="shared" si="0"/>
        <v>0</v>
      </c>
      <c r="G43" s="373">
        <f>IF(NumLanesOut=0,0,NumLanesOut*VLOOKUP(NumLanesOut,'CE &amp; BR'!A42:L45,11)*$G$20)</f>
        <v>0</v>
      </c>
      <c r="H43" s="373">
        <f>IF(NumLanesOut=0,0,NumLanesOut*VLOOKUP(NumLanesOut,'CE &amp; BR'!A42:L45,12)*$G$21)</f>
        <v>0</v>
      </c>
      <c r="I43" s="370">
        <f t="shared" si="1"/>
        <v>0</v>
      </c>
      <c r="J43" s="370">
        <f t="shared" si="2"/>
        <v>0</v>
      </c>
      <c r="K43" s="385"/>
      <c r="L43" s="385"/>
      <c r="R43" s="368" t="s">
        <v>1279</v>
      </c>
      <c r="S43" s="374">
        <f>'Dead Load Moment'!K59</f>
        <v>0</v>
      </c>
      <c r="T43" s="362" t="s">
        <v>400</v>
      </c>
    </row>
    <row r="44" spans="1:20" s="364" customFormat="1" hidden="1">
      <c r="A44" s="363" t="str">
        <f>IF(NoSupports&lt;&gt;1,"*","")</f>
        <v/>
      </c>
      <c r="B44" s="385"/>
      <c r="C44" s="776"/>
      <c r="D44" s="385"/>
      <c r="E44" s="672" t="s">
        <v>832</v>
      </c>
      <c r="F44" s="373">
        <f t="shared" si="0"/>
        <v>0</v>
      </c>
      <c r="G44" s="373">
        <f>IF(NumLanesIn=0,0,NumLanesIn*VLOOKUP(NumLanesIn,'CE &amp; BR'!A42:L45,11)*$G$20)</f>
        <v>0</v>
      </c>
      <c r="H44" s="373">
        <f>IF(NumLanesIn=0,0,NumLanesIn*VLOOKUP(NumLanesIn,'CE &amp; BR'!A42:L45,12)*$G$21)</f>
        <v>0</v>
      </c>
      <c r="I44" s="370">
        <f t="shared" si="1"/>
        <v>0</v>
      </c>
      <c r="J44" s="370">
        <f t="shared" si="2"/>
        <v>0</v>
      </c>
      <c r="K44" s="385"/>
      <c r="L44" s="385"/>
      <c r="R44" s="368"/>
      <c r="S44" s="374"/>
      <c r="T44" s="362"/>
    </row>
    <row r="45" spans="1:20" s="364" customFormat="1">
      <c r="A45" s="363"/>
      <c r="B45" s="385"/>
      <c r="C45" s="776"/>
      <c r="D45" s="385"/>
      <c r="E45" s="672" t="s">
        <v>1275</v>
      </c>
      <c r="F45" s="1177">
        <f>-'Col Analysis-I'!F45</f>
        <v>0</v>
      </c>
      <c r="G45" s="373">
        <f>NumLanes*VLOOKUP(NumLanes,'CE &amp; BR'!A24:L27,11)*G20</f>
        <v>0</v>
      </c>
      <c r="H45" s="373">
        <f>NumLanes*VLOOKUP(NumLanes,'CE &amp; BR'!A24:L27,12)*$G$21</f>
        <v>0</v>
      </c>
      <c r="I45" s="370">
        <f>IF(NoSupports=1,G45*$E$24,0)</f>
        <v>0</v>
      </c>
      <c r="J45" s="370">
        <f t="shared" si="2"/>
        <v>0</v>
      </c>
      <c r="K45" s="385"/>
      <c r="L45" s="385"/>
      <c r="R45" s="726" t="s">
        <v>1280</v>
      </c>
      <c r="S45" s="374">
        <f>'Live Load on Column'!G27</f>
        <v>57.611840000000001</v>
      </c>
      <c r="T45" s="362" t="s">
        <v>400</v>
      </c>
    </row>
    <row r="46" spans="1:20" s="364" customFormat="1" hidden="1">
      <c r="A46" s="363" t="str">
        <f>IF(NoSupports&lt;&gt;1,"*","")</f>
        <v/>
      </c>
      <c r="B46" s="385"/>
      <c r="C46" s="776"/>
      <c r="D46" s="385"/>
      <c r="E46" s="672" t="s">
        <v>834</v>
      </c>
      <c r="F46" s="373">
        <f>IF(NoSupports=2,G46/$G$20*($E$24)/ColSpa2,0)</f>
        <v>0</v>
      </c>
      <c r="G46" s="373">
        <f>IF(curvedirection="left",IF(NumLanesOut=0,0,NumLanesOut*VLOOKUP(NumLanesOut,'CE &amp; BR'!A24:L27,11,FALSE)*G20),0)</f>
        <v>0</v>
      </c>
      <c r="H46" s="373">
        <f>IF(curvedirection="left",IF(NumLanesOut=0,0,NumLanesOut*VLOOKUP(NumLanesOut,'CE &amp; BR'!A24:L27,12,FALSE)*G21),0)</f>
        <v>0</v>
      </c>
      <c r="I46" s="370">
        <f t="shared" si="1"/>
        <v>0</v>
      </c>
      <c r="J46" s="370">
        <f t="shared" si="2"/>
        <v>0</v>
      </c>
      <c r="K46" s="1136" t="str">
        <f>IF(curvedirection="right","    Ignore CE","")</f>
        <v/>
      </c>
      <c r="L46" s="385"/>
      <c r="R46" s="726" t="s">
        <v>844</v>
      </c>
      <c r="S46" s="374">
        <f>'Live Load on Column'!G28</f>
        <v>576.11840000000007</v>
      </c>
      <c r="T46" s="362" t="s">
        <v>400</v>
      </c>
    </row>
    <row r="47" spans="1:20" s="364" customFormat="1" hidden="1">
      <c r="A47" s="363" t="str">
        <f>IF(NoSupports&lt;&gt;1,"*","")</f>
        <v/>
      </c>
      <c r="B47" s="385"/>
      <c r="C47" s="776"/>
      <c r="D47" s="385"/>
      <c r="E47" s="672" t="s">
        <v>835</v>
      </c>
      <c r="F47" s="373">
        <f>IF(NoSupports=2,G47/$G$20*($E$24)/ColSpa2,0)</f>
        <v>0</v>
      </c>
      <c r="G47" s="373">
        <f>IF(curvedirection="right",IF(NumLanesIn=0,0,NumLanesIn*VLOOKUP(NumLanesIn,'CE &amp; BR'!A24:L27,11,FALSE)*G20),0)</f>
        <v>0</v>
      </c>
      <c r="H47" s="373">
        <f>IF(curvedirection="right",IF(NumLanesIn=0,0,NumLanesIn*VLOOKUP(NumLanesIn,'CE &amp; BR'!A24:L27,12,FALSE)*G21),0)</f>
        <v>0</v>
      </c>
      <c r="I47" s="370">
        <f t="shared" si="1"/>
        <v>0</v>
      </c>
      <c r="J47" s="370">
        <f t="shared" si="2"/>
        <v>0</v>
      </c>
      <c r="K47" s="1136" t="str">
        <f>IF(curvedirection="left","    Ignore CE","")</f>
        <v xml:space="preserve">    Ignore CE</v>
      </c>
      <c r="L47" s="385"/>
      <c r="R47" s="375"/>
      <c r="S47" s="374"/>
      <c r="T47" s="362"/>
    </row>
    <row r="48" spans="1:20" s="364" customFormat="1" hidden="1">
      <c r="A48" s="363" t="s">
        <v>1302</v>
      </c>
      <c r="B48" s="385"/>
      <c r="C48" s="776"/>
      <c r="D48" s="385"/>
      <c r="E48" s="672" t="s">
        <v>1196</v>
      </c>
      <c r="F48" s="373">
        <v>0</v>
      </c>
      <c r="G48" s="373">
        <v>0</v>
      </c>
      <c r="H48" s="373">
        <v>0</v>
      </c>
      <c r="I48" s="370">
        <v>0</v>
      </c>
      <c r="J48" s="370">
        <v>0</v>
      </c>
      <c r="K48" s="385"/>
      <c r="L48" s="385"/>
      <c r="R48" s="1134"/>
    </row>
    <row r="49" spans="1:20" s="364" customFormat="1" hidden="1">
      <c r="A49" s="363" t="s">
        <v>1302</v>
      </c>
      <c r="B49" s="385"/>
      <c r="C49" s="776"/>
      <c r="D49" s="385"/>
      <c r="E49" s="672" t="s">
        <v>1197</v>
      </c>
      <c r="F49" s="373">
        <v>0</v>
      </c>
      <c r="G49" s="373">
        <v>0</v>
      </c>
      <c r="H49" s="373">
        <v>0</v>
      </c>
      <c r="I49" s="370">
        <v>0</v>
      </c>
      <c r="J49" s="370">
        <v>0</v>
      </c>
      <c r="K49" s="385"/>
      <c r="L49" s="385"/>
      <c r="R49" s="1134"/>
    </row>
    <row r="50" spans="1:20" s="364" customFormat="1" hidden="1">
      <c r="A50" s="363" t="s">
        <v>1302</v>
      </c>
      <c r="B50" s="385"/>
      <c r="C50" s="776"/>
      <c r="D50" s="385"/>
      <c r="E50" s="672" t="s">
        <v>1198</v>
      </c>
      <c r="F50" s="373">
        <v>0</v>
      </c>
      <c r="G50" s="373">
        <v>0</v>
      </c>
      <c r="H50" s="373">
        <v>0</v>
      </c>
      <c r="I50" s="370">
        <v>0</v>
      </c>
      <c r="J50" s="370">
        <v>0</v>
      </c>
      <c r="K50" s="385"/>
      <c r="L50" s="385"/>
      <c r="R50" s="1134"/>
    </row>
    <row r="51" spans="1:20" s="364" customFormat="1" hidden="1">
      <c r="A51" s="363" t="s">
        <v>1302</v>
      </c>
      <c r="B51" s="385"/>
      <c r="C51" s="776"/>
      <c r="D51" s="385"/>
      <c r="E51" s="672" t="s">
        <v>1199</v>
      </c>
      <c r="F51" s="373">
        <v>0</v>
      </c>
      <c r="G51" s="373">
        <v>0</v>
      </c>
      <c r="H51" s="373">
        <v>0</v>
      </c>
      <c r="I51" s="370">
        <v>0</v>
      </c>
      <c r="J51" s="370">
        <v>0</v>
      </c>
      <c r="K51" s="385"/>
      <c r="L51" s="385"/>
      <c r="R51" s="1134"/>
    </row>
    <row r="52" spans="1:20" s="364" customFormat="1" hidden="1">
      <c r="A52" s="363" t="s">
        <v>1302</v>
      </c>
      <c r="B52" s="385"/>
      <c r="C52" s="776"/>
      <c r="D52" s="385"/>
      <c r="E52" s="672" t="s">
        <v>1200</v>
      </c>
      <c r="F52" s="373">
        <v>0</v>
      </c>
      <c r="G52" s="373">
        <v>0</v>
      </c>
      <c r="H52" s="373">
        <v>0</v>
      </c>
      <c r="I52" s="370">
        <v>0</v>
      </c>
      <c r="J52" s="370">
        <v>0</v>
      </c>
      <c r="K52" s="385"/>
      <c r="L52" s="385"/>
      <c r="R52" s="1134"/>
    </row>
    <row r="53" spans="1:20" s="364" customFormat="1">
      <c r="A53" s="363"/>
      <c r="B53" s="385"/>
      <c r="C53" s="776"/>
      <c r="D53" s="385"/>
      <c r="E53" s="672" t="s">
        <v>1201</v>
      </c>
      <c r="F53" s="373">
        <f>IF(NoSupports=1,0,NumLanes*MultiPresTot*IMBothSpan*$G$19)</f>
        <v>0</v>
      </c>
      <c r="G53" s="373">
        <v>0</v>
      </c>
      <c r="H53" s="373">
        <v>0</v>
      </c>
      <c r="I53" s="370">
        <v>0</v>
      </c>
      <c r="J53" s="370">
        <f>ABS('Live Load on Column'!G51*G19)</f>
        <v>0</v>
      </c>
      <c r="K53" s="385"/>
      <c r="L53" s="385"/>
      <c r="R53" s="726" t="s">
        <v>845</v>
      </c>
      <c r="S53" s="374">
        <f>'Live Load on Column'!G29</f>
        <v>-576.11840000000007</v>
      </c>
      <c r="T53" s="362" t="s">
        <v>400</v>
      </c>
    </row>
    <row r="54" spans="1:20" s="364" customFormat="1" hidden="1">
      <c r="A54" s="363" t="str">
        <f>IF(NoSupports&lt;&gt;1,"*","")</f>
        <v/>
      </c>
      <c r="B54" s="385"/>
      <c r="C54" s="776"/>
      <c r="D54" s="385"/>
      <c r="E54" s="672" t="s">
        <v>836</v>
      </c>
      <c r="F54" s="373">
        <f>IF(NoSupports=1,NumLanesOut*MultiPresOut*IMBothSpan,NumLanesOut*MultiPresOut*IMBothSpan*$G$19)</f>
        <v>44.316800000000001</v>
      </c>
      <c r="G54" s="373">
        <v>0</v>
      </c>
      <c r="H54" s="373">
        <v>0</v>
      </c>
      <c r="I54" s="370">
        <v>0</v>
      </c>
      <c r="J54" s="370">
        <f>ABS('Live Load on Column'!G52*G19)</f>
        <v>0</v>
      </c>
      <c r="K54" s="385"/>
      <c r="L54" s="385"/>
      <c r="R54" s="726" t="s">
        <v>1281</v>
      </c>
      <c r="S54" s="374">
        <f>'Live Load on Column'!G36</f>
        <v>56.97120000000001</v>
      </c>
      <c r="T54" s="362" t="s">
        <v>400</v>
      </c>
    </row>
    <row r="55" spans="1:20" s="364" customFormat="1" hidden="1">
      <c r="A55" s="363" t="str">
        <f>IF(NoSupports&lt;&gt;1,"*","")</f>
        <v/>
      </c>
      <c r="B55" s="385"/>
      <c r="C55" s="776"/>
      <c r="D55" s="385"/>
      <c r="E55" s="672" t="s">
        <v>837</v>
      </c>
      <c r="F55" s="373">
        <f>IF(NoSupports=1,NumLanesIn*MultiPresIn*IMBothSpan,NumLanesIn*MultiPresIn*IMBothSpan*$G$19)</f>
        <v>44.316800000000001</v>
      </c>
      <c r="G55" s="373">
        <v>0</v>
      </c>
      <c r="H55" s="373">
        <v>0</v>
      </c>
      <c r="I55" s="370">
        <v>0</v>
      </c>
      <c r="J55" s="370">
        <f>ABS('Live Load on Column'!G53*G19)</f>
        <v>0</v>
      </c>
      <c r="K55" s="385"/>
      <c r="L55" s="385"/>
      <c r="R55" s="726" t="s">
        <v>846</v>
      </c>
      <c r="S55" s="374">
        <f>'Live Load on Column'!G37</f>
        <v>569.7120000000001</v>
      </c>
      <c r="T55" s="362" t="s">
        <v>400</v>
      </c>
    </row>
    <row r="56" spans="1:20" s="364" customFormat="1">
      <c r="A56" s="363"/>
      <c r="B56" s="385"/>
      <c r="C56" s="776"/>
      <c r="D56" s="385"/>
      <c r="E56" s="672" t="s">
        <v>1202</v>
      </c>
      <c r="F56" s="373">
        <f>IF(NoSupports=1,0,NumLanes*MultiPresTot*IMLongSpan*$G$19)</f>
        <v>0</v>
      </c>
      <c r="G56" s="373">
        <v>0</v>
      </c>
      <c r="H56" s="373">
        <v>0</v>
      </c>
      <c r="I56" s="370">
        <v>0</v>
      </c>
      <c r="J56" s="370">
        <f>ABS('Live Load on Column'!G60*G19)</f>
        <v>0</v>
      </c>
      <c r="K56" s="385"/>
      <c r="L56" s="385"/>
      <c r="R56" s="726" t="s">
        <v>847</v>
      </c>
      <c r="S56" s="374">
        <f>'Live Load on Column'!G38</f>
        <v>-569.7120000000001</v>
      </c>
      <c r="T56" s="362" t="s">
        <v>400</v>
      </c>
    </row>
    <row r="57" spans="1:20" s="364" customFormat="1" hidden="1">
      <c r="A57" s="363" t="str">
        <f>IF(NoSupports&lt;&gt;1,"*","")</f>
        <v/>
      </c>
      <c r="B57" s="385"/>
      <c r="C57" s="776"/>
      <c r="D57" s="385"/>
      <c r="E57" s="672" t="s">
        <v>838</v>
      </c>
      <c r="F57" s="373">
        <f>IF(NoSupports=1,NumLanesOut*MultiPresOut*IMLongSpan,NumLanesOut*MultiPresOut*IMLongSpan*$G$19)</f>
        <v>43.824000000000005</v>
      </c>
      <c r="G57" s="373">
        <v>0</v>
      </c>
      <c r="H57" s="373">
        <v>0</v>
      </c>
      <c r="I57" s="370">
        <v>0</v>
      </c>
      <c r="J57" s="370">
        <f>ABS('Live Load on Column'!G61*G19)</f>
        <v>0</v>
      </c>
      <c r="K57" s="385"/>
      <c r="L57" s="385"/>
      <c r="R57" s="726" t="s">
        <v>1282</v>
      </c>
      <c r="S57" s="374">
        <f>'Live Load on Column'!G24</f>
        <v>357.62133333333338</v>
      </c>
      <c r="T57" s="362" t="s">
        <v>400</v>
      </c>
    </row>
    <row r="58" spans="1:20" s="364" customFormat="1" hidden="1">
      <c r="A58" s="363" t="str">
        <f>IF(NoSupports&lt;&gt;1,"*","")</f>
        <v/>
      </c>
      <c r="B58" s="385"/>
      <c r="C58" s="776"/>
      <c r="D58" s="385"/>
      <c r="E58" s="672" t="s">
        <v>839</v>
      </c>
      <c r="F58" s="373">
        <f>IF(NoSupports=1,NumLanesIn*MultiPresIn*IMLongSpan,NumLanesIn*MultiPresIn*IMLongSpan*$G$19)</f>
        <v>43.824000000000005</v>
      </c>
      <c r="G58" s="373">
        <v>0</v>
      </c>
      <c r="H58" s="373">
        <v>0</v>
      </c>
      <c r="I58" s="370">
        <v>0</v>
      </c>
      <c r="J58" s="370">
        <f>ABS('Live Load on Column'!G62*G19)</f>
        <v>0</v>
      </c>
      <c r="K58" s="385"/>
      <c r="L58" s="385"/>
      <c r="R58" s="726" t="s">
        <v>848</v>
      </c>
      <c r="S58" s="374">
        <f>'Live Load on Column'!G25</f>
        <v>3576.2133333333336</v>
      </c>
      <c r="T58" s="362" t="s">
        <v>400</v>
      </c>
    </row>
    <row r="59" spans="1:20" s="364" customFormat="1">
      <c r="A59" s="363"/>
      <c r="B59" s="385"/>
      <c r="C59" s="776"/>
      <c r="D59" s="385"/>
      <c r="E59" s="672" t="s">
        <v>1203</v>
      </c>
      <c r="F59" s="373">
        <f>NumLanes*MultiPresTot*LLBothSpan*$G$19</f>
        <v>0</v>
      </c>
      <c r="G59" s="373">
        <v>0</v>
      </c>
      <c r="H59" s="373">
        <v>0</v>
      </c>
      <c r="I59" s="370">
        <v>0</v>
      </c>
      <c r="J59" s="370">
        <f>ABS('Live Load on Column'!G48*G19)</f>
        <v>0</v>
      </c>
      <c r="K59" s="385"/>
      <c r="L59" s="385"/>
      <c r="R59" s="726" t="s">
        <v>849</v>
      </c>
      <c r="S59" s="374">
        <f>'Live Load on Column'!G26</f>
        <v>-3576.2133333333336</v>
      </c>
      <c r="T59" s="362" t="s">
        <v>400</v>
      </c>
    </row>
    <row r="60" spans="1:20" s="364" customFormat="1" hidden="1">
      <c r="A60" s="363" t="str">
        <f>IF(NoSupports&lt;&gt;1,"*","")</f>
        <v/>
      </c>
      <c r="B60" s="385"/>
      <c r="C60" s="776"/>
      <c r="D60" s="385"/>
      <c r="E60" s="672" t="s">
        <v>840</v>
      </c>
      <c r="F60" s="373">
        <f>NumLanesOut*MultiPresOut*LLBothSpan*$G$19</f>
        <v>0</v>
      </c>
      <c r="G60" s="373">
        <v>0</v>
      </c>
      <c r="H60" s="373">
        <v>0</v>
      </c>
      <c r="I60" s="370">
        <v>0</v>
      </c>
      <c r="J60" s="370">
        <f>ABS('Live Load on Column'!G49*G19)</f>
        <v>0</v>
      </c>
      <c r="K60" s="385"/>
      <c r="L60" s="385"/>
      <c r="R60" s="726" t="s">
        <v>1283</v>
      </c>
      <c r="S60" s="374">
        <f>'Live Load on Column'!G33</f>
        <v>272.48</v>
      </c>
      <c r="T60" s="362" t="s">
        <v>400</v>
      </c>
    </row>
    <row r="61" spans="1:20" s="364" customFormat="1" hidden="1">
      <c r="A61" s="363" t="str">
        <f>IF(NoSupports&lt;&gt;1,"*","")</f>
        <v/>
      </c>
      <c r="B61" s="385"/>
      <c r="C61" s="776"/>
      <c r="D61" s="385"/>
      <c r="E61" s="672" t="s">
        <v>841</v>
      </c>
      <c r="F61" s="373">
        <f>NumLanesIn*MultiPresIn*LLBothSpan*$G$19</f>
        <v>0</v>
      </c>
      <c r="G61" s="373">
        <v>0</v>
      </c>
      <c r="H61" s="373">
        <v>0</v>
      </c>
      <c r="I61" s="370">
        <v>0</v>
      </c>
      <c r="J61" s="370">
        <f>ABS('Live Load on Column'!G50*G19)</f>
        <v>0</v>
      </c>
      <c r="K61" s="385"/>
      <c r="L61" s="385"/>
      <c r="R61" s="726" t="s">
        <v>850</v>
      </c>
      <c r="S61" s="374">
        <f>'Live Load on Column'!G34</f>
        <v>2724.8</v>
      </c>
      <c r="T61" s="362" t="s">
        <v>400</v>
      </c>
    </row>
    <row r="62" spans="1:20" s="364" customFormat="1" ht="13.5" thickBot="1">
      <c r="A62" s="363"/>
      <c r="B62" s="385"/>
      <c r="C62" s="776"/>
      <c r="D62" s="385"/>
      <c r="E62" s="672" t="s">
        <v>1206</v>
      </c>
      <c r="F62" s="373">
        <f>NumLanes*MultiPresTot*LLLongSpan*$G$19</f>
        <v>0</v>
      </c>
      <c r="G62" s="373">
        <v>0</v>
      </c>
      <c r="H62" s="373">
        <v>0</v>
      </c>
      <c r="I62" s="370">
        <v>0</v>
      </c>
      <c r="J62" s="370">
        <f>ABS('Live Load on Column'!G57*G19)</f>
        <v>0</v>
      </c>
      <c r="K62" s="385"/>
      <c r="L62" s="385"/>
      <c r="R62" s="726" t="s">
        <v>851</v>
      </c>
      <c r="S62" s="374">
        <f>'Live Load on Column'!G35</f>
        <v>-2724.8</v>
      </c>
      <c r="T62" s="362" t="s">
        <v>400</v>
      </c>
    </row>
    <row r="63" spans="1:20" s="364" customFormat="1" hidden="1">
      <c r="A63" s="363" t="str">
        <f>IF(NoSupports&lt;&gt;1,"*","")</f>
        <v/>
      </c>
      <c r="B63" s="385"/>
      <c r="C63" s="776"/>
      <c r="D63" s="385"/>
      <c r="E63" s="672" t="s">
        <v>842</v>
      </c>
      <c r="F63" s="373">
        <f>NumLanesOut*MultiPresOut*LLLongSpan*$G$19</f>
        <v>0</v>
      </c>
      <c r="G63" s="373">
        <v>0</v>
      </c>
      <c r="H63" s="373">
        <v>0</v>
      </c>
      <c r="I63" s="370">
        <v>0</v>
      </c>
      <c r="J63" s="370">
        <f>ABS('Live Load on Column'!G58*G19)</f>
        <v>0</v>
      </c>
      <c r="K63" s="385"/>
      <c r="L63" s="385"/>
    </row>
    <row r="64" spans="1:20" s="364" customFormat="1" hidden="1">
      <c r="A64" s="363" t="str">
        <f>IF(NoSupports&lt;&gt;1,"*","")</f>
        <v/>
      </c>
      <c r="B64" s="385"/>
      <c r="C64" s="776"/>
      <c r="D64" s="385"/>
      <c r="E64" s="672" t="s">
        <v>843</v>
      </c>
      <c r="F64" s="373">
        <f>NumLanesIn*MultiPresIn*LLLongSpan*$G$19</f>
        <v>0</v>
      </c>
      <c r="G64" s="373">
        <v>0</v>
      </c>
      <c r="H64" s="373">
        <v>0</v>
      </c>
      <c r="I64" s="370">
        <v>0</v>
      </c>
      <c r="J64" s="370">
        <f>ABS('Live Load on Column'!G59*G19)</f>
        <v>0</v>
      </c>
      <c r="K64" s="385"/>
      <c r="L64" s="385"/>
    </row>
    <row r="65" spans="1:36" s="364" customFormat="1" hidden="1">
      <c r="A65" s="363" t="s">
        <v>1302</v>
      </c>
      <c r="B65" s="385"/>
      <c r="C65" s="776"/>
      <c r="D65" s="385"/>
      <c r="E65" s="672" t="s">
        <v>1207</v>
      </c>
      <c r="F65" s="373">
        <v>0</v>
      </c>
      <c r="G65" s="373">
        <v>0</v>
      </c>
      <c r="H65" s="373">
        <v>0</v>
      </c>
      <c r="I65" s="370">
        <v>0</v>
      </c>
      <c r="J65" s="370">
        <v>0</v>
      </c>
      <c r="K65" s="385"/>
      <c r="L65" s="385"/>
      <c r="Q65" s="368"/>
      <c r="R65" s="362"/>
      <c r="S65" s="362"/>
    </row>
    <row r="66" spans="1:36" s="364" customFormat="1" hidden="1">
      <c r="A66" s="363" t="s">
        <v>1302</v>
      </c>
      <c r="B66" s="385"/>
      <c r="C66" s="776"/>
      <c r="D66" s="385"/>
      <c r="E66" s="672" t="s">
        <v>1208</v>
      </c>
      <c r="F66" s="373">
        <v>0</v>
      </c>
      <c r="G66" s="373">
        <v>0</v>
      </c>
      <c r="H66" s="373">
        <v>0</v>
      </c>
      <c r="I66" s="370">
        <v>0</v>
      </c>
      <c r="J66" s="370">
        <v>0</v>
      </c>
      <c r="K66" s="385"/>
      <c r="L66" s="385"/>
      <c r="Q66" s="368"/>
      <c r="R66" s="362"/>
      <c r="S66" s="362"/>
    </row>
    <row r="67" spans="1:36" s="364" customFormat="1" hidden="1">
      <c r="A67" s="363" t="s">
        <v>1302</v>
      </c>
      <c r="B67" s="385"/>
      <c r="C67" s="776"/>
      <c r="D67" s="385"/>
      <c r="E67" s="672" t="s">
        <v>1209</v>
      </c>
      <c r="F67" s="373">
        <v>0</v>
      </c>
      <c r="G67" s="373">
        <v>0</v>
      </c>
      <c r="H67" s="373">
        <v>0</v>
      </c>
      <c r="I67" s="370">
        <v>0</v>
      </c>
      <c r="J67" s="370">
        <v>0</v>
      </c>
      <c r="K67" s="385"/>
      <c r="L67" s="385"/>
      <c r="Q67" s="368"/>
      <c r="R67" s="362"/>
      <c r="S67" s="362"/>
    </row>
    <row r="68" spans="1:36" s="364" customFormat="1" hidden="1">
      <c r="A68" s="363" t="s">
        <v>1302</v>
      </c>
      <c r="B68" s="385"/>
      <c r="C68" s="776"/>
      <c r="D68" s="385"/>
      <c r="E68" s="672" t="s">
        <v>1210</v>
      </c>
      <c r="F68" s="373">
        <v>0</v>
      </c>
      <c r="G68" s="373">
        <v>0</v>
      </c>
      <c r="H68" s="373">
        <v>0</v>
      </c>
      <c r="I68" s="370">
        <v>0</v>
      </c>
      <c r="J68" s="370">
        <v>0</v>
      </c>
      <c r="K68" s="385"/>
      <c r="L68" s="385"/>
      <c r="Q68" s="368"/>
      <c r="R68" s="362"/>
      <c r="S68" s="362"/>
    </row>
    <row r="69" spans="1:36" s="364" customFormat="1" ht="13.5" hidden="1" thickBot="1">
      <c r="A69" s="363" t="s">
        <v>1302</v>
      </c>
      <c r="B69" s="385"/>
      <c r="C69" s="776"/>
      <c r="D69" s="385"/>
      <c r="E69" s="672" t="s">
        <v>1211</v>
      </c>
      <c r="F69" s="373">
        <v>0</v>
      </c>
      <c r="G69" s="373">
        <v>0</v>
      </c>
      <c r="H69" s="373">
        <v>0</v>
      </c>
      <c r="I69" s="370">
        <v>0</v>
      </c>
      <c r="J69" s="370">
        <v>0</v>
      </c>
      <c r="K69" s="385"/>
      <c r="L69" s="385"/>
      <c r="Q69" s="368"/>
      <c r="R69" s="362"/>
      <c r="S69" s="362"/>
    </row>
    <row r="70" spans="1:36" s="364" customFormat="1" ht="12.75" customHeight="1">
      <c r="A70" s="363"/>
      <c r="B70" s="1726" t="s">
        <v>859</v>
      </c>
      <c r="C70" s="1727"/>
      <c r="D70" s="1728"/>
      <c r="E70" s="672" t="s">
        <v>1212</v>
      </c>
      <c r="F70" s="1178">
        <f>-'Col Analysis-I'!F70</f>
        <v>0</v>
      </c>
      <c r="G70" s="373">
        <f>O76*$G$20</f>
        <v>0</v>
      </c>
      <c r="H70" s="373">
        <f>Q76*$G$21</f>
        <v>0</v>
      </c>
      <c r="I70" s="370">
        <v>0</v>
      </c>
      <c r="J70" s="370">
        <f>H70*$E$24</f>
        <v>0</v>
      </c>
      <c r="K70" s="385"/>
      <c r="L70" s="385"/>
      <c r="Q70" s="368"/>
      <c r="R70" s="362"/>
      <c r="S70" s="362"/>
    </row>
    <row r="71" spans="1:36" s="364" customFormat="1" ht="12.75" customHeight="1">
      <c r="A71" s="363"/>
      <c r="B71" s="1729"/>
      <c r="C71" s="1730"/>
      <c r="D71" s="1731"/>
      <c r="E71" s="672" t="s">
        <v>1213</v>
      </c>
      <c r="F71" s="1178">
        <f>-'Col Analysis-I'!F71</f>
        <v>0</v>
      </c>
      <c r="G71" s="373">
        <f>O77*$G$20</f>
        <v>0</v>
      </c>
      <c r="H71" s="373">
        <f>Q77*$G$21</f>
        <v>0</v>
      </c>
      <c r="I71" s="370">
        <v>0</v>
      </c>
      <c r="J71" s="370">
        <f>H71*$E$24</f>
        <v>0</v>
      </c>
      <c r="K71" s="385"/>
      <c r="L71" s="385"/>
      <c r="Q71" s="368"/>
      <c r="R71" s="362"/>
      <c r="S71" s="362"/>
    </row>
    <row r="72" spans="1:36" s="364" customFormat="1" ht="13.5" customHeight="1" thickBot="1">
      <c r="A72" s="363"/>
      <c r="B72" s="1729"/>
      <c r="C72" s="1730"/>
      <c r="D72" s="1731"/>
      <c r="E72" s="672" t="s">
        <v>1214</v>
      </c>
      <c r="F72" s="1178">
        <f>-'Col Analysis-I'!F72</f>
        <v>0</v>
      </c>
      <c r="G72" s="373">
        <f>O78*$G$20</f>
        <v>0</v>
      </c>
      <c r="H72" s="373">
        <f>Q78*$G$21</f>
        <v>0</v>
      </c>
      <c r="I72" s="370">
        <v>0</v>
      </c>
      <c r="J72" s="370">
        <f>H72*$E$24</f>
        <v>0</v>
      </c>
      <c r="K72" s="385"/>
      <c r="L72" s="385"/>
      <c r="N72" s="356" t="s">
        <v>1154</v>
      </c>
      <c r="O72" s="371"/>
      <c r="P72" s="371"/>
      <c r="Q72" s="376"/>
      <c r="R72" s="372"/>
      <c r="S72" s="372"/>
      <c r="T72" s="371"/>
      <c r="U72" s="371"/>
    </row>
    <row r="73" spans="1:36" s="364" customFormat="1" ht="13.5" customHeight="1">
      <c r="A73" s="363"/>
      <c r="B73" s="1729"/>
      <c r="C73" s="1730"/>
      <c r="D73" s="1731"/>
      <c r="E73" s="672" t="s">
        <v>1215</v>
      </c>
      <c r="F73" s="1178">
        <f>-'Col Analysis-I'!F73</f>
        <v>0</v>
      </c>
      <c r="G73" s="373">
        <f>O79*$G$20</f>
        <v>0</v>
      </c>
      <c r="H73" s="373">
        <f>Q79*$G$21</f>
        <v>0</v>
      </c>
      <c r="I73" s="370">
        <v>0</v>
      </c>
      <c r="J73" s="370">
        <f>H73*$E$24</f>
        <v>0</v>
      </c>
      <c r="K73" s="385"/>
      <c r="L73" s="385"/>
      <c r="N73" s="357"/>
      <c r="O73" s="357"/>
      <c r="R73" s="377"/>
      <c r="S73" s="377"/>
    </row>
    <row r="74" spans="1:36" s="364" customFormat="1" ht="13.5" thickBot="1">
      <c r="A74" s="363"/>
      <c r="B74" s="1732"/>
      <c r="C74" s="1733"/>
      <c r="D74" s="1734"/>
      <c r="E74" s="672" t="s">
        <v>1216</v>
      </c>
      <c r="F74" s="1178">
        <f>-'Col Analysis-I'!F74</f>
        <v>0</v>
      </c>
      <c r="G74" s="373">
        <f>O80*$G$20</f>
        <v>0</v>
      </c>
      <c r="H74" s="373">
        <f>Q80*$G$21</f>
        <v>0</v>
      </c>
      <c r="I74" s="370">
        <v>0</v>
      </c>
      <c r="J74" s="370">
        <f>H74*$E$24</f>
        <v>0</v>
      </c>
      <c r="K74" s="385"/>
      <c r="L74" s="385"/>
      <c r="N74" s="378"/>
      <c r="O74" s="1725" t="s">
        <v>1284</v>
      </c>
      <c r="P74" s="1725"/>
      <c r="Q74" s="1725"/>
      <c r="R74" s="1725"/>
      <c r="S74" s="1725" t="s">
        <v>1289</v>
      </c>
      <c r="T74" s="1725"/>
      <c r="U74" s="1725"/>
      <c r="V74" s="1725"/>
      <c r="W74" s="1725" t="s">
        <v>1290</v>
      </c>
      <c r="X74" s="1725"/>
      <c r="Y74" s="1725"/>
      <c r="Z74" s="1725"/>
      <c r="AA74" s="1725" t="s">
        <v>1291</v>
      </c>
      <c r="AB74" s="1725"/>
      <c r="AC74" s="1725"/>
      <c r="AD74" s="1725"/>
      <c r="AE74" s="1725" t="s">
        <v>1292</v>
      </c>
      <c r="AF74" s="1725"/>
      <c r="AG74" s="1725"/>
      <c r="AH74" s="1725"/>
    </row>
    <row r="75" spans="1:36" s="364" customFormat="1">
      <c r="A75" s="363"/>
      <c r="B75" s="385"/>
      <c r="C75" s="776"/>
      <c r="D75" s="385"/>
      <c r="E75" s="672" t="s">
        <v>1217</v>
      </c>
      <c r="F75" s="1178">
        <f>-'Col Analysis-I'!F75</f>
        <v>0</v>
      </c>
      <c r="G75" s="373">
        <f>(S76+AA76)*$G$20</f>
        <v>0</v>
      </c>
      <c r="H75" s="373">
        <f>(U76+AC76)*$G$21</f>
        <v>0</v>
      </c>
      <c r="I75" s="370">
        <v>0</v>
      </c>
      <c r="J75" s="370">
        <f>(U76*$E$25+AC76*$E$26)*$G$21</f>
        <v>0</v>
      </c>
      <c r="K75" s="385"/>
      <c r="L75" s="385"/>
      <c r="N75" s="379" t="s">
        <v>1285</v>
      </c>
      <c r="O75" s="1725" t="s">
        <v>412</v>
      </c>
      <c r="P75" s="1725"/>
      <c r="Q75" s="1725" t="s">
        <v>411</v>
      </c>
      <c r="R75" s="1725"/>
      <c r="S75" s="1725" t="s">
        <v>412</v>
      </c>
      <c r="T75" s="1725"/>
      <c r="U75" s="1725" t="s">
        <v>411</v>
      </c>
      <c r="V75" s="1725"/>
      <c r="W75" s="1725" t="s">
        <v>412</v>
      </c>
      <c r="X75" s="1725"/>
      <c r="Y75" s="1725" t="s">
        <v>411</v>
      </c>
      <c r="Z75" s="1725"/>
      <c r="AA75" s="1725" t="s">
        <v>412</v>
      </c>
      <c r="AB75" s="1725"/>
      <c r="AC75" s="1725" t="s">
        <v>411</v>
      </c>
      <c r="AD75" s="1725"/>
      <c r="AE75" s="1725" t="s">
        <v>412</v>
      </c>
      <c r="AF75" s="1725"/>
      <c r="AG75" s="1725" t="s">
        <v>411</v>
      </c>
      <c r="AH75" s="1725"/>
    </row>
    <row r="76" spans="1:36" s="364" customFormat="1">
      <c r="A76" s="363"/>
      <c r="B76" s="385"/>
      <c r="C76" s="776"/>
      <c r="D76" s="385"/>
      <c r="E76" s="672" t="s">
        <v>1218</v>
      </c>
      <c r="F76" s="1178">
        <f>-'Col Analysis-I'!F76</f>
        <v>0</v>
      </c>
      <c r="G76" s="373">
        <f>(S77+AA77)*$G$20</f>
        <v>0</v>
      </c>
      <c r="H76" s="373">
        <f>(U77+AC77)*$G$21</f>
        <v>0</v>
      </c>
      <c r="I76" s="370">
        <v>0</v>
      </c>
      <c r="J76" s="370">
        <f>(U77*$E$25+AC77*$E$26)*$G$21</f>
        <v>0</v>
      </c>
      <c r="K76" s="385"/>
      <c r="L76" s="385"/>
      <c r="N76" s="379" t="s">
        <v>1287</v>
      </c>
      <c r="O76" s="381">
        <f>'Wind Loads'!K144</f>
        <v>11</v>
      </c>
      <c r="P76" s="382" t="s">
        <v>341</v>
      </c>
      <c r="Q76" s="381">
        <f>'Wind Loads'!L144</f>
        <v>0</v>
      </c>
      <c r="R76" s="382" t="s">
        <v>341</v>
      </c>
      <c r="S76" s="381">
        <f>'Wind Loads'!I74</f>
        <v>62.406176634795493</v>
      </c>
      <c r="T76" s="382" t="s">
        <v>341</v>
      </c>
      <c r="U76" s="381">
        <f>'Wind Loads'!J74</f>
        <v>0</v>
      </c>
      <c r="V76" s="382" t="s">
        <v>341</v>
      </c>
      <c r="W76" s="381">
        <f>'Wind Loads'!K74</f>
        <v>34.039732709888447</v>
      </c>
      <c r="X76" s="382" t="s">
        <v>341</v>
      </c>
      <c r="Y76" s="381">
        <f>'Wind Loads'!L74</f>
        <v>0</v>
      </c>
      <c r="Z76" s="382" t="s">
        <v>341</v>
      </c>
      <c r="AA76" s="381">
        <f>'Wind Loads'!K93</f>
        <v>1.5909514801116313</v>
      </c>
      <c r="AB76" s="382" t="s">
        <v>341</v>
      </c>
      <c r="AC76" s="381">
        <f>'Wind Loads'!L93</f>
        <v>0</v>
      </c>
      <c r="AD76" s="382" t="s">
        <v>341</v>
      </c>
      <c r="AE76" s="381">
        <f>IF(NoSupports=2,'Wind Loads'!K131,0)</f>
        <v>0</v>
      </c>
      <c r="AF76" s="382" t="s">
        <v>341</v>
      </c>
      <c r="AG76" s="381">
        <f>IF(NoSupports=2,'Wind Loads'!L131,0)</f>
        <v>0</v>
      </c>
      <c r="AH76" s="382" t="s">
        <v>341</v>
      </c>
    </row>
    <row r="77" spans="1:36" s="364" customFormat="1">
      <c r="A77" s="363"/>
      <c r="B77" s="385"/>
      <c r="C77" s="385"/>
      <c r="D77" s="385"/>
      <c r="E77" s="672" t="s">
        <v>1219</v>
      </c>
      <c r="F77" s="1178">
        <f>-'Col Analysis-I'!F77</f>
        <v>0</v>
      </c>
      <c r="G77" s="373">
        <f>(S78+AA78)*$G$20</f>
        <v>0</v>
      </c>
      <c r="H77" s="373">
        <f>(U78+AC78)*$G$21</f>
        <v>0</v>
      </c>
      <c r="I77" s="370">
        <v>0</v>
      </c>
      <c r="J77" s="370">
        <f>(U78*$E$25+AC78*$E$26)*$G$21</f>
        <v>0</v>
      </c>
      <c r="K77" s="385"/>
      <c r="L77" s="385"/>
      <c r="N77" s="379" t="s">
        <v>1169</v>
      </c>
      <c r="O77" s="381">
        <f>'Wind Loads'!K145</f>
        <v>9.68</v>
      </c>
      <c r="P77" s="382" t="s">
        <v>341</v>
      </c>
      <c r="Q77" s="381">
        <f>'Wind Loads'!L145</f>
        <v>1.32</v>
      </c>
      <c r="R77" s="382" t="s">
        <v>341</v>
      </c>
      <c r="S77" s="381">
        <f>'Wind Loads'!I75</f>
        <v>54.917435438620032</v>
      </c>
      <c r="T77" s="382" t="s">
        <v>341</v>
      </c>
      <c r="U77" s="381">
        <f>'Wind Loads'!J75</f>
        <v>7.4887411961754591</v>
      </c>
      <c r="V77" s="382" t="s">
        <v>341</v>
      </c>
      <c r="W77" s="381">
        <f>'Wind Loads'!K75</f>
        <v>29.954964784701833</v>
      </c>
      <c r="X77" s="382" t="s">
        <v>341</v>
      </c>
      <c r="Y77" s="381">
        <f>'Wind Loads'!L75</f>
        <v>4.0847679251866138</v>
      </c>
      <c r="Z77" s="382" t="s">
        <v>341</v>
      </c>
      <c r="AA77" s="381">
        <f>'Wind Loads'!K94</f>
        <v>1.5367411230126438</v>
      </c>
      <c r="AB77" s="382" t="s">
        <v>341</v>
      </c>
      <c r="AC77" s="381">
        <f>'Wind Loads'!L94</f>
        <v>4.3921977907939675</v>
      </c>
      <c r="AD77" s="382" t="s">
        <v>341</v>
      </c>
      <c r="AE77" s="381">
        <f>IF(NoSupports=2,'Wind Loads'!K132,0)</f>
        <v>0</v>
      </c>
      <c r="AF77" s="382" t="s">
        <v>341</v>
      </c>
      <c r="AG77" s="381">
        <f>IF(NoSupports=2,'Wind Loads'!L132,0)</f>
        <v>0</v>
      </c>
      <c r="AH77" s="382" t="s">
        <v>341</v>
      </c>
    </row>
    <row r="78" spans="1:36" ht="12.75" customHeight="1">
      <c r="B78" s="383"/>
      <c r="C78" s="383"/>
      <c r="D78" s="383"/>
      <c r="E78" s="672" t="s">
        <v>1220</v>
      </c>
      <c r="F78" s="1178">
        <f>-'Col Analysis-I'!F78</f>
        <v>0</v>
      </c>
      <c r="G78" s="373">
        <f>(S79+AA79)*$G$20</f>
        <v>0</v>
      </c>
      <c r="H78" s="373">
        <f>(U79+AC79)*$G$21</f>
        <v>0</v>
      </c>
      <c r="I78" s="370">
        <v>0</v>
      </c>
      <c r="J78" s="370">
        <f>(U79*$E$25+AC79*$E$26)*$G$21</f>
        <v>0</v>
      </c>
      <c r="K78" s="383"/>
      <c r="L78" s="383"/>
      <c r="N78" s="379" t="s">
        <v>1170</v>
      </c>
      <c r="O78" s="381">
        <f>'Wind Loads'!K146</f>
        <v>9.02</v>
      </c>
      <c r="P78" s="382" t="s">
        <v>341</v>
      </c>
      <c r="Q78" s="381">
        <f>'Wind Loads'!L146</f>
        <v>2.64</v>
      </c>
      <c r="R78" s="382" t="s">
        <v>341</v>
      </c>
      <c r="S78" s="381">
        <f>'Wind Loads'!I76</f>
        <v>51.173064840532298</v>
      </c>
      <c r="T78" s="382" t="s">
        <v>341</v>
      </c>
      <c r="U78" s="381">
        <f>'Wind Loads'!J76</f>
        <v>14.977482392350918</v>
      </c>
      <c r="V78" s="382" t="s">
        <v>341</v>
      </c>
      <c r="W78" s="381">
        <f>'Wind Loads'!K76</f>
        <v>27.912580822108524</v>
      </c>
      <c r="X78" s="382" t="s">
        <v>341</v>
      </c>
      <c r="Y78" s="381">
        <f>'Wind Loads'!L76</f>
        <v>8.1695358503732276</v>
      </c>
      <c r="Z78" s="382" t="s">
        <v>341</v>
      </c>
      <c r="AA78" s="381">
        <f>'Wind Loads'!K95</f>
        <v>1.377804397965126</v>
      </c>
      <c r="AB78" s="382" t="s">
        <v>341</v>
      </c>
      <c r="AC78" s="381">
        <f>'Wind Loads'!L95</f>
        <v>8.4850745605953666</v>
      </c>
      <c r="AD78" s="382" t="s">
        <v>341</v>
      </c>
      <c r="AE78" s="381">
        <f>IF(NoSupports=2,'Wind Loads'!K133,0)</f>
        <v>0</v>
      </c>
      <c r="AF78" s="382" t="s">
        <v>341</v>
      </c>
      <c r="AG78" s="381">
        <f>IF(NoSupports=2,'Wind Loads'!L133,0)</f>
        <v>0</v>
      </c>
      <c r="AH78" s="382" t="s">
        <v>341</v>
      </c>
      <c r="AI78" s="364"/>
      <c r="AJ78" s="364"/>
    </row>
    <row r="79" spans="1:36">
      <c r="B79" s="383"/>
      <c r="C79" s="383"/>
      <c r="D79" s="383"/>
      <c r="E79" s="672" t="s">
        <v>1221</v>
      </c>
      <c r="F79" s="1178">
        <f>-'Col Analysis-I'!F79</f>
        <v>0</v>
      </c>
      <c r="G79" s="373">
        <f>(S80+AA80)*$G$20</f>
        <v>0</v>
      </c>
      <c r="H79" s="373">
        <f>(U80+AC80)*$G$21</f>
        <v>0</v>
      </c>
      <c r="I79" s="370">
        <v>0</v>
      </c>
      <c r="J79" s="370">
        <f>(U80*$E$25+AC80*$E$26)*$G$21</f>
        <v>0</v>
      </c>
      <c r="K79" s="779"/>
      <c r="L79" s="383"/>
      <c r="N79" s="379" t="s">
        <v>1171</v>
      </c>
      <c r="O79" s="381">
        <f>'Wind Loads'!K147</f>
        <v>7.2600000000000007</v>
      </c>
      <c r="P79" s="382" t="s">
        <v>341</v>
      </c>
      <c r="Q79" s="381">
        <f>'Wind Loads'!L147</f>
        <v>3.52</v>
      </c>
      <c r="R79" s="382" t="s">
        <v>341</v>
      </c>
      <c r="S79" s="381">
        <f>'Wind Loads'!I77</f>
        <v>41.188076578965024</v>
      </c>
      <c r="T79" s="382" t="s">
        <v>341</v>
      </c>
      <c r="U79" s="381">
        <f>'Wind Loads'!J77</f>
        <v>19.969976523134559</v>
      </c>
      <c r="V79" s="382" t="s">
        <v>341</v>
      </c>
      <c r="W79" s="381">
        <f>'Wind Loads'!K77</f>
        <v>22.466223588526375</v>
      </c>
      <c r="X79" s="382" t="s">
        <v>341</v>
      </c>
      <c r="Y79" s="381">
        <f>'Wind Loads'!L77</f>
        <v>10.892714467164303</v>
      </c>
      <c r="Z79" s="382" t="s">
        <v>341</v>
      </c>
      <c r="AA79" s="381">
        <f>'Wind Loads'!K96</f>
        <v>1.1249725801257093</v>
      </c>
      <c r="AB79" s="382" t="s">
        <v>341</v>
      </c>
      <c r="AC79" s="381">
        <f>'Wind Loads'!L96</f>
        <v>11.999707521340897</v>
      </c>
      <c r="AD79" s="382" t="s">
        <v>341</v>
      </c>
      <c r="AE79" s="381">
        <f>IF(NoSupports=2,'Wind Loads'!K134,0)</f>
        <v>0</v>
      </c>
      <c r="AF79" s="382" t="s">
        <v>341</v>
      </c>
      <c r="AG79" s="381">
        <f>IF(NoSupports=2,'Wind Loads'!L134,0)</f>
        <v>0</v>
      </c>
      <c r="AH79" s="382" t="s">
        <v>341</v>
      </c>
      <c r="AI79" s="364"/>
      <c r="AJ79" s="364"/>
    </row>
    <row r="80" spans="1:36">
      <c r="B80" s="383"/>
      <c r="C80" s="383"/>
      <c r="D80" s="383"/>
      <c r="E80" s="672" t="s">
        <v>1222</v>
      </c>
      <c r="F80" s="1178">
        <f>-'Col Analysis-I'!F80</f>
        <v>0</v>
      </c>
      <c r="G80" s="373">
        <f>(W76+AA76)*$G$20</f>
        <v>0</v>
      </c>
      <c r="H80" s="373">
        <f>(Y76+AC76)*$G$21</f>
        <v>0</v>
      </c>
      <c r="I80" s="370">
        <v>0</v>
      </c>
      <c r="J80" s="370">
        <f>(Y76*$E$25+AC76*$E$26)*$G$21</f>
        <v>0</v>
      </c>
      <c r="K80" s="779"/>
      <c r="L80" s="383"/>
      <c r="N80" s="379" t="s">
        <v>1288</v>
      </c>
      <c r="O80" s="381">
        <f>'Wind Loads'!K148</f>
        <v>3.74</v>
      </c>
      <c r="P80" s="382" t="s">
        <v>341</v>
      </c>
      <c r="Q80" s="381">
        <f>'Wind Loads'!L148</f>
        <v>4.18</v>
      </c>
      <c r="R80" s="382" t="s">
        <v>341</v>
      </c>
      <c r="S80" s="381">
        <f>'Wind Loads'!I78</f>
        <v>21.218100055830469</v>
      </c>
      <c r="T80" s="382" t="s">
        <v>341</v>
      </c>
      <c r="U80" s="381">
        <f>'Wind Loads'!J78</f>
        <v>23.714347121222289</v>
      </c>
      <c r="V80" s="382" t="s">
        <v>341</v>
      </c>
      <c r="W80" s="381">
        <f>'Wind Loads'!K78</f>
        <v>11.573509121362074</v>
      </c>
      <c r="X80" s="382" t="s">
        <v>341</v>
      </c>
      <c r="Y80" s="381">
        <f>'Wind Loads'!L78</f>
        <v>12.935098429757611</v>
      </c>
      <c r="Z80" s="382" t="s">
        <v>341</v>
      </c>
      <c r="AA80" s="381">
        <f>'Wind Loads'!K97</f>
        <v>0.79547574005581589</v>
      </c>
      <c r="AB80" s="382" t="s">
        <v>341</v>
      </c>
      <c r="AC80" s="381">
        <f>'Wind Loads'!L97</f>
        <v>14.696580244961343</v>
      </c>
      <c r="AD80" s="382" t="s">
        <v>341</v>
      </c>
      <c r="AE80" s="381">
        <f>IF(NoSupports=2,'Wind Loads'!K135,0)</f>
        <v>0</v>
      </c>
      <c r="AF80" s="382" t="s">
        <v>341</v>
      </c>
      <c r="AG80" s="381">
        <f>IF(NoSupports=2,'Wind Loads'!L135,0)</f>
        <v>0</v>
      </c>
      <c r="AH80" s="382" t="s">
        <v>341</v>
      </c>
      <c r="AI80" s="364"/>
    </row>
    <row r="81" spans="1:36">
      <c r="B81" s="383"/>
      <c r="C81" s="383"/>
      <c r="D81" s="383"/>
      <c r="E81" s="672" t="s">
        <v>1230</v>
      </c>
      <c r="F81" s="1178">
        <f>-'Col Analysis-I'!F81</f>
        <v>0</v>
      </c>
      <c r="G81" s="373">
        <f>(W77+AA77)*$G$20</f>
        <v>0</v>
      </c>
      <c r="H81" s="373">
        <f>(Y77+AC77)*$G$21</f>
        <v>0</v>
      </c>
      <c r="I81" s="370">
        <v>0</v>
      </c>
      <c r="J81" s="370">
        <f>(Y77*$E$25+AC77*$E$26)*$G$21</f>
        <v>0</v>
      </c>
      <c r="K81" s="383"/>
      <c r="L81" s="383"/>
      <c r="N81" s="362"/>
      <c r="O81" s="362"/>
      <c r="P81" s="362"/>
      <c r="Q81" s="362"/>
      <c r="R81" s="362"/>
      <c r="S81" s="362"/>
      <c r="T81" s="362"/>
      <c r="U81" s="364"/>
      <c r="V81" s="364"/>
      <c r="W81" s="364"/>
      <c r="X81" s="364"/>
      <c r="Y81" s="364"/>
      <c r="Z81" s="364"/>
      <c r="AA81" s="364"/>
      <c r="AB81" s="364"/>
      <c r="AC81" s="364"/>
      <c r="AD81" s="364"/>
      <c r="AE81" s="364"/>
      <c r="AF81" s="364"/>
      <c r="AG81" s="364"/>
      <c r="AH81" s="364"/>
      <c r="AI81" s="364"/>
      <c r="AJ81" s="364"/>
    </row>
    <row r="82" spans="1:36">
      <c r="B82" s="383"/>
      <c r="C82" s="383"/>
      <c r="D82" s="383"/>
      <c r="E82" s="672" t="s">
        <v>1231</v>
      </c>
      <c r="F82" s="1178">
        <f>-'Col Analysis-I'!F82</f>
        <v>0</v>
      </c>
      <c r="G82" s="373">
        <f>(W78+AA78)*$G$20</f>
        <v>0</v>
      </c>
      <c r="H82" s="373">
        <f>(Y78+AC78)*$G$21</f>
        <v>0</v>
      </c>
      <c r="I82" s="370">
        <v>0</v>
      </c>
      <c r="J82" s="370">
        <f>(Y78*$E$25+AC78*$E$26)*$G$21</f>
        <v>0</v>
      </c>
      <c r="K82" s="383"/>
      <c r="L82" s="383"/>
      <c r="N82" s="364"/>
      <c r="O82" s="364"/>
      <c r="P82" s="364"/>
      <c r="Q82" s="364"/>
      <c r="R82" s="364"/>
      <c r="S82" s="364"/>
      <c r="T82" s="364"/>
      <c r="U82" s="364"/>
      <c r="V82" s="364"/>
      <c r="W82" s="364"/>
      <c r="X82" s="364"/>
      <c r="Y82" s="364"/>
      <c r="Z82" s="364"/>
      <c r="AA82" s="364"/>
      <c r="AB82" s="364"/>
      <c r="AC82" s="364"/>
      <c r="AD82" s="364"/>
      <c r="AE82" s="364"/>
      <c r="AF82" s="364"/>
      <c r="AG82" s="364"/>
      <c r="AH82" s="364"/>
      <c r="AI82" s="364"/>
      <c r="AJ82" s="364"/>
    </row>
    <row r="83" spans="1:36">
      <c r="B83" s="383"/>
      <c r="C83" s="383"/>
      <c r="D83" s="383"/>
      <c r="E83" s="672" t="s">
        <v>1232</v>
      </c>
      <c r="F83" s="1178">
        <f>-'Col Analysis-I'!F83</f>
        <v>0</v>
      </c>
      <c r="G83" s="373">
        <f>(W79+AA79)*$G$20</f>
        <v>0</v>
      </c>
      <c r="H83" s="373">
        <f>(Y79+AC79)*$G$21</f>
        <v>0</v>
      </c>
      <c r="I83" s="370">
        <v>0</v>
      </c>
      <c r="J83" s="370">
        <f>(Y79*$E$25+AC79*$E$26)*$G$21</f>
        <v>0</v>
      </c>
      <c r="K83" s="383"/>
      <c r="L83" s="383"/>
      <c r="N83" s="362"/>
      <c r="O83" s="364"/>
      <c r="P83" s="364"/>
      <c r="Q83" s="364"/>
      <c r="R83" s="364"/>
      <c r="S83" s="364"/>
      <c r="T83" s="364"/>
      <c r="U83" s="364"/>
      <c r="V83" s="364"/>
      <c r="W83" s="364"/>
      <c r="X83" s="364"/>
      <c r="Y83" s="364"/>
      <c r="Z83" s="364"/>
      <c r="AA83" s="364"/>
      <c r="AB83" s="364"/>
      <c r="AC83" s="364"/>
      <c r="AD83" s="364"/>
      <c r="AE83" s="364"/>
      <c r="AF83" s="364"/>
      <c r="AG83" s="364"/>
      <c r="AH83" s="364"/>
      <c r="AI83" s="364"/>
      <c r="AJ83" s="364"/>
    </row>
    <row r="84" spans="1:36">
      <c r="B84" s="383"/>
      <c r="C84" s="383"/>
      <c r="D84" s="383"/>
      <c r="E84" s="672" t="s">
        <v>1234</v>
      </c>
      <c r="F84" s="1178">
        <f>-'Col Analysis-I'!F84</f>
        <v>0</v>
      </c>
      <c r="G84" s="373">
        <f>(W80+AA80)*$G$20</f>
        <v>0</v>
      </c>
      <c r="H84" s="373">
        <f>(Y80+AC80)*$G$21</f>
        <v>0</v>
      </c>
      <c r="I84" s="370">
        <v>0</v>
      </c>
      <c r="J84" s="370">
        <f>(Y80*$E$25+AC80*$E$26)*$G$21</f>
        <v>0</v>
      </c>
      <c r="K84" s="383"/>
      <c r="L84" s="383"/>
      <c r="N84" s="362"/>
      <c r="O84" s="364"/>
      <c r="P84" s="364"/>
      <c r="Q84" s="364"/>
      <c r="R84" s="364"/>
      <c r="S84" s="364"/>
      <c r="T84" s="364"/>
      <c r="U84" s="364"/>
      <c r="V84" s="364"/>
      <c r="W84" s="364"/>
      <c r="X84" s="364"/>
      <c r="Y84" s="364"/>
      <c r="Z84" s="364"/>
      <c r="AA84" s="364"/>
      <c r="AB84" s="364"/>
      <c r="AC84" s="364"/>
      <c r="AD84" s="364"/>
      <c r="AE84" s="364"/>
      <c r="AF84" s="364"/>
      <c r="AG84" s="364"/>
      <c r="AH84" s="364"/>
      <c r="AI84" s="364"/>
      <c r="AJ84" s="364"/>
    </row>
    <row r="85" spans="1:36">
      <c r="B85" s="383"/>
      <c r="C85" s="383"/>
      <c r="D85" s="383"/>
      <c r="E85" s="672" t="s">
        <v>860</v>
      </c>
      <c r="F85" s="380">
        <f>'Wind Loads'!G156*$G$19</f>
        <v>0</v>
      </c>
      <c r="G85" s="373">
        <v>0</v>
      </c>
      <c r="H85" s="373">
        <v>0</v>
      </c>
      <c r="I85" s="370">
        <v>0</v>
      </c>
      <c r="J85" s="370">
        <v>0</v>
      </c>
      <c r="K85" s="384"/>
      <c r="L85" s="383"/>
      <c r="N85" s="362"/>
      <c r="O85" s="364"/>
      <c r="P85" s="364"/>
      <c r="Q85" s="364"/>
      <c r="R85" s="364"/>
      <c r="S85" s="364"/>
      <c r="T85" s="364"/>
      <c r="U85" s="364"/>
      <c r="V85" s="364"/>
      <c r="W85" s="364"/>
      <c r="X85" s="364"/>
      <c r="Y85" s="364"/>
      <c r="Z85" s="364"/>
      <c r="AA85" s="364"/>
      <c r="AB85" s="364"/>
      <c r="AC85" s="364"/>
      <c r="AD85" s="364"/>
      <c r="AE85" s="364"/>
      <c r="AF85" s="364"/>
      <c r="AG85" s="364"/>
      <c r="AH85" s="364"/>
      <c r="AI85" s="364"/>
      <c r="AJ85" s="364"/>
    </row>
    <row r="86" spans="1:36" hidden="1">
      <c r="A86" s="359" t="s">
        <v>1302</v>
      </c>
      <c r="B86" s="383"/>
      <c r="C86" s="383"/>
      <c r="D86" s="383"/>
      <c r="E86" s="672" t="s">
        <v>861</v>
      </c>
      <c r="F86" s="380">
        <f>'Wind Loads'!G156*$G$19</f>
        <v>0</v>
      </c>
      <c r="G86" s="373">
        <v>0</v>
      </c>
      <c r="H86" s="373">
        <v>0</v>
      </c>
      <c r="I86" s="370">
        <v>0</v>
      </c>
      <c r="J86" s="370">
        <v>0</v>
      </c>
      <c r="K86" s="384"/>
      <c r="L86" s="383"/>
      <c r="N86" s="362"/>
      <c r="O86" s="364"/>
      <c r="P86" s="364"/>
      <c r="Q86" s="364"/>
      <c r="R86" s="364"/>
      <c r="S86" s="364"/>
      <c r="T86" s="364"/>
      <c r="U86" s="364"/>
      <c r="V86" s="364"/>
      <c r="W86" s="364"/>
      <c r="X86" s="364"/>
      <c r="Y86" s="364"/>
      <c r="Z86" s="364"/>
      <c r="AA86" s="364"/>
      <c r="AB86" s="364"/>
      <c r="AC86" s="364"/>
      <c r="AD86" s="364"/>
      <c r="AE86" s="364"/>
      <c r="AF86" s="364"/>
      <c r="AG86" s="364"/>
      <c r="AH86" s="364"/>
      <c r="AI86" s="364"/>
      <c r="AJ86" s="364"/>
    </row>
    <row r="87" spans="1:36">
      <c r="B87" s="383"/>
      <c r="C87" s="383"/>
      <c r="D87" s="383"/>
      <c r="E87" s="556" t="s">
        <v>1520</v>
      </c>
      <c r="F87" s="380">
        <f>'Wind Loads'!G157*$G$19</f>
        <v>0</v>
      </c>
      <c r="G87" s="373">
        <v>0</v>
      </c>
      <c r="H87" s="373">
        <v>0</v>
      </c>
      <c r="I87" s="370">
        <v>0</v>
      </c>
      <c r="J87" s="370">
        <v>0</v>
      </c>
      <c r="K87" s="384"/>
      <c r="L87" s="383"/>
      <c r="N87" s="362"/>
      <c r="O87" s="364"/>
      <c r="P87" s="364"/>
      <c r="Q87" s="364"/>
      <c r="R87" s="364"/>
      <c r="S87" s="364"/>
      <c r="T87" s="364"/>
      <c r="U87" s="364"/>
      <c r="V87" s="364"/>
      <c r="W87" s="364"/>
      <c r="X87" s="364"/>
      <c r="Y87" s="364"/>
      <c r="Z87" s="364"/>
      <c r="AA87" s="364"/>
      <c r="AB87" s="364"/>
      <c r="AC87" s="364"/>
      <c r="AD87" s="364"/>
      <c r="AE87" s="364"/>
      <c r="AF87" s="364"/>
      <c r="AG87" s="364"/>
      <c r="AH87" s="364"/>
      <c r="AI87" s="364"/>
      <c r="AJ87" s="364"/>
    </row>
    <row r="88" spans="1:36">
      <c r="A88" s="359" t="s">
        <v>670</v>
      </c>
      <c r="B88" s="385"/>
      <c r="C88" s="383"/>
      <c r="D88" s="383"/>
      <c r="E88" s="383"/>
      <c r="F88" s="383"/>
      <c r="G88" s="383"/>
      <c r="H88" s="383"/>
      <c r="I88" s="383"/>
      <c r="J88" s="383"/>
      <c r="K88" s="383"/>
      <c r="L88" s="383"/>
      <c r="N88" s="362"/>
      <c r="O88" s="364"/>
      <c r="P88" s="364"/>
      <c r="Q88" s="364"/>
      <c r="R88" s="364"/>
      <c r="S88" s="364"/>
      <c r="T88" s="364"/>
      <c r="U88" s="364"/>
      <c r="V88" s="364"/>
      <c r="W88" s="364"/>
      <c r="X88" s="364"/>
      <c r="Y88" s="364"/>
      <c r="Z88" s="364"/>
      <c r="AA88" s="364"/>
      <c r="AB88" s="364"/>
      <c r="AC88" s="364"/>
      <c r="AD88" s="364"/>
      <c r="AE88" s="364"/>
      <c r="AF88" s="364"/>
      <c r="AG88" s="364"/>
      <c r="AH88" s="364"/>
      <c r="AI88" s="364"/>
      <c r="AJ88" s="364"/>
    </row>
    <row r="89" spans="1:36" ht="6" customHeight="1">
      <c r="B89" s="385"/>
      <c r="C89" s="383"/>
      <c r="D89" s="383"/>
      <c r="E89" s="383"/>
      <c r="F89" s="383"/>
      <c r="G89" s="383"/>
      <c r="H89" s="383"/>
      <c r="I89" s="383"/>
      <c r="J89" s="383"/>
      <c r="K89" s="383"/>
      <c r="L89" s="383"/>
      <c r="N89" s="362"/>
      <c r="O89" s="364"/>
      <c r="P89" s="364"/>
      <c r="Q89" s="364"/>
      <c r="R89" s="364"/>
      <c r="S89" s="364"/>
      <c r="T89" s="364"/>
      <c r="U89" s="364"/>
      <c r="V89" s="364"/>
      <c r="W89" s="364"/>
      <c r="X89" s="364"/>
      <c r="Y89" s="364"/>
      <c r="Z89" s="364"/>
      <c r="AA89" s="364"/>
      <c r="AB89" s="364"/>
      <c r="AC89" s="364"/>
      <c r="AD89" s="364"/>
      <c r="AE89" s="364"/>
      <c r="AF89" s="364"/>
      <c r="AG89" s="364"/>
      <c r="AH89" s="364"/>
      <c r="AI89" s="364"/>
      <c r="AJ89" s="364"/>
    </row>
    <row r="90" spans="1:36" ht="18" customHeight="1" thickBot="1">
      <c r="B90" s="1523" t="s">
        <v>1235</v>
      </c>
      <c r="C90" s="1523"/>
      <c r="D90" s="1523"/>
      <c r="E90" s="1523"/>
      <c r="F90" s="1523"/>
      <c r="G90" s="1523"/>
      <c r="H90" s="1523"/>
      <c r="I90" s="1523"/>
      <c r="J90" s="1523"/>
      <c r="K90" s="1523"/>
      <c r="L90" s="1523"/>
      <c r="M90" s="367"/>
      <c r="N90" s="362"/>
      <c r="O90" s="362"/>
      <c r="P90" s="362"/>
      <c r="Q90" s="362"/>
      <c r="R90" s="364"/>
      <c r="S90" s="364"/>
      <c r="T90" s="364"/>
      <c r="U90" s="364"/>
      <c r="V90" s="364"/>
      <c r="W90" s="364"/>
      <c r="X90" s="364"/>
      <c r="Y90" s="364"/>
      <c r="Z90" s="364"/>
      <c r="AA90" s="364"/>
      <c r="AB90" s="364"/>
      <c r="AC90" s="364"/>
      <c r="AD90" s="364"/>
      <c r="AE90" s="364"/>
      <c r="AF90" s="364"/>
      <c r="AG90" s="364"/>
      <c r="AH90" s="364"/>
      <c r="AI90" s="364"/>
      <c r="AJ90" s="364"/>
    </row>
    <row r="91" spans="1:36" ht="3.75" customHeight="1">
      <c r="B91" s="780"/>
      <c r="C91" s="780"/>
      <c r="D91" s="780"/>
      <c r="E91" s="780"/>
      <c r="F91" s="780"/>
      <c r="G91" s="780"/>
      <c r="H91" s="780"/>
      <c r="I91" s="780"/>
      <c r="J91" s="780"/>
      <c r="K91" s="780"/>
      <c r="L91" s="780"/>
      <c r="M91" s="367"/>
      <c r="N91" s="364"/>
      <c r="O91" s="364"/>
      <c r="P91" s="364"/>
      <c r="Q91" s="364"/>
      <c r="R91" s="364"/>
      <c r="S91" s="364"/>
      <c r="T91" s="364"/>
      <c r="U91" s="364"/>
      <c r="V91" s="364"/>
      <c r="W91" s="364"/>
      <c r="X91" s="364"/>
      <c r="Y91" s="364"/>
      <c r="Z91" s="364"/>
      <c r="AA91" s="364"/>
      <c r="AB91" s="364"/>
      <c r="AC91" s="364"/>
      <c r="AD91" s="364"/>
      <c r="AE91" s="364"/>
      <c r="AF91" s="364"/>
      <c r="AG91" s="364"/>
      <c r="AH91" s="364"/>
      <c r="AI91" s="364"/>
      <c r="AJ91" s="364"/>
    </row>
    <row r="92" spans="1:36" ht="14.25">
      <c r="B92" s="780"/>
      <c r="C92" s="780"/>
      <c r="D92" s="780"/>
      <c r="E92" s="780"/>
      <c r="F92" s="778" t="s">
        <v>1184</v>
      </c>
      <c r="G92" s="778" t="s">
        <v>70</v>
      </c>
      <c r="H92" s="778" t="s">
        <v>71</v>
      </c>
      <c r="I92" s="778" t="s">
        <v>73</v>
      </c>
      <c r="J92" s="778" t="s">
        <v>72</v>
      </c>
      <c r="K92" s="780"/>
      <c r="L92" s="780"/>
      <c r="M92" s="367"/>
      <c r="N92" s="362"/>
      <c r="O92" s="364"/>
      <c r="P92" s="364"/>
      <c r="Q92" s="364"/>
      <c r="R92" s="364"/>
      <c r="S92" s="364"/>
      <c r="T92" s="364"/>
      <c r="U92" s="364"/>
      <c r="V92" s="364"/>
      <c r="W92" s="364"/>
      <c r="X92" s="364"/>
      <c r="Y92" s="364"/>
      <c r="Z92" s="364"/>
      <c r="AA92" s="364"/>
      <c r="AB92" s="364"/>
      <c r="AC92" s="364"/>
      <c r="AD92" s="364"/>
      <c r="AE92" s="364"/>
      <c r="AF92" s="364"/>
      <c r="AG92" s="364"/>
      <c r="AH92" s="364"/>
      <c r="AI92" s="364"/>
      <c r="AJ92" s="364"/>
    </row>
    <row r="93" spans="1:36">
      <c r="B93" s="383"/>
      <c r="C93" s="383"/>
      <c r="D93" s="383"/>
      <c r="E93" s="556" t="s">
        <v>1236</v>
      </c>
      <c r="F93" s="663" t="str">
        <f>'Conc DL'!G110</f>
        <v/>
      </c>
      <c r="G93" s="369">
        <v>0</v>
      </c>
      <c r="H93" s="369">
        <v>0</v>
      </c>
      <c r="I93" s="370">
        <v>0</v>
      </c>
      <c r="J93" s="370">
        <v>0</v>
      </c>
      <c r="K93" s="383"/>
      <c r="L93" s="383"/>
      <c r="N93" s="362"/>
      <c r="O93" s="364"/>
      <c r="P93" s="364"/>
      <c r="Q93" s="364"/>
      <c r="R93" s="364"/>
      <c r="S93" s="364"/>
      <c r="T93" s="364"/>
      <c r="U93" s="364"/>
      <c r="V93" s="364"/>
      <c r="W93" s="364"/>
      <c r="X93" s="364"/>
      <c r="Y93" s="364"/>
      <c r="Z93" s="364"/>
      <c r="AA93" s="364"/>
      <c r="AB93" s="364"/>
      <c r="AC93" s="364"/>
      <c r="AD93" s="364"/>
      <c r="AE93" s="364"/>
      <c r="AF93" s="364"/>
      <c r="AG93" s="364"/>
      <c r="AH93" s="364"/>
      <c r="AI93" s="364"/>
      <c r="AJ93" s="364"/>
    </row>
    <row r="94" spans="1:36">
      <c r="B94" s="383"/>
      <c r="C94" s="383"/>
      <c r="D94" s="383"/>
      <c r="E94" s="672" t="s">
        <v>1237</v>
      </c>
      <c r="F94" s="373">
        <v>0</v>
      </c>
      <c r="G94" s="373">
        <f>AE76</f>
        <v>0</v>
      </c>
      <c r="H94" s="373">
        <f>AG76</f>
        <v>0</v>
      </c>
      <c r="I94" s="370">
        <f>G94*WindCentroid2</f>
        <v>0</v>
      </c>
      <c r="J94" s="370">
        <f t="shared" ref="I94:J98" si="3">H94*WindCentroid2</f>
        <v>0</v>
      </c>
      <c r="K94" s="383"/>
      <c r="L94" s="383"/>
      <c r="N94" s="362"/>
      <c r="O94" s="364"/>
      <c r="P94" s="364"/>
      <c r="Q94" s="364"/>
      <c r="R94" s="364"/>
      <c r="S94" s="364"/>
      <c r="T94" s="364"/>
      <c r="U94" s="364"/>
      <c r="V94" s="364"/>
      <c r="W94" s="364"/>
      <c r="X94" s="364"/>
      <c r="Y94" s="364"/>
      <c r="Z94" s="364"/>
      <c r="AA94" s="364"/>
      <c r="AB94" s="364"/>
      <c r="AC94" s="364"/>
      <c r="AD94" s="364"/>
      <c r="AE94" s="364"/>
      <c r="AF94" s="364"/>
      <c r="AG94" s="364"/>
      <c r="AH94" s="364"/>
      <c r="AI94" s="364"/>
      <c r="AJ94" s="364"/>
    </row>
    <row r="95" spans="1:36">
      <c r="B95" s="383"/>
      <c r="C95" s="383"/>
      <c r="D95" s="383"/>
      <c r="E95" s="672" t="s">
        <v>1238</v>
      </c>
      <c r="F95" s="373">
        <v>0</v>
      </c>
      <c r="G95" s="373">
        <f>AE77</f>
        <v>0</v>
      </c>
      <c r="H95" s="373">
        <f>AG77</f>
        <v>0</v>
      </c>
      <c r="I95" s="370">
        <f t="shared" si="3"/>
        <v>0</v>
      </c>
      <c r="J95" s="370">
        <f t="shared" si="3"/>
        <v>0</v>
      </c>
      <c r="K95" s="383"/>
      <c r="L95" s="383"/>
      <c r="N95" s="362"/>
      <c r="O95" s="364"/>
      <c r="P95" s="364"/>
      <c r="Q95" s="364"/>
      <c r="R95" s="364"/>
      <c r="S95" s="364"/>
      <c r="T95" s="364"/>
      <c r="U95" s="364"/>
      <c r="V95" s="364"/>
      <c r="W95" s="364"/>
      <c r="X95" s="364"/>
      <c r="Y95" s="364"/>
      <c r="Z95" s="364"/>
      <c r="AA95" s="364"/>
      <c r="AB95" s="364"/>
      <c r="AC95" s="364"/>
      <c r="AD95" s="364"/>
      <c r="AE95" s="364"/>
      <c r="AF95" s="364"/>
      <c r="AG95" s="364"/>
      <c r="AH95" s="364"/>
      <c r="AI95" s="364"/>
      <c r="AJ95" s="364"/>
    </row>
    <row r="96" spans="1:36">
      <c r="B96" s="383"/>
      <c r="C96" s="383"/>
      <c r="D96" s="383"/>
      <c r="E96" s="672" t="s">
        <v>1239</v>
      </c>
      <c r="F96" s="373">
        <v>0</v>
      </c>
      <c r="G96" s="373">
        <f>AE78</f>
        <v>0</v>
      </c>
      <c r="H96" s="373">
        <f>AG78</f>
        <v>0</v>
      </c>
      <c r="I96" s="370">
        <f t="shared" si="3"/>
        <v>0</v>
      </c>
      <c r="J96" s="370">
        <f t="shared" si="3"/>
        <v>0</v>
      </c>
      <c r="K96" s="383"/>
      <c r="L96" s="383"/>
      <c r="N96" s="362"/>
      <c r="O96" s="364"/>
      <c r="P96" s="364"/>
      <c r="Q96" s="364"/>
      <c r="R96" s="364"/>
      <c r="S96" s="364"/>
      <c r="T96" s="364"/>
      <c r="U96" s="364"/>
      <c r="V96" s="364"/>
      <c r="W96" s="364"/>
      <c r="X96" s="364"/>
      <c r="Y96" s="364"/>
      <c r="Z96" s="364"/>
      <c r="AA96" s="364"/>
      <c r="AB96" s="364"/>
      <c r="AC96" s="364"/>
      <c r="AD96" s="364"/>
      <c r="AE96" s="364"/>
      <c r="AF96" s="364"/>
      <c r="AG96" s="364"/>
      <c r="AH96" s="364"/>
      <c r="AI96" s="364"/>
      <c r="AJ96" s="364"/>
    </row>
    <row r="97" spans="2:36">
      <c r="B97" s="383"/>
      <c r="C97" s="383"/>
      <c r="D97" s="383"/>
      <c r="E97" s="672" t="s">
        <v>1240</v>
      </c>
      <c r="F97" s="373">
        <v>0</v>
      </c>
      <c r="G97" s="373">
        <f>AE79</f>
        <v>0</v>
      </c>
      <c r="H97" s="373">
        <f>AG79</f>
        <v>0</v>
      </c>
      <c r="I97" s="370">
        <f t="shared" si="3"/>
        <v>0</v>
      </c>
      <c r="J97" s="370">
        <f t="shared" si="3"/>
        <v>0</v>
      </c>
      <c r="K97" s="383"/>
      <c r="L97" s="383"/>
      <c r="N97" s="362"/>
      <c r="O97" s="362"/>
      <c r="P97" s="362"/>
      <c r="Q97" s="362"/>
      <c r="R97" s="364"/>
      <c r="S97" s="364"/>
      <c r="T97" s="364"/>
      <c r="U97" s="364"/>
      <c r="V97" s="364"/>
      <c r="W97" s="364"/>
      <c r="X97" s="364"/>
      <c r="Y97" s="364"/>
      <c r="Z97" s="364"/>
      <c r="AA97" s="364"/>
      <c r="AB97" s="364"/>
      <c r="AC97" s="364"/>
      <c r="AD97" s="364"/>
      <c r="AE97" s="364"/>
      <c r="AF97" s="364"/>
      <c r="AG97" s="364"/>
      <c r="AH97" s="364"/>
      <c r="AI97" s="364"/>
      <c r="AJ97" s="364"/>
    </row>
    <row r="98" spans="2:36">
      <c r="B98" s="383"/>
      <c r="C98" s="383"/>
      <c r="D98" s="383"/>
      <c r="E98" s="672" t="s">
        <v>1241</v>
      </c>
      <c r="F98" s="373">
        <v>0</v>
      </c>
      <c r="G98" s="373">
        <f>AE80</f>
        <v>0</v>
      </c>
      <c r="H98" s="373">
        <f>AG80</f>
        <v>0</v>
      </c>
      <c r="I98" s="370">
        <f t="shared" si="3"/>
        <v>0</v>
      </c>
      <c r="J98" s="370">
        <f t="shared" si="3"/>
        <v>0</v>
      </c>
      <c r="K98" s="383"/>
      <c r="L98" s="383"/>
      <c r="N98" s="364"/>
      <c r="O98" s="364"/>
      <c r="P98" s="364"/>
      <c r="Q98" s="364"/>
      <c r="R98" s="364"/>
      <c r="S98" s="364"/>
      <c r="T98" s="364"/>
      <c r="U98" s="364"/>
      <c r="V98" s="364"/>
      <c r="W98" s="364"/>
      <c r="X98" s="364"/>
      <c r="Y98" s="364"/>
      <c r="Z98" s="364"/>
      <c r="AA98" s="364"/>
      <c r="AB98" s="364"/>
      <c r="AC98" s="364"/>
      <c r="AD98" s="364"/>
      <c r="AE98" s="364"/>
      <c r="AF98" s="364"/>
      <c r="AG98" s="364"/>
      <c r="AH98" s="364"/>
      <c r="AI98" s="364"/>
      <c r="AJ98" s="364"/>
    </row>
    <row r="99" spans="2:36">
      <c r="B99" s="383"/>
      <c r="C99" s="383"/>
      <c r="D99" s="383"/>
      <c r="E99" s="383"/>
      <c r="F99" s="383"/>
      <c r="G99" s="383"/>
      <c r="H99" s="383"/>
      <c r="I99" s="383"/>
      <c r="J99" s="383"/>
      <c r="K99" s="383"/>
      <c r="L99" s="383"/>
    </row>
    <row r="105" spans="2:36">
      <c r="N105" s="362"/>
    </row>
    <row r="106" spans="2:36">
      <c r="N106" s="362"/>
    </row>
    <row r="107" spans="2:36">
      <c r="N107" s="362"/>
    </row>
    <row r="108" spans="2:36">
      <c r="N108" s="362"/>
    </row>
    <row r="109" spans="2:36">
      <c r="N109" s="362"/>
    </row>
  </sheetData>
  <sheetProtection algorithmName="SHA-512" hashValue="qdnPXqPz4mx693j+MtgyZDyVq+kfPlKhWbASTWAtC9wfZ7XcwIGnt6K5/sTgL8ha9YWclsmUni1iTthwjkms1Q==" saltValue="wwPMKmLOuUgvU7Y/N34QCQ==" spinCount="100000" sheet="1" objects="1" scenarios="1"/>
  <mergeCells count="19">
    <mergeCell ref="AC75:AD75"/>
    <mergeCell ref="AE75:AF75"/>
    <mergeCell ref="AG75:AH75"/>
    <mergeCell ref="W74:Z74"/>
    <mergeCell ref="AA74:AD74"/>
    <mergeCell ref="AE74:AH74"/>
    <mergeCell ref="W75:X75"/>
    <mergeCell ref="Y75:Z75"/>
    <mergeCell ref="AA75:AB75"/>
    <mergeCell ref="B90:L90"/>
    <mergeCell ref="O74:R74"/>
    <mergeCell ref="S74:V74"/>
    <mergeCell ref="S75:T75"/>
    <mergeCell ref="U75:V75"/>
    <mergeCell ref="B8:L8"/>
    <mergeCell ref="B22:L22"/>
    <mergeCell ref="O75:P75"/>
    <mergeCell ref="Q75:R75"/>
    <mergeCell ref="B70:D7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87" min="1" max="11"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01">
    <tabColor indexed="51"/>
  </sheetPr>
  <dimension ref="A1:L53"/>
  <sheetViews>
    <sheetView showGridLines="0" view="pageBreakPreview" topLeftCell="A10" zoomScaleSheetLayoutView="130" workbookViewId="0">
      <selection activeCell="A48" sqref="A48"/>
    </sheetView>
  </sheetViews>
  <sheetFormatPr defaultColWidth="9.140625" defaultRowHeight="12.75"/>
  <cols>
    <col min="1" max="1" width="24.7109375" style="337" customWidth="1"/>
    <col min="2" max="12" width="8.7109375" style="337" customWidth="1"/>
    <col min="13" max="16384" width="9.140625" style="337"/>
  </cols>
  <sheetData>
    <row r="1" spans="1:12">
      <c r="B1" s="290"/>
      <c r="C1" s="290"/>
      <c r="D1" s="290"/>
      <c r="E1" s="290"/>
      <c r="F1" s="290"/>
      <c r="G1" s="290"/>
      <c r="H1" s="290"/>
      <c r="I1" s="290"/>
      <c r="J1" s="290"/>
      <c r="K1" s="290"/>
      <c r="L1" s="290"/>
    </row>
    <row r="2" spans="1:12">
      <c r="B2" s="290"/>
      <c r="C2" s="290"/>
      <c r="D2" s="290"/>
      <c r="E2" s="290"/>
      <c r="F2" s="290"/>
      <c r="G2" s="290"/>
      <c r="H2" s="290"/>
      <c r="I2" s="290"/>
      <c r="J2" s="290"/>
      <c r="K2" s="290"/>
      <c r="L2" s="290"/>
    </row>
    <row r="3" spans="1:12">
      <c r="B3" s="290"/>
      <c r="C3" s="290"/>
      <c r="D3" s="290"/>
      <c r="E3" s="290"/>
      <c r="F3" s="290"/>
      <c r="G3" s="290"/>
      <c r="H3" s="290"/>
      <c r="I3" s="290"/>
      <c r="J3" s="290"/>
      <c r="K3" s="290"/>
      <c r="L3" s="290"/>
    </row>
    <row r="4" spans="1:12">
      <c r="B4" s="290"/>
      <c r="C4" s="290"/>
      <c r="D4" s="290"/>
      <c r="E4" s="290"/>
      <c r="F4" s="290"/>
      <c r="G4" s="290"/>
      <c r="H4" s="290"/>
      <c r="I4" s="290"/>
      <c r="J4" s="290"/>
      <c r="K4" s="290"/>
      <c r="L4" s="290"/>
    </row>
    <row r="5" spans="1:12">
      <c r="B5" s="290"/>
      <c r="C5" s="290"/>
      <c r="D5" s="290"/>
      <c r="E5" s="290"/>
      <c r="F5" s="290"/>
      <c r="G5" s="290"/>
      <c r="H5" s="290"/>
      <c r="I5" s="290"/>
      <c r="J5" s="290"/>
      <c r="K5" s="290"/>
      <c r="L5" s="290"/>
    </row>
    <row r="6" spans="1:12">
      <c r="B6" s="290"/>
      <c r="C6" s="290"/>
      <c r="D6" s="290"/>
      <c r="E6" s="290"/>
      <c r="F6" s="290"/>
      <c r="G6" s="290"/>
      <c r="H6" s="290"/>
      <c r="I6" s="290"/>
      <c r="J6" s="290"/>
      <c r="K6" s="290"/>
      <c r="L6" s="290"/>
    </row>
    <row r="7" spans="1:12">
      <c r="B7" s="290"/>
      <c r="C7" s="290"/>
      <c r="D7" s="290"/>
      <c r="E7" s="290"/>
      <c r="F7" s="290"/>
      <c r="G7" s="290"/>
      <c r="H7" s="290"/>
      <c r="I7" s="290"/>
      <c r="J7" s="290"/>
      <c r="K7" s="290"/>
      <c r="L7" s="290"/>
    </row>
    <row r="8" spans="1:12" ht="19.5" customHeight="1" thickBot="1">
      <c r="B8" s="1736" t="s">
        <v>184</v>
      </c>
      <c r="C8" s="1736"/>
      <c r="D8" s="1736"/>
      <c r="E8" s="1736"/>
      <c r="F8" s="1736"/>
      <c r="G8" s="1736"/>
      <c r="H8" s="1736"/>
      <c r="I8" s="1736"/>
      <c r="J8" s="1736"/>
      <c r="K8" s="1736"/>
      <c r="L8" s="1736"/>
    </row>
    <row r="9" spans="1:12" ht="13.5" thickTop="1">
      <c r="B9" s="290"/>
      <c r="C9" s="290"/>
      <c r="D9" s="290"/>
      <c r="E9" s="290"/>
      <c r="F9" s="290"/>
      <c r="G9" s="290"/>
      <c r="H9" s="290"/>
      <c r="I9" s="290"/>
      <c r="J9" s="290"/>
      <c r="K9" s="290"/>
      <c r="L9" s="290"/>
    </row>
    <row r="10" spans="1:12">
      <c r="A10" s="337" t="str">
        <f t="shared" ref="A10:A26" si="0">IF(NoSupports&gt;2,"","*")</f>
        <v>*</v>
      </c>
      <c r="B10" s="290"/>
      <c r="C10" s="677" t="s">
        <v>741</v>
      </c>
      <c r="D10" s="290"/>
      <c r="E10" s="290"/>
      <c r="F10" s="290"/>
      <c r="G10" s="290"/>
      <c r="H10" s="290"/>
      <c r="I10" s="290"/>
      <c r="J10" s="290"/>
      <c r="K10" s="290"/>
      <c r="L10" s="290"/>
    </row>
    <row r="11" spans="1:12">
      <c r="A11" s="337" t="str">
        <f t="shared" si="0"/>
        <v>*</v>
      </c>
      <c r="B11" s="290"/>
      <c r="C11" s="290"/>
      <c r="D11" s="290" t="s">
        <v>745</v>
      </c>
      <c r="E11" s="290"/>
      <c r="F11" s="290"/>
      <c r="G11" s="290"/>
      <c r="H11" s="290"/>
      <c r="I11" s="290"/>
      <c r="J11" s="290"/>
      <c r="K11" s="290"/>
      <c r="L11" s="290"/>
    </row>
    <row r="12" spans="1:12">
      <c r="A12" s="337" t="str">
        <f t="shared" si="0"/>
        <v>*</v>
      </c>
      <c r="B12" s="290"/>
      <c r="C12" s="290"/>
      <c r="D12" s="290"/>
      <c r="E12" s="290"/>
      <c r="F12" s="100" t="s">
        <v>743</v>
      </c>
      <c r="G12" s="712">
        <f>BkSpanDW</f>
        <v>7.5</v>
      </c>
      <c r="H12" s="290" t="s">
        <v>341</v>
      </c>
      <c r="I12" s="290"/>
      <c r="J12" s="290"/>
      <c r="K12" s="290"/>
      <c r="L12" s="290"/>
    </row>
    <row r="13" spans="1:12">
      <c r="A13" s="337" t="str">
        <f t="shared" si="0"/>
        <v>*</v>
      </c>
      <c r="B13" s="290"/>
      <c r="C13" s="290"/>
      <c r="D13" s="290"/>
      <c r="E13" s="290"/>
      <c r="F13" s="100" t="s">
        <v>742</v>
      </c>
      <c r="G13" s="712">
        <f>BkSpanDC</f>
        <v>527.47625000000005</v>
      </c>
      <c r="H13" s="290" t="s">
        <v>341</v>
      </c>
      <c r="I13" s="290"/>
      <c r="J13" s="290"/>
      <c r="K13" s="290"/>
      <c r="L13" s="290"/>
    </row>
    <row r="14" spans="1:12">
      <c r="A14" s="337" t="str">
        <f t="shared" si="0"/>
        <v>*</v>
      </c>
      <c r="B14" s="290"/>
      <c r="C14" s="290"/>
      <c r="D14" s="290" t="s">
        <v>746</v>
      </c>
      <c r="E14" s="290"/>
      <c r="F14" s="290"/>
      <c r="G14" s="290"/>
      <c r="H14" s="290"/>
      <c r="I14" s="290"/>
      <c r="J14" s="290"/>
      <c r="K14" s="290"/>
      <c r="L14" s="290"/>
    </row>
    <row r="15" spans="1:12">
      <c r="A15" s="337" t="str">
        <f t="shared" si="0"/>
        <v>*</v>
      </c>
      <c r="B15" s="290"/>
      <c r="C15" s="290"/>
      <c r="D15" s="290"/>
      <c r="E15" s="290"/>
      <c r="F15" s="100" t="s">
        <v>743</v>
      </c>
      <c r="G15" s="712">
        <f>FwdSpanDW</f>
        <v>9</v>
      </c>
      <c r="H15" s="290" t="s">
        <v>341</v>
      </c>
      <c r="I15" s="290"/>
      <c r="J15" s="290"/>
      <c r="K15" s="290"/>
      <c r="L15" s="290"/>
    </row>
    <row r="16" spans="1:12">
      <c r="A16" s="337" t="str">
        <f t="shared" si="0"/>
        <v>*</v>
      </c>
      <c r="B16" s="290"/>
      <c r="C16" s="290"/>
      <c r="D16" s="290"/>
      <c r="E16" s="290"/>
      <c r="F16" s="100" t="s">
        <v>742</v>
      </c>
      <c r="G16" s="712">
        <f>FwdSpanDC</f>
        <v>622.39249999999993</v>
      </c>
      <c r="H16" s="290" t="s">
        <v>341</v>
      </c>
      <c r="I16" s="290"/>
      <c r="J16" s="290"/>
      <c r="K16" s="290"/>
      <c r="L16" s="290"/>
    </row>
    <row r="17" spans="1:12">
      <c r="A17" s="337" t="str">
        <f t="shared" si="0"/>
        <v>*</v>
      </c>
      <c r="B17" s="290"/>
      <c r="C17" s="290"/>
      <c r="D17" s="290" t="s">
        <v>747</v>
      </c>
      <c r="E17" s="290"/>
      <c r="F17" s="290"/>
      <c r="G17" s="290"/>
      <c r="H17" s="290"/>
      <c r="I17" s="290"/>
      <c r="J17" s="290"/>
      <c r="K17" s="290"/>
      <c r="L17" s="290"/>
    </row>
    <row r="18" spans="1:12">
      <c r="A18" s="337" t="str">
        <f t="shared" si="0"/>
        <v>*</v>
      </c>
      <c r="B18" s="290"/>
      <c r="C18" s="290"/>
      <c r="D18" s="290"/>
      <c r="E18" s="290"/>
      <c r="F18" s="100" t="str">
        <f>'Conc DL'!F107</f>
        <v>Cap Self Weight =</v>
      </c>
      <c r="G18" s="712">
        <f>CapWeight</f>
        <v>162</v>
      </c>
      <c r="H18" s="290" t="s">
        <v>341</v>
      </c>
      <c r="I18" s="290"/>
      <c r="J18" s="290"/>
      <c r="K18" s="290"/>
      <c r="L18" s="290"/>
    </row>
    <row r="19" spans="1:12">
      <c r="A19" s="337" t="str">
        <f t="shared" si="0"/>
        <v>*</v>
      </c>
      <c r="B19" s="290"/>
      <c r="C19" s="290"/>
      <c r="D19" s="290"/>
      <c r="E19" s="290"/>
      <c r="F19" s="100" t="str">
        <f>'Conc DL'!F108</f>
        <v>Capital Weight =</v>
      </c>
      <c r="G19" s="712">
        <f>'Conc DL'!G108*G31</f>
        <v>0</v>
      </c>
      <c r="H19" s="290" t="s">
        <v>341</v>
      </c>
      <c r="I19" s="290"/>
      <c r="J19" s="290"/>
      <c r="K19" s="290"/>
      <c r="L19" s="290"/>
    </row>
    <row r="20" spans="1:12">
      <c r="A20" s="337" t="str">
        <f t="shared" si="0"/>
        <v>*</v>
      </c>
      <c r="B20" s="290"/>
      <c r="C20" s="290"/>
      <c r="D20" s="290"/>
      <c r="E20" s="290"/>
      <c r="F20" s="781" t="s">
        <v>751</v>
      </c>
      <c r="G20" s="782">
        <f>'Conc DL'!G117</f>
        <v>9.6000000000000014</v>
      </c>
      <c r="H20" s="698" t="s">
        <v>341</v>
      </c>
      <c r="I20" s="290"/>
      <c r="J20" s="290"/>
      <c r="K20" s="290"/>
      <c r="L20" s="290"/>
    </row>
    <row r="21" spans="1:12">
      <c r="A21" s="337" t="str">
        <f t="shared" si="0"/>
        <v>*</v>
      </c>
      <c r="B21" s="290"/>
      <c r="C21" s="42"/>
      <c r="D21" s="290"/>
      <c r="E21" s="290"/>
      <c r="F21" s="100" t="s">
        <v>749</v>
      </c>
      <c r="G21" s="712">
        <f>G12+G13+G15+G16+G18+G19+G20</f>
        <v>1337.96875</v>
      </c>
      <c r="H21" s="290" t="s">
        <v>341</v>
      </c>
      <c r="I21" s="290"/>
      <c r="J21" s="290"/>
      <c r="K21" s="290"/>
      <c r="L21" s="290"/>
    </row>
    <row r="22" spans="1:12">
      <c r="A22" s="337" t="str">
        <f t="shared" si="0"/>
        <v>*</v>
      </c>
      <c r="B22" s="290"/>
      <c r="C22" s="677" t="s">
        <v>750</v>
      </c>
      <c r="D22" s="290"/>
      <c r="E22" s="290"/>
      <c r="F22" s="290"/>
      <c r="G22" s="290"/>
      <c r="H22" s="290"/>
      <c r="I22" s="290"/>
      <c r="J22" s="290"/>
      <c r="K22" s="290"/>
      <c r="L22" s="290"/>
    </row>
    <row r="23" spans="1:12">
      <c r="A23" s="337" t="str">
        <f t="shared" si="0"/>
        <v>*</v>
      </c>
      <c r="B23" s="290"/>
      <c r="C23" s="290"/>
      <c r="D23" s="290"/>
      <c r="E23" s="290"/>
      <c r="F23" s="100" t="s">
        <v>752</v>
      </c>
      <c r="G23" s="712">
        <f>'Live Load'!F29-'Live Load'!F28</f>
        <v>137.54666666666665</v>
      </c>
      <c r="H23" s="290" t="s">
        <v>876</v>
      </c>
      <c r="I23" s="290"/>
      <c r="J23" s="290"/>
      <c r="K23" s="290"/>
      <c r="L23" s="290"/>
    </row>
    <row r="24" spans="1:12">
      <c r="A24" s="337" t="str">
        <f t="shared" si="0"/>
        <v>*</v>
      </c>
      <c r="B24" s="290"/>
      <c r="C24" s="290"/>
      <c r="D24" s="290"/>
      <c r="E24" s="42"/>
      <c r="F24" s="734" t="s">
        <v>753</v>
      </c>
      <c r="G24" s="783">
        <f>NumLanes</f>
        <v>4</v>
      </c>
      <c r="H24" s="42"/>
      <c r="I24" s="290"/>
      <c r="J24" s="290"/>
      <c r="K24" s="290"/>
      <c r="L24" s="290"/>
    </row>
    <row r="25" spans="1:12">
      <c r="A25" s="337" t="str">
        <f t="shared" si="0"/>
        <v>*</v>
      </c>
      <c r="B25" s="290"/>
      <c r="C25" s="290"/>
      <c r="D25" s="290"/>
      <c r="E25" s="698"/>
      <c r="F25" s="781" t="s">
        <v>613</v>
      </c>
      <c r="G25" s="970">
        <f>IF(G24=1,1.2,IF(G24=2,1,IF(G24=3,0.85,0.65)))</f>
        <v>0.65</v>
      </c>
      <c r="H25" s="698"/>
      <c r="I25" s="290"/>
      <c r="J25" s="290"/>
      <c r="K25" s="290"/>
      <c r="L25" s="290"/>
    </row>
    <row r="26" spans="1:12">
      <c r="A26" s="337" t="str">
        <f t="shared" si="0"/>
        <v>*</v>
      </c>
      <c r="B26" s="290"/>
      <c r="C26" s="290"/>
      <c r="D26" s="290"/>
      <c r="E26" s="290"/>
      <c r="F26" s="100" t="s">
        <v>754</v>
      </c>
      <c r="G26" s="712">
        <f>G23*G24*G25</f>
        <v>357.62133333333333</v>
      </c>
      <c r="H26" s="290" t="s">
        <v>341</v>
      </c>
      <c r="I26" s="290"/>
      <c r="J26" s="290"/>
      <c r="K26" s="290"/>
      <c r="L26" s="290"/>
    </row>
    <row r="27" spans="1:12">
      <c r="A27" s="337" t="str">
        <f t="shared" ref="A27:A35" si="1">IF(NoSupports&gt;2,"","*")</f>
        <v>*</v>
      </c>
      <c r="B27" s="290"/>
      <c r="C27" s="290"/>
      <c r="D27" s="290"/>
      <c r="E27" s="290"/>
      <c r="F27" s="290"/>
      <c r="G27" s="290"/>
      <c r="H27" s="290"/>
      <c r="I27" s="290"/>
      <c r="J27" s="290"/>
      <c r="K27" s="290"/>
      <c r="L27" s="290"/>
    </row>
    <row r="28" spans="1:12">
      <c r="A28" s="337" t="str">
        <f t="shared" si="1"/>
        <v>*</v>
      </c>
      <c r="B28" s="290"/>
      <c r="C28" s="677" t="s">
        <v>755</v>
      </c>
      <c r="D28" s="290"/>
      <c r="E28" s="290"/>
      <c r="F28" s="100" t="s">
        <v>756</v>
      </c>
      <c r="G28" s="712">
        <f>G21+G26</f>
        <v>1695.5900833333333</v>
      </c>
      <c r="H28" s="290" t="s">
        <v>341</v>
      </c>
      <c r="I28" s="290"/>
      <c r="J28" s="290"/>
      <c r="K28" s="290"/>
      <c r="L28" s="290"/>
    </row>
    <row r="29" spans="1:12">
      <c r="A29" s="337" t="str">
        <f t="shared" si="1"/>
        <v>*</v>
      </c>
      <c r="B29" s="290"/>
      <c r="C29" s="290"/>
      <c r="D29" s="290"/>
      <c r="E29" s="290"/>
      <c r="F29" s="100"/>
      <c r="G29" s="712"/>
      <c r="H29" s="290"/>
      <c r="I29" s="290"/>
      <c r="J29" s="290"/>
      <c r="K29" s="290"/>
      <c r="L29" s="290"/>
    </row>
    <row r="30" spans="1:12">
      <c r="A30" s="337" t="str">
        <f t="shared" si="1"/>
        <v>*</v>
      </c>
      <c r="B30" s="290"/>
      <c r="C30" s="677" t="s">
        <v>757</v>
      </c>
      <c r="D30" s="290"/>
      <c r="E30" s="290"/>
      <c r="F30" s="290"/>
      <c r="G30" s="290"/>
      <c r="H30" s="290"/>
      <c r="I30" s="290"/>
      <c r="J30" s="290"/>
      <c r="K30" s="290"/>
      <c r="L30" s="290"/>
    </row>
    <row r="31" spans="1:12">
      <c r="A31" s="337" t="str">
        <f t="shared" si="1"/>
        <v>*</v>
      </c>
      <c r="B31" s="290"/>
      <c r="C31" s="290"/>
      <c r="D31" s="290"/>
      <c r="E31" s="290"/>
      <c r="F31" s="100" t="s">
        <v>643</v>
      </c>
      <c r="G31" s="290">
        <f>NoSupports</f>
        <v>1</v>
      </c>
      <c r="H31" s="290"/>
      <c r="I31" s="290"/>
      <c r="J31" s="290"/>
      <c r="K31" s="290"/>
      <c r="L31" s="290"/>
    </row>
    <row r="32" spans="1:12">
      <c r="A32" s="337" t="str">
        <f t="shared" si="1"/>
        <v>*</v>
      </c>
      <c r="B32" s="290"/>
      <c r="C32" s="290"/>
      <c r="D32" s="290"/>
      <c r="E32" s="290"/>
      <c r="F32" s="100" t="s">
        <v>645</v>
      </c>
      <c r="G32" s="784">
        <f>G28/G31</f>
        <v>1695.5900833333333</v>
      </c>
      <c r="H32" s="290" t="s">
        <v>644</v>
      </c>
      <c r="I32" s="290"/>
      <c r="J32" s="290"/>
      <c r="K32" s="290"/>
      <c r="L32" s="290"/>
    </row>
    <row r="33" spans="1:12">
      <c r="A33" s="337" t="str">
        <f t="shared" si="1"/>
        <v>*</v>
      </c>
      <c r="B33" s="290"/>
      <c r="C33" s="290"/>
      <c r="D33" s="290"/>
      <c r="E33" s="290"/>
      <c r="F33" s="100" t="str">
        <f>'Conc DL'!F109</f>
        <v>Column Weight =</v>
      </c>
      <c r="G33" s="712">
        <f>'Conc DL'!G109</f>
        <v>72</v>
      </c>
      <c r="H33" s="290" t="s">
        <v>341</v>
      </c>
      <c r="I33" s="290"/>
      <c r="J33" s="290"/>
      <c r="K33" s="290"/>
      <c r="L33" s="290"/>
    </row>
    <row r="34" spans="1:12">
      <c r="A34" s="337" t="str">
        <f t="shared" si="1"/>
        <v>*</v>
      </c>
      <c r="B34" s="290"/>
      <c r="C34" s="290"/>
      <c r="D34" s="290"/>
      <c r="E34" s="290"/>
      <c r="F34" s="100" t="s">
        <v>646</v>
      </c>
      <c r="G34" s="784">
        <f>G32+G33</f>
        <v>1767.5900833333333</v>
      </c>
      <c r="H34" s="290" t="s">
        <v>647</v>
      </c>
      <c r="I34" s="290"/>
      <c r="J34" s="290"/>
      <c r="K34" s="290"/>
      <c r="L34" s="290"/>
    </row>
    <row r="35" spans="1:12">
      <c r="A35" s="337" t="str">
        <f t="shared" si="1"/>
        <v>*</v>
      </c>
      <c r="B35" s="290"/>
      <c r="C35" s="290"/>
      <c r="D35" s="290"/>
      <c r="E35" s="290"/>
      <c r="F35" s="100" t="s">
        <v>756</v>
      </c>
      <c r="G35" s="784">
        <f>G34/2</f>
        <v>883.79504166666663</v>
      </c>
      <c r="H35" s="290" t="s">
        <v>758</v>
      </c>
      <c r="I35" s="290"/>
      <c r="J35" s="290"/>
      <c r="K35" s="290"/>
      <c r="L35" s="290"/>
    </row>
    <row r="36" spans="1:12" ht="18" customHeight="1">
      <c r="B36" s="290"/>
      <c r="C36" s="677" t="s">
        <v>604</v>
      </c>
      <c r="D36" s="290"/>
      <c r="E36" s="290"/>
      <c r="F36" s="290"/>
      <c r="G36" s="290"/>
      <c r="H36" s="290"/>
      <c r="I36" s="290"/>
      <c r="J36" s="290"/>
      <c r="K36" s="290"/>
      <c r="L36" s="290"/>
    </row>
    <row r="37" spans="1:12">
      <c r="B37" s="290"/>
      <c r="C37" s="290"/>
      <c r="D37" s="279" t="s">
        <v>603</v>
      </c>
      <c r="E37" s="290"/>
      <c r="F37" s="1735" t="s">
        <v>602</v>
      </c>
      <c r="G37" s="1735"/>
      <c r="H37" s="1735"/>
      <c r="I37" s="1735"/>
      <c r="J37" s="290"/>
      <c r="K37" s="290"/>
      <c r="L37" s="290"/>
    </row>
    <row r="38" spans="1:12">
      <c r="B38" s="290"/>
      <c r="C38" s="290"/>
      <c r="D38" s="683">
        <v>1</v>
      </c>
      <c r="E38" s="290"/>
      <c r="F38" s="712" t="str">
        <f>IF(D38="","",'CAP18 Out(2)'!I13)</f>
        <v/>
      </c>
      <c r="G38" s="290" t="str">
        <f>IF(D38="","","k        =")</f>
        <v>k        =</v>
      </c>
      <c r="H38" s="784" t="e">
        <f>IF(D38="","",F38/2)</f>
        <v>#VALUE!</v>
      </c>
      <c r="I38" s="290" t="str">
        <f>IF(D38="","","tons at top of column")</f>
        <v>tons at top of column</v>
      </c>
      <c r="J38" s="290"/>
      <c r="K38" s="290"/>
      <c r="L38" s="290"/>
    </row>
    <row r="39" spans="1:12">
      <c r="B39" s="290"/>
      <c r="C39" s="290"/>
      <c r="D39" s="683" t="str">
        <f t="shared" ref="D39:D47" si="2">IF(D38="","",IF(D38+1&lt;=NoSupports,D38+1,""))</f>
        <v/>
      </c>
      <c r="E39" s="290"/>
      <c r="F39" s="712" t="str">
        <f>IF(D39="","",'CAP18 Out(2)'!I14)</f>
        <v/>
      </c>
      <c r="G39" s="290" t="str">
        <f t="shared" ref="G39:G47" si="3">IF(D39="","","k        =")</f>
        <v/>
      </c>
      <c r="H39" s="784" t="str">
        <f t="shared" ref="H39:H47" si="4">IF(D39="","",F39/2)</f>
        <v/>
      </c>
      <c r="I39" s="290" t="str">
        <f t="shared" ref="I39:I47" si="5">IF(D39="","","tons at top of column")</f>
        <v/>
      </c>
      <c r="J39" s="290"/>
      <c r="K39" s="290"/>
      <c r="L39" s="290"/>
    </row>
    <row r="40" spans="1:12">
      <c r="B40" s="290"/>
      <c r="C40" s="290"/>
      <c r="D40" s="1384" t="str">
        <f t="shared" si="2"/>
        <v/>
      </c>
      <c r="E40" s="290"/>
      <c r="F40" s="712" t="str">
        <f>IF(D40="","",'CAP18 Out(2)'!I15)</f>
        <v/>
      </c>
      <c r="G40" s="290" t="str">
        <f t="shared" si="3"/>
        <v/>
      </c>
      <c r="H40" s="784" t="str">
        <f t="shared" si="4"/>
        <v/>
      </c>
      <c r="I40" s="290" t="str">
        <f t="shared" si="5"/>
        <v/>
      </c>
      <c r="J40" s="290"/>
      <c r="K40" s="290"/>
      <c r="L40" s="290"/>
    </row>
    <row r="41" spans="1:12">
      <c r="B41" s="290"/>
      <c r="C41" s="290"/>
      <c r="D41" s="1384" t="str">
        <f t="shared" si="2"/>
        <v/>
      </c>
      <c r="E41" s="290"/>
      <c r="F41" s="712" t="str">
        <f>IF(D41="","",'CAP18 Out(2)'!I16)</f>
        <v/>
      </c>
      <c r="G41" s="290" t="str">
        <f t="shared" si="3"/>
        <v/>
      </c>
      <c r="H41" s="784" t="str">
        <f t="shared" si="4"/>
        <v/>
      </c>
      <c r="I41" s="290" t="str">
        <f t="shared" si="5"/>
        <v/>
      </c>
      <c r="J41" s="290"/>
      <c r="K41" s="290"/>
      <c r="L41" s="290"/>
    </row>
    <row r="42" spans="1:12">
      <c r="B42" s="290"/>
      <c r="C42" s="290"/>
      <c r="D42" s="1384" t="str">
        <f t="shared" si="2"/>
        <v/>
      </c>
      <c r="E42" s="290"/>
      <c r="F42" s="712" t="str">
        <f>IF(D42="","",'CAP18 Out(2)'!I17)</f>
        <v/>
      </c>
      <c r="G42" s="290" t="str">
        <f t="shared" si="3"/>
        <v/>
      </c>
      <c r="H42" s="784" t="str">
        <f t="shared" si="4"/>
        <v/>
      </c>
      <c r="I42" s="290" t="str">
        <f t="shared" si="5"/>
        <v/>
      </c>
      <c r="J42" s="290"/>
      <c r="K42" s="290"/>
      <c r="L42" s="290"/>
    </row>
    <row r="43" spans="1:12">
      <c r="B43" s="290"/>
      <c r="C43" s="290"/>
      <c r="D43" s="1384" t="str">
        <f t="shared" si="2"/>
        <v/>
      </c>
      <c r="E43" s="290"/>
      <c r="F43" s="712" t="str">
        <f>IF(D43="","",'CAP18 Out(2)'!I18)</f>
        <v/>
      </c>
      <c r="G43" s="290" t="str">
        <f t="shared" si="3"/>
        <v/>
      </c>
      <c r="H43" s="784" t="str">
        <f t="shared" si="4"/>
        <v/>
      </c>
      <c r="I43" s="290" t="str">
        <f t="shared" si="5"/>
        <v/>
      </c>
      <c r="J43" s="290"/>
      <c r="K43" s="290"/>
      <c r="L43" s="290"/>
    </row>
    <row r="44" spans="1:12">
      <c r="B44" s="290"/>
      <c r="C44" s="290"/>
      <c r="D44" s="1384" t="str">
        <f t="shared" si="2"/>
        <v/>
      </c>
      <c r="E44" s="290"/>
      <c r="F44" s="712" t="str">
        <f>IF(D44="","",'CAP18 Out(2)'!I19)</f>
        <v/>
      </c>
      <c r="G44" s="290" t="str">
        <f t="shared" si="3"/>
        <v/>
      </c>
      <c r="H44" s="784" t="str">
        <f t="shared" si="4"/>
        <v/>
      </c>
      <c r="I44" s="290" t="str">
        <f t="shared" si="5"/>
        <v/>
      </c>
      <c r="J44" s="290"/>
      <c r="K44" s="290"/>
      <c r="L44" s="290"/>
    </row>
    <row r="45" spans="1:12">
      <c r="B45" s="290"/>
      <c r="C45" s="290"/>
      <c r="D45" s="1384" t="str">
        <f t="shared" si="2"/>
        <v/>
      </c>
      <c r="E45" s="290"/>
      <c r="F45" s="712" t="str">
        <f>IF(D45="","",'CAP18 Out(2)'!I20)</f>
        <v/>
      </c>
      <c r="G45" s="290" t="str">
        <f t="shared" si="3"/>
        <v/>
      </c>
      <c r="H45" s="784" t="str">
        <f t="shared" si="4"/>
        <v/>
      </c>
      <c r="I45" s="290" t="str">
        <f t="shared" si="5"/>
        <v/>
      </c>
      <c r="J45" s="290"/>
      <c r="K45" s="290"/>
      <c r="L45" s="290"/>
    </row>
    <row r="46" spans="1:12">
      <c r="B46" s="290"/>
      <c r="C46" s="290"/>
      <c r="D46" s="1384" t="str">
        <f t="shared" si="2"/>
        <v/>
      </c>
      <c r="E46" s="290"/>
      <c r="F46" s="712" t="str">
        <f>IF(D46="","",'CAP18 Out(2)'!I21)</f>
        <v/>
      </c>
      <c r="G46" s="290" t="str">
        <f t="shared" si="3"/>
        <v/>
      </c>
      <c r="H46" s="784" t="str">
        <f t="shared" si="4"/>
        <v/>
      </c>
      <c r="I46" s="290" t="str">
        <f t="shared" si="5"/>
        <v/>
      </c>
      <c r="J46" s="290"/>
      <c r="K46" s="290"/>
      <c r="L46" s="290"/>
    </row>
    <row r="47" spans="1:12">
      <c r="B47" s="290"/>
      <c r="C47" s="290"/>
      <c r="D47" s="1384" t="str">
        <f t="shared" si="2"/>
        <v/>
      </c>
      <c r="E47" s="290"/>
      <c r="F47" s="712" t="str">
        <f>IF(D47="","",'CAP18 Out(2)'!I22)</f>
        <v/>
      </c>
      <c r="G47" s="290" t="str">
        <f t="shared" si="3"/>
        <v/>
      </c>
      <c r="H47" s="784" t="str">
        <f t="shared" si="4"/>
        <v/>
      </c>
      <c r="I47" s="290" t="str">
        <f t="shared" si="5"/>
        <v/>
      </c>
      <c r="J47" s="290"/>
      <c r="K47" s="290"/>
      <c r="L47" s="290"/>
    </row>
    <row r="48" spans="1:12">
      <c r="A48" s="785" t="s">
        <v>670</v>
      </c>
      <c r="D48" s="339"/>
    </row>
    <row r="49" spans="4:4">
      <c r="D49" s="339"/>
    </row>
    <row r="50" spans="4:4">
      <c r="D50" s="339"/>
    </row>
    <row r="51" spans="4:4">
      <c r="D51" s="339"/>
    </row>
    <row r="52" spans="4:4">
      <c r="D52" s="339"/>
    </row>
    <row r="53" spans="4:4">
      <c r="D53" s="339"/>
    </row>
  </sheetData>
  <mergeCells count="2">
    <mergeCell ref="F37:I37"/>
    <mergeCell ref="B8:L8"/>
  </mergeCells>
  <phoneticPr fontId="49"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Ref">
    <tabColor indexed="41"/>
    <pageSetUpPr fitToPage="1"/>
  </sheetPr>
  <dimension ref="A2:AL58"/>
  <sheetViews>
    <sheetView topLeftCell="B22" workbookViewId="0">
      <selection activeCell="M44" sqref="M44"/>
    </sheetView>
  </sheetViews>
  <sheetFormatPr defaultRowHeight="12.75"/>
  <cols>
    <col min="1" max="1" width="22" customWidth="1"/>
    <col min="13" max="13" width="12.5703125" customWidth="1"/>
    <col min="14" max="14" width="12.28515625" customWidth="1"/>
    <col min="15" max="15" width="13" customWidth="1"/>
    <col min="16" max="16" width="17.28515625" customWidth="1"/>
    <col min="17" max="17" width="16.5703125" customWidth="1"/>
    <col min="18" max="18" width="10.140625" customWidth="1"/>
    <col min="19" max="19" width="12.85546875" customWidth="1"/>
    <col min="20" max="20" width="11" customWidth="1"/>
    <col min="21" max="21" width="10.140625" customWidth="1"/>
    <col min="22" max="22" width="12" customWidth="1"/>
  </cols>
  <sheetData>
    <row r="2" spans="1:30" ht="13.5" thickBot="1"/>
    <row r="3" spans="1:30" ht="14.25" thickTop="1" thickBot="1">
      <c r="R3" s="1744" t="s">
        <v>586</v>
      </c>
      <c r="S3" s="1745"/>
      <c r="T3" s="1745"/>
      <c r="U3" s="1745"/>
      <c r="V3" s="1745"/>
      <c r="W3" s="1745"/>
      <c r="X3" s="1745"/>
      <c r="Y3" s="1745"/>
      <c r="Z3" s="1745"/>
      <c r="AA3" s="1745"/>
      <c r="AB3" s="1746"/>
    </row>
    <row r="4" spans="1:30" ht="18.75" thickBot="1">
      <c r="B4" s="1741" t="s">
        <v>162</v>
      </c>
      <c r="C4" s="1613"/>
      <c r="D4" s="1613"/>
      <c r="E4" s="1742"/>
      <c r="F4" s="43"/>
      <c r="G4" s="1166"/>
      <c r="H4" s="1741" t="s">
        <v>198</v>
      </c>
      <c r="I4" s="1613"/>
      <c r="J4" s="1613"/>
      <c r="K4" s="1742"/>
      <c r="M4" s="1747" t="s">
        <v>495</v>
      </c>
      <c r="N4" s="1748"/>
      <c r="O4" s="1748"/>
      <c r="P4" s="1749"/>
      <c r="R4" s="156"/>
      <c r="S4" s="18"/>
      <c r="T4" s="18"/>
      <c r="U4" s="18"/>
      <c r="V4" s="143" t="s">
        <v>1593</v>
      </c>
      <c r="W4" s="18"/>
      <c r="X4" s="18"/>
      <c r="Y4" s="18"/>
      <c r="Z4" s="18"/>
      <c r="AA4" s="18"/>
      <c r="AB4" s="157"/>
    </row>
    <row r="5" spans="1:30" ht="13.5" thickBot="1">
      <c r="B5" s="19" t="s">
        <v>163</v>
      </c>
      <c r="C5" s="18" t="s">
        <v>168</v>
      </c>
      <c r="D5" s="18" t="s">
        <v>223</v>
      </c>
      <c r="E5" s="42" t="s">
        <v>1068</v>
      </c>
      <c r="F5" s="173" t="s">
        <v>1332</v>
      </c>
      <c r="G5" s="173" t="s">
        <v>1333</v>
      </c>
      <c r="H5" s="19" t="s">
        <v>163</v>
      </c>
      <c r="I5" s="18" t="s">
        <v>225</v>
      </c>
      <c r="J5" s="18" t="s">
        <v>224</v>
      </c>
      <c r="K5" s="20" t="s">
        <v>223</v>
      </c>
      <c r="M5" s="79" t="s">
        <v>488</v>
      </c>
      <c r="N5" s="80" t="s">
        <v>489</v>
      </c>
      <c r="O5" s="80" t="s">
        <v>490</v>
      </c>
      <c r="P5" s="81" t="s">
        <v>491</v>
      </c>
      <c r="R5" s="156"/>
      <c r="S5" s="18"/>
      <c r="T5" s="144"/>
      <c r="U5" s="138"/>
      <c r="V5" s="138"/>
      <c r="W5" s="138"/>
      <c r="X5" s="145" t="s">
        <v>584</v>
      </c>
      <c r="Y5" s="138"/>
      <c r="Z5" s="138"/>
      <c r="AA5" s="138"/>
      <c r="AB5" s="158"/>
    </row>
    <row r="6" spans="1:30" ht="13.5" thickBot="1">
      <c r="B6" s="1052" t="s">
        <v>164</v>
      </c>
      <c r="C6" s="18">
        <v>28</v>
      </c>
      <c r="D6" s="18">
        <v>287</v>
      </c>
      <c r="E6" s="15">
        <v>2</v>
      </c>
      <c r="F6" s="15">
        <v>16</v>
      </c>
      <c r="G6" s="15">
        <f>IF(CapType="Inverted-Tee",3,2)</f>
        <v>2</v>
      </c>
      <c r="H6" s="1052" t="s">
        <v>261</v>
      </c>
      <c r="I6" s="18">
        <v>0</v>
      </c>
      <c r="J6" s="18">
        <v>0</v>
      </c>
      <c r="K6" s="20">
        <v>0</v>
      </c>
      <c r="M6" s="82" t="s">
        <v>492</v>
      </c>
      <c r="N6" s="83">
        <v>0.5</v>
      </c>
      <c r="O6" s="974">
        <v>0.19600000000000001</v>
      </c>
      <c r="P6" s="1382">
        <f t="shared" ref="P6:P13" si="0">ROUND(MAX(12,2.4*N6*fy/SQRT(fc))*$P$15,2)</f>
        <v>17.079999999999998</v>
      </c>
      <c r="Q6" s="22"/>
      <c r="R6" s="156"/>
      <c r="S6" s="18"/>
      <c r="T6" s="146">
        <v>0</v>
      </c>
      <c r="U6" s="147">
        <v>7.4999999999999997E-2</v>
      </c>
      <c r="V6" s="147">
        <v>0.1</v>
      </c>
      <c r="W6" s="147">
        <v>0.125</v>
      </c>
      <c r="X6" s="147">
        <v>0.15</v>
      </c>
      <c r="Y6" s="148">
        <v>0.17499999999999999</v>
      </c>
      <c r="Z6" s="147">
        <v>0.2</v>
      </c>
      <c r="AA6" s="147">
        <v>0.22500000000000001</v>
      </c>
      <c r="AB6" s="159">
        <v>0.25</v>
      </c>
      <c r="AD6" s="149">
        <v>0.01</v>
      </c>
    </row>
    <row r="7" spans="1:30" ht="13.5" thickBot="1">
      <c r="B7" s="1052" t="s">
        <v>165</v>
      </c>
      <c r="C7" s="18">
        <v>34</v>
      </c>
      <c r="D7" s="18">
        <v>375</v>
      </c>
      <c r="E7" s="15">
        <v>2</v>
      </c>
      <c r="F7" s="15">
        <v>18</v>
      </c>
      <c r="G7" s="15">
        <f>IF(CapType="Inverted-Tee",3,2)</f>
        <v>2</v>
      </c>
      <c r="H7" s="1052" t="s">
        <v>1463</v>
      </c>
      <c r="I7" s="18">
        <v>2</v>
      </c>
      <c r="J7" s="18">
        <v>42</v>
      </c>
      <c r="K7" s="20">
        <v>717</v>
      </c>
      <c r="M7" s="82" t="s">
        <v>227</v>
      </c>
      <c r="N7" s="83">
        <v>0.625</v>
      </c>
      <c r="O7" s="83">
        <v>0.307</v>
      </c>
      <c r="P7" s="1382">
        <f t="shared" si="0"/>
        <v>21.35</v>
      </c>
      <c r="Q7" s="22"/>
      <c r="R7" s="160"/>
      <c r="S7" s="149">
        <v>-2E-3</v>
      </c>
      <c r="T7" s="144">
        <f>U7</f>
        <v>22.3</v>
      </c>
      <c r="U7" s="138">
        <f>U8</f>
        <v>22.3</v>
      </c>
      <c r="V7" s="138">
        <f t="shared" ref="V7:AB7" si="1">V8</f>
        <v>18.100000000000001</v>
      </c>
      <c r="W7" s="150">
        <f t="shared" si="1"/>
        <v>19.899999999999999</v>
      </c>
      <c r="X7" s="150">
        <f t="shared" si="1"/>
        <v>21.6</v>
      </c>
      <c r="Y7" s="150">
        <f t="shared" si="1"/>
        <v>23.2</v>
      </c>
      <c r="Z7" s="150">
        <f t="shared" si="1"/>
        <v>24.7</v>
      </c>
      <c r="AA7" s="150">
        <f t="shared" si="1"/>
        <v>26.1</v>
      </c>
      <c r="AB7" s="161">
        <f t="shared" si="1"/>
        <v>27.5</v>
      </c>
      <c r="AD7" s="151">
        <v>1E-3</v>
      </c>
    </row>
    <row r="8" spans="1:30">
      <c r="B8" s="1052" t="s">
        <v>166</v>
      </c>
      <c r="C8" s="18">
        <v>40</v>
      </c>
      <c r="D8" s="18">
        <v>516</v>
      </c>
      <c r="E8" s="15">
        <v>2</v>
      </c>
      <c r="F8" s="15">
        <v>22</v>
      </c>
      <c r="G8" s="15">
        <f>IF(CapType="Inverted-Tee",3,2)</f>
        <v>2</v>
      </c>
      <c r="H8" s="1052" t="s">
        <v>1315</v>
      </c>
      <c r="I8" s="18">
        <v>1</v>
      </c>
      <c r="J8" s="18">
        <v>33</v>
      </c>
      <c r="K8" s="20">
        <v>157</v>
      </c>
      <c r="M8" s="82" t="s">
        <v>193</v>
      </c>
      <c r="N8" s="83">
        <v>0.75</v>
      </c>
      <c r="O8" s="83">
        <v>0.442</v>
      </c>
      <c r="P8" s="1382">
        <f t="shared" si="0"/>
        <v>25.61</v>
      </c>
      <c r="Q8" s="22"/>
      <c r="R8" s="156"/>
      <c r="S8" s="151">
        <v>-2.0000000000000001E-4</v>
      </c>
      <c r="T8" s="139">
        <f t="shared" ref="T8:T17" si="2">U8</f>
        <v>22.3</v>
      </c>
      <c r="U8" s="144">
        <v>22.3</v>
      </c>
      <c r="V8" s="138">
        <v>18.100000000000001</v>
      </c>
      <c r="W8" s="150">
        <v>19.899999999999999</v>
      </c>
      <c r="X8" s="150">
        <v>21.6</v>
      </c>
      <c r="Y8" s="150">
        <v>23.2</v>
      </c>
      <c r="Z8" s="150">
        <v>24.7</v>
      </c>
      <c r="AA8" s="150">
        <v>26.1</v>
      </c>
      <c r="AB8" s="161">
        <v>27.5</v>
      </c>
      <c r="AD8" s="151">
        <v>7.5000000000000002E-4</v>
      </c>
    </row>
    <row r="9" spans="1:30">
      <c r="B9" s="1052" t="s">
        <v>167</v>
      </c>
      <c r="C9" s="18">
        <v>54</v>
      </c>
      <c r="D9" s="18">
        <v>821</v>
      </c>
      <c r="E9" s="15">
        <v>2.3330000000000002</v>
      </c>
      <c r="F9" s="15">
        <v>26</v>
      </c>
      <c r="G9" s="15">
        <f>IF(CapType="Inverted-Tee",3,2)</f>
        <v>2</v>
      </c>
      <c r="H9" s="1052" t="s">
        <v>1334</v>
      </c>
      <c r="I9" s="18">
        <v>1</v>
      </c>
      <c r="J9" s="18">
        <v>32</v>
      </c>
      <c r="K9" s="20">
        <v>173</v>
      </c>
      <c r="M9" s="82" t="s">
        <v>493</v>
      </c>
      <c r="N9" s="83">
        <v>0.875</v>
      </c>
      <c r="O9" s="83">
        <v>0.60099999999999998</v>
      </c>
      <c r="P9" s="1382">
        <f t="shared" si="0"/>
        <v>29.88</v>
      </c>
      <c r="Q9" s="22"/>
      <c r="R9" s="156"/>
      <c r="S9" s="151">
        <v>-1E-4</v>
      </c>
      <c r="T9" s="139">
        <f t="shared" si="2"/>
        <v>20.399999999999999</v>
      </c>
      <c r="U9" s="139">
        <v>20.399999999999999</v>
      </c>
      <c r="V9" s="18">
        <v>20.399999999999999</v>
      </c>
      <c r="W9" s="152">
        <v>21.9</v>
      </c>
      <c r="X9" s="152">
        <v>23.3</v>
      </c>
      <c r="Y9" s="152">
        <v>24.7</v>
      </c>
      <c r="Z9" s="152">
        <v>26.1</v>
      </c>
      <c r="AA9" s="152">
        <v>27.3</v>
      </c>
      <c r="AB9" s="162">
        <v>28.6</v>
      </c>
      <c r="AD9" s="151">
        <v>5.0000000000000001E-4</v>
      </c>
    </row>
    <row r="10" spans="1:30">
      <c r="A10" s="1179" t="s">
        <v>1370</v>
      </c>
      <c r="B10" s="1168" t="s">
        <v>1368</v>
      </c>
      <c r="C10" s="42">
        <v>40</v>
      </c>
      <c r="D10" s="42">
        <v>1170</v>
      </c>
      <c r="E10" s="15">
        <f>IF(ABS(BentSkew)&lt;=15,4.5,IF(ABS(BentSkew)&lt;=30,5,IF(ABS(BentSkew)&lt;=45,5.5,"Error - See UBEB")))</f>
        <v>4.5</v>
      </c>
      <c r="F10" s="15">
        <v>55</v>
      </c>
      <c r="G10" s="15">
        <v>3</v>
      </c>
      <c r="H10" s="1052" t="s">
        <v>1521</v>
      </c>
      <c r="I10" s="18">
        <v>1</v>
      </c>
      <c r="J10" s="18">
        <v>36</v>
      </c>
      <c r="K10" s="20">
        <v>192</v>
      </c>
      <c r="M10" s="82" t="s">
        <v>494</v>
      </c>
      <c r="N10" s="83">
        <v>1</v>
      </c>
      <c r="O10" s="83">
        <v>0.78500000000000003</v>
      </c>
      <c r="P10" s="1382">
        <f t="shared" si="0"/>
        <v>34.15</v>
      </c>
      <c r="Q10" s="22"/>
      <c r="R10" s="156"/>
      <c r="S10" s="151">
        <f>S9/2</f>
        <v>-5.0000000000000002E-5</v>
      </c>
      <c r="T10" s="139">
        <f t="shared" si="2"/>
        <v>21</v>
      </c>
      <c r="U10" s="139">
        <v>21</v>
      </c>
      <c r="V10" s="18">
        <v>21.4</v>
      </c>
      <c r="W10" s="152">
        <v>22.8</v>
      </c>
      <c r="X10" s="152">
        <v>24.2</v>
      </c>
      <c r="Y10" s="152">
        <v>25.5</v>
      </c>
      <c r="Z10" s="152">
        <v>26.7</v>
      </c>
      <c r="AA10" s="152">
        <v>27.9</v>
      </c>
      <c r="AB10" s="162">
        <v>29.1</v>
      </c>
      <c r="AD10" s="151">
        <v>2.5000000000000001E-4</v>
      </c>
    </row>
    <row r="11" spans="1:30">
      <c r="A11" s="1179" t="s">
        <v>1369</v>
      </c>
      <c r="B11" s="1052" t="s">
        <v>273</v>
      </c>
      <c r="C11" s="42">
        <v>54</v>
      </c>
      <c r="D11" s="42">
        <v>1350</v>
      </c>
      <c r="E11" s="15">
        <f>IF(ABS(BentSkew)&lt;=15,4.5,IF(ABS(BentSkew)&lt;=30,5,IF(ABS(BentSkew)&lt;=45,5.5,"Error - See UBEB")))</f>
        <v>4.5</v>
      </c>
      <c r="F11" s="15">
        <v>55</v>
      </c>
      <c r="G11" s="15">
        <v>3</v>
      </c>
      <c r="H11" s="1168" t="s">
        <v>1542</v>
      </c>
      <c r="I11" s="18">
        <v>1</v>
      </c>
      <c r="J11" s="18">
        <v>42</v>
      </c>
      <c r="K11" s="20">
        <v>192</v>
      </c>
      <c r="M11" s="82" t="s">
        <v>485</v>
      </c>
      <c r="N11" s="83">
        <v>1.1279999999999999</v>
      </c>
      <c r="O11" s="83">
        <v>1</v>
      </c>
      <c r="P11" s="1382">
        <f t="shared" si="0"/>
        <v>38.520000000000003</v>
      </c>
      <c r="Q11" s="22"/>
      <c r="R11" s="1743" t="s">
        <v>585</v>
      </c>
      <c r="S11" s="153">
        <v>0</v>
      </c>
      <c r="T11" s="139">
        <f t="shared" si="2"/>
        <v>21.8</v>
      </c>
      <c r="U11" s="139">
        <v>21.8</v>
      </c>
      <c r="V11" s="18">
        <v>22.5</v>
      </c>
      <c r="W11" s="152">
        <v>23.7</v>
      </c>
      <c r="X11" s="152">
        <v>25</v>
      </c>
      <c r="Y11" s="152">
        <v>26.2</v>
      </c>
      <c r="Z11" s="152">
        <v>27.4</v>
      </c>
      <c r="AA11" s="152">
        <v>28.5</v>
      </c>
      <c r="AB11" s="162">
        <v>29.7</v>
      </c>
      <c r="AD11" s="151">
        <v>1.25E-4</v>
      </c>
    </row>
    <row r="12" spans="1:30">
      <c r="B12" s="1052" t="s">
        <v>762</v>
      </c>
      <c r="C12" s="42">
        <v>28</v>
      </c>
      <c r="D12" s="42">
        <v>630</v>
      </c>
      <c r="E12" s="15">
        <v>3</v>
      </c>
      <c r="F12" s="15">
        <v>32</v>
      </c>
      <c r="G12" s="15">
        <v>3</v>
      </c>
      <c r="H12" s="1052" t="s">
        <v>201</v>
      </c>
      <c r="I12" s="18">
        <v>1</v>
      </c>
      <c r="J12" s="18">
        <v>32</v>
      </c>
      <c r="K12" s="20">
        <v>370</v>
      </c>
      <c r="M12" s="82" t="s">
        <v>484</v>
      </c>
      <c r="N12" s="83">
        <v>1.27</v>
      </c>
      <c r="O12" s="83">
        <v>1.266</v>
      </c>
      <c r="P12" s="1382">
        <f t="shared" si="0"/>
        <v>43.37</v>
      </c>
      <c r="Q12" s="22"/>
      <c r="R12" s="1743"/>
      <c r="S12" s="151">
        <v>1.25E-4</v>
      </c>
      <c r="T12" s="139">
        <f t="shared" si="2"/>
        <v>24.3</v>
      </c>
      <c r="U12" s="139">
        <v>24.3</v>
      </c>
      <c r="V12" s="18">
        <v>24.9</v>
      </c>
      <c r="W12" s="152">
        <v>25.9</v>
      </c>
      <c r="X12" s="152">
        <v>26.9</v>
      </c>
      <c r="Y12" s="152">
        <v>28</v>
      </c>
      <c r="Z12" s="152">
        <v>29</v>
      </c>
      <c r="AA12" s="152">
        <v>30</v>
      </c>
      <c r="AB12" s="162">
        <v>30.6</v>
      </c>
      <c r="AD12" s="153">
        <v>0</v>
      </c>
    </row>
    <row r="13" spans="1:30" ht="13.5" thickBot="1">
      <c r="B13" s="1052" t="s">
        <v>763</v>
      </c>
      <c r="C13" s="42">
        <v>34</v>
      </c>
      <c r="D13" s="42">
        <v>675</v>
      </c>
      <c r="E13" s="15">
        <v>3</v>
      </c>
      <c r="F13" s="15">
        <v>32</v>
      </c>
      <c r="G13" s="15">
        <v>3</v>
      </c>
      <c r="H13" s="1168" t="s">
        <v>1544</v>
      </c>
      <c r="I13" s="18">
        <v>1</v>
      </c>
      <c r="J13" s="18">
        <v>36</v>
      </c>
      <c r="K13" s="20">
        <v>413</v>
      </c>
      <c r="M13" s="84" t="s">
        <v>401</v>
      </c>
      <c r="N13" s="85">
        <v>1.41</v>
      </c>
      <c r="O13" s="85">
        <v>1.5629999999999999</v>
      </c>
      <c r="P13" s="1383">
        <f t="shared" si="0"/>
        <v>48.16</v>
      </c>
      <c r="Q13" s="22"/>
      <c r="R13" s="156"/>
      <c r="S13" s="151">
        <v>2.5000000000000001E-4</v>
      </c>
      <c r="T13" s="139">
        <f t="shared" si="2"/>
        <v>26.6</v>
      </c>
      <c r="U13" s="139">
        <v>26.6</v>
      </c>
      <c r="V13" s="18">
        <v>27.1</v>
      </c>
      <c r="W13" s="152">
        <v>27.9</v>
      </c>
      <c r="X13" s="152">
        <v>28.8</v>
      </c>
      <c r="Y13" s="152">
        <v>29.7</v>
      </c>
      <c r="Z13" s="152">
        <v>30.6</v>
      </c>
      <c r="AA13" s="152">
        <v>30.8</v>
      </c>
      <c r="AB13" s="162">
        <v>31.3</v>
      </c>
      <c r="AD13" s="151">
        <f>AD14/2</f>
        <v>-5.0000000000000002E-5</v>
      </c>
    </row>
    <row r="14" spans="1:30">
      <c r="B14" s="1052" t="s">
        <v>764</v>
      </c>
      <c r="C14" s="42">
        <v>40</v>
      </c>
      <c r="D14" s="42">
        <v>720</v>
      </c>
      <c r="E14" s="15">
        <v>3</v>
      </c>
      <c r="F14" s="15">
        <v>32</v>
      </c>
      <c r="G14" s="15">
        <v>3</v>
      </c>
      <c r="H14" s="1052" t="s">
        <v>1335</v>
      </c>
      <c r="I14" s="18">
        <v>1</v>
      </c>
      <c r="J14" s="18">
        <v>32</v>
      </c>
      <c r="K14" s="20">
        <v>358</v>
      </c>
      <c r="R14" s="156"/>
      <c r="S14" s="151">
        <v>5.0000000000000001E-4</v>
      </c>
      <c r="T14" s="139">
        <f t="shared" si="2"/>
        <v>30.5</v>
      </c>
      <c r="U14" s="139">
        <v>30.5</v>
      </c>
      <c r="V14" s="18">
        <v>30.8</v>
      </c>
      <c r="W14" s="152">
        <v>31.4</v>
      </c>
      <c r="X14" s="152">
        <v>32.1</v>
      </c>
      <c r="Y14" s="152">
        <v>32.700000000000003</v>
      </c>
      <c r="Z14" s="152">
        <v>32.799999999999997</v>
      </c>
      <c r="AA14" s="152">
        <v>32.299999999999997</v>
      </c>
      <c r="AB14" s="162">
        <v>32.799999999999997</v>
      </c>
      <c r="AD14" s="151">
        <v>-1E-4</v>
      </c>
    </row>
    <row r="15" spans="1:30">
      <c r="B15" s="1052" t="s">
        <v>765</v>
      </c>
      <c r="C15" s="42">
        <v>46</v>
      </c>
      <c r="D15" s="42">
        <v>819</v>
      </c>
      <c r="E15" s="15">
        <v>3</v>
      </c>
      <c r="F15" s="15">
        <v>32</v>
      </c>
      <c r="G15" s="15">
        <v>3</v>
      </c>
      <c r="H15" s="1052" t="s">
        <v>1522</v>
      </c>
      <c r="I15" s="18">
        <v>1.5</v>
      </c>
      <c r="J15" s="18">
        <v>42</v>
      </c>
      <c r="K15" s="20">
        <v>577</v>
      </c>
      <c r="O15" s="1179" t="s">
        <v>1604</v>
      </c>
      <c r="P15" s="1380">
        <v>0.45</v>
      </c>
      <c r="R15" s="156"/>
      <c r="S15" s="151">
        <v>7.5000000000000002E-4</v>
      </c>
      <c r="T15" s="139">
        <f t="shared" si="2"/>
        <v>33.700000000000003</v>
      </c>
      <c r="U15" s="139">
        <v>33.700000000000003</v>
      </c>
      <c r="V15" s="18">
        <v>34</v>
      </c>
      <c r="W15" s="152">
        <v>34.4</v>
      </c>
      <c r="X15" s="152">
        <v>34.9</v>
      </c>
      <c r="Y15" s="152">
        <v>35.200000000000003</v>
      </c>
      <c r="Z15" s="152">
        <v>34.5</v>
      </c>
      <c r="AA15" s="152">
        <v>34</v>
      </c>
      <c r="AB15" s="162">
        <v>34.299999999999997</v>
      </c>
      <c r="AD15" s="151">
        <v>-2.0000000000000001E-4</v>
      </c>
    </row>
    <row r="16" spans="1:30" ht="13.5" thickBot="1">
      <c r="B16" s="1052" t="s">
        <v>864</v>
      </c>
      <c r="C16" s="42">
        <v>54</v>
      </c>
      <c r="D16" s="42">
        <v>880</v>
      </c>
      <c r="E16" s="15">
        <v>3</v>
      </c>
      <c r="F16" s="15">
        <v>32</v>
      </c>
      <c r="G16" s="15">
        <v>3</v>
      </c>
      <c r="H16" s="1052" t="s">
        <v>202</v>
      </c>
      <c r="I16" s="18">
        <v>1</v>
      </c>
      <c r="J16" s="18">
        <v>33</v>
      </c>
      <c r="K16" s="20">
        <v>263</v>
      </c>
      <c r="R16" s="156"/>
      <c r="S16" s="151">
        <v>1E-3</v>
      </c>
      <c r="T16" s="139">
        <f t="shared" si="2"/>
        <v>36.4</v>
      </c>
      <c r="U16" s="142">
        <v>36.4</v>
      </c>
      <c r="V16" s="3">
        <v>36.700000000000003</v>
      </c>
      <c r="W16" s="154">
        <v>37</v>
      </c>
      <c r="X16" s="154">
        <v>37.299999999999997</v>
      </c>
      <c r="Y16" s="154">
        <v>36.799999999999997</v>
      </c>
      <c r="Z16" s="154">
        <v>36.1</v>
      </c>
      <c r="AA16" s="154">
        <v>35.700000000000003</v>
      </c>
      <c r="AB16" s="163">
        <v>35.799999999999997</v>
      </c>
      <c r="AD16" s="155">
        <v>-2E-3</v>
      </c>
    </row>
    <row r="17" spans="2:38" ht="13.5" thickBot="1">
      <c r="B17" s="1052" t="s">
        <v>865</v>
      </c>
      <c r="C17" s="42">
        <v>62</v>
      </c>
      <c r="D17" s="42">
        <v>980</v>
      </c>
      <c r="E17" s="15">
        <v>3</v>
      </c>
      <c r="F17" s="15">
        <v>32</v>
      </c>
      <c r="G17" s="15">
        <v>3</v>
      </c>
      <c r="H17" s="1052" t="s">
        <v>203</v>
      </c>
      <c r="I17" s="18">
        <v>1</v>
      </c>
      <c r="J17" s="18">
        <v>42</v>
      </c>
      <c r="K17" s="20">
        <v>343</v>
      </c>
      <c r="M17" t="s">
        <v>32</v>
      </c>
      <c r="O17" t="s">
        <v>1310</v>
      </c>
      <c r="R17" s="164"/>
      <c r="S17" s="155">
        <v>0.01</v>
      </c>
      <c r="T17" s="142">
        <f t="shared" si="2"/>
        <v>36.4</v>
      </c>
      <c r="U17" s="3">
        <f>U16</f>
        <v>36.4</v>
      </c>
      <c r="V17" s="3">
        <f t="shared" ref="V17:AB17" si="3">V16</f>
        <v>36.700000000000003</v>
      </c>
      <c r="W17" s="154">
        <f t="shared" si="3"/>
        <v>37</v>
      </c>
      <c r="X17" s="154">
        <f t="shared" si="3"/>
        <v>37.299999999999997</v>
      </c>
      <c r="Y17" s="154">
        <f t="shared" si="3"/>
        <v>36.799999999999997</v>
      </c>
      <c r="Z17" s="154">
        <f t="shared" si="3"/>
        <v>36.1</v>
      </c>
      <c r="AA17" s="154">
        <f t="shared" si="3"/>
        <v>35.700000000000003</v>
      </c>
      <c r="AB17" s="163">
        <f t="shared" si="3"/>
        <v>35.799999999999997</v>
      </c>
    </row>
    <row r="18" spans="2:38" ht="13.5" thickBot="1">
      <c r="B18" s="1052" t="s">
        <v>866</v>
      </c>
      <c r="C18" s="42">
        <v>70</v>
      </c>
      <c r="D18" s="42">
        <v>1040</v>
      </c>
      <c r="E18" s="15">
        <v>3</v>
      </c>
      <c r="F18" s="15">
        <v>32</v>
      </c>
      <c r="G18" s="15">
        <v>3</v>
      </c>
      <c r="H18" s="1052" t="s">
        <v>204</v>
      </c>
      <c r="I18" s="18">
        <v>1</v>
      </c>
      <c r="J18" s="18">
        <v>32</v>
      </c>
      <c r="K18" s="20">
        <v>270</v>
      </c>
      <c r="M18">
        <v>1</v>
      </c>
      <c r="O18" t="s">
        <v>1311</v>
      </c>
      <c r="R18" s="156"/>
      <c r="S18" s="18"/>
      <c r="T18" s="18"/>
      <c r="U18" s="18"/>
      <c r="V18" s="18"/>
      <c r="W18" s="18"/>
      <c r="X18" s="18"/>
      <c r="Y18" s="18"/>
      <c r="Z18" s="18"/>
      <c r="AA18" s="18"/>
      <c r="AB18" s="157"/>
      <c r="AD18" s="159">
        <v>0.25</v>
      </c>
      <c r="AE18" s="147">
        <v>0.22500000000000001</v>
      </c>
      <c r="AF18" s="147">
        <v>0.2</v>
      </c>
      <c r="AG18" s="148">
        <v>0.17499999999999999</v>
      </c>
      <c r="AH18" s="147">
        <v>0.15</v>
      </c>
      <c r="AI18" s="147">
        <v>0.125</v>
      </c>
      <c r="AJ18" s="147">
        <v>0.1</v>
      </c>
      <c r="AK18" s="147">
        <v>7.4999999999999997E-2</v>
      </c>
      <c r="AL18" s="146">
        <v>0</v>
      </c>
    </row>
    <row r="19" spans="2:38">
      <c r="B19" s="1052" t="s">
        <v>710</v>
      </c>
      <c r="C19" s="18"/>
      <c r="D19" s="18"/>
      <c r="H19" s="1052" t="s">
        <v>1336</v>
      </c>
      <c r="I19" s="18">
        <v>1</v>
      </c>
      <c r="J19" s="18">
        <v>32</v>
      </c>
      <c r="K19" s="20">
        <v>382</v>
      </c>
      <c r="M19">
        <v>2</v>
      </c>
      <c r="O19" t="s">
        <v>437</v>
      </c>
      <c r="R19" s="156"/>
      <c r="S19" s="18"/>
      <c r="T19" s="18"/>
      <c r="U19" s="18"/>
      <c r="V19" s="18"/>
      <c r="W19" s="18"/>
      <c r="X19" s="18"/>
      <c r="Y19" s="18"/>
      <c r="Z19" s="18"/>
      <c r="AA19" s="18"/>
      <c r="AB19" s="157"/>
    </row>
    <row r="20" spans="2:38" ht="18.75" thickBot="1">
      <c r="B20" s="1052" t="s">
        <v>710</v>
      </c>
      <c r="C20" s="18"/>
      <c r="D20" s="18"/>
      <c r="H20" s="1052" t="s">
        <v>1337</v>
      </c>
      <c r="I20" s="18">
        <v>1</v>
      </c>
      <c r="J20" s="18">
        <v>32</v>
      </c>
      <c r="K20" s="20">
        <v>370</v>
      </c>
      <c r="M20">
        <v>3</v>
      </c>
      <c r="O20" t="s">
        <v>1312</v>
      </c>
      <c r="R20" s="156"/>
      <c r="S20" s="18"/>
      <c r="T20" s="18"/>
      <c r="U20" s="18"/>
      <c r="V20" s="143" t="s">
        <v>1594</v>
      </c>
      <c r="W20" s="18"/>
      <c r="X20" s="18"/>
      <c r="Y20" s="18"/>
      <c r="Z20" s="18"/>
      <c r="AA20" s="18"/>
      <c r="AB20" s="157"/>
    </row>
    <row r="21" spans="2:38">
      <c r="B21" s="1052" t="s">
        <v>710</v>
      </c>
      <c r="C21" s="18"/>
      <c r="D21" s="18"/>
      <c r="H21" s="1052" t="s">
        <v>1523</v>
      </c>
      <c r="I21" s="18">
        <v>1</v>
      </c>
      <c r="J21" s="18">
        <v>31</v>
      </c>
      <c r="K21" s="20">
        <v>20</v>
      </c>
      <c r="M21">
        <v>4</v>
      </c>
      <c r="R21" s="156"/>
      <c r="S21" s="18"/>
      <c r="T21" s="144"/>
      <c r="U21" s="138"/>
      <c r="V21" s="138"/>
      <c r="W21" s="138"/>
      <c r="X21" s="145" t="s">
        <v>584</v>
      </c>
      <c r="Y21" s="138"/>
      <c r="Z21" s="138"/>
      <c r="AA21" s="138"/>
      <c r="AB21" s="158"/>
    </row>
    <row r="22" spans="2:38" ht="13.5" thickBot="1">
      <c r="B22" s="1052" t="s">
        <v>710</v>
      </c>
      <c r="C22" s="18"/>
      <c r="D22" s="18"/>
      <c r="H22" s="1052" t="s">
        <v>1524</v>
      </c>
      <c r="I22" s="42">
        <v>1</v>
      </c>
      <c r="J22" s="18">
        <v>31</v>
      </c>
      <c r="K22" s="20">
        <v>13</v>
      </c>
      <c r="M22">
        <v>5</v>
      </c>
      <c r="R22" s="156"/>
      <c r="S22" s="18"/>
      <c r="T22" s="146">
        <v>0</v>
      </c>
      <c r="U22" s="147">
        <v>7.4999999999999997E-2</v>
      </c>
      <c r="V22" s="147">
        <v>0.1</v>
      </c>
      <c r="W22" s="147">
        <v>0.125</v>
      </c>
      <c r="X22" s="148">
        <v>0.15</v>
      </c>
      <c r="Y22" s="147">
        <v>0.17499999999999999</v>
      </c>
      <c r="Z22" s="147">
        <v>0.2</v>
      </c>
      <c r="AA22" s="147">
        <v>0.22500000000000001</v>
      </c>
      <c r="AB22" s="159">
        <v>0.25</v>
      </c>
    </row>
    <row r="23" spans="2:38" ht="13.5" thickBot="1">
      <c r="B23" s="1052" t="s">
        <v>710</v>
      </c>
      <c r="C23" s="18"/>
      <c r="D23" s="18"/>
      <c r="H23" s="1052" t="s">
        <v>1338</v>
      </c>
      <c r="I23" s="18">
        <v>1.5</v>
      </c>
      <c r="J23" s="18">
        <v>32</v>
      </c>
      <c r="K23" s="20">
        <v>355</v>
      </c>
      <c r="M23">
        <v>6</v>
      </c>
      <c r="R23" s="165"/>
      <c r="S23" s="149">
        <v>-2E-3</v>
      </c>
      <c r="T23" s="144">
        <f>U23</f>
        <v>6.32</v>
      </c>
      <c r="U23" s="138">
        <f>U24</f>
        <v>6.32</v>
      </c>
      <c r="V23" s="138">
        <f t="shared" ref="V23:AB23" si="4">V24</f>
        <v>3.79</v>
      </c>
      <c r="W23" s="138">
        <f t="shared" si="4"/>
        <v>3.18</v>
      </c>
      <c r="X23" s="138">
        <f t="shared" si="4"/>
        <v>2.88</v>
      </c>
      <c r="Y23" s="138">
        <f t="shared" si="4"/>
        <v>2.73</v>
      </c>
      <c r="Z23" s="138">
        <f t="shared" si="4"/>
        <v>2.63</v>
      </c>
      <c r="AA23" s="138">
        <f t="shared" si="4"/>
        <v>2.5299999999999998</v>
      </c>
      <c r="AB23" s="158">
        <f t="shared" si="4"/>
        <v>2.39</v>
      </c>
      <c r="AD23" s="191"/>
    </row>
    <row r="24" spans="2:38">
      <c r="B24" s="1052" t="s">
        <v>710</v>
      </c>
      <c r="C24" s="18"/>
      <c r="D24" s="18"/>
      <c r="H24" s="1052" t="s">
        <v>210</v>
      </c>
      <c r="I24" s="42">
        <v>1</v>
      </c>
      <c r="J24" s="42">
        <v>33</v>
      </c>
      <c r="K24" s="20">
        <v>166</v>
      </c>
      <c r="M24">
        <v>7</v>
      </c>
      <c r="R24" s="166"/>
      <c r="S24" s="151">
        <v>-2.0000000000000001E-4</v>
      </c>
      <c r="T24" s="139">
        <f t="shared" ref="T24:T33" si="5">U24</f>
        <v>6.32</v>
      </c>
      <c r="U24" s="144">
        <v>6.32</v>
      </c>
      <c r="V24" s="138">
        <v>3.79</v>
      </c>
      <c r="W24" s="138">
        <v>3.18</v>
      </c>
      <c r="X24" s="138">
        <v>2.88</v>
      </c>
      <c r="Y24" s="138">
        <v>2.73</v>
      </c>
      <c r="Z24" s="138">
        <v>2.63</v>
      </c>
      <c r="AA24" s="138">
        <v>2.5299999999999998</v>
      </c>
      <c r="AB24" s="158">
        <v>2.39</v>
      </c>
      <c r="AD24" s="191"/>
    </row>
    <row r="25" spans="2:38">
      <c r="B25" s="1052" t="s">
        <v>710</v>
      </c>
      <c r="C25" s="18"/>
      <c r="D25" s="18"/>
      <c r="H25" s="1052" t="s">
        <v>212</v>
      </c>
      <c r="I25" s="42">
        <v>1</v>
      </c>
      <c r="J25" s="42">
        <v>36</v>
      </c>
      <c r="K25" s="20">
        <v>376</v>
      </c>
      <c r="M25">
        <v>8</v>
      </c>
      <c r="O25" t="s">
        <v>863</v>
      </c>
      <c r="R25" s="166"/>
      <c r="S25" s="151">
        <v>-1E-4</v>
      </c>
      <c r="T25" s="139">
        <f t="shared" si="5"/>
        <v>4.75</v>
      </c>
      <c r="U25" s="139">
        <v>4.75</v>
      </c>
      <c r="V25" s="18">
        <v>3.38</v>
      </c>
      <c r="W25" s="18">
        <v>2.99</v>
      </c>
      <c r="X25" s="18">
        <v>2.79</v>
      </c>
      <c r="Y25" s="18">
        <v>2.66</v>
      </c>
      <c r="Z25" s="18">
        <v>2.59</v>
      </c>
      <c r="AA25" s="18">
        <v>2.4500000000000002</v>
      </c>
      <c r="AB25" s="157">
        <v>2.39</v>
      </c>
      <c r="AD25" s="191"/>
    </row>
    <row r="26" spans="2:38">
      <c r="B26" s="1052" t="s">
        <v>710</v>
      </c>
      <c r="C26" s="18"/>
      <c r="D26" s="18"/>
      <c r="H26" s="1052" t="s">
        <v>1339</v>
      </c>
      <c r="I26" s="42">
        <v>1</v>
      </c>
      <c r="J26" s="42">
        <v>50</v>
      </c>
      <c r="K26" s="20">
        <v>447</v>
      </c>
      <c r="M26">
        <v>9</v>
      </c>
      <c r="O26" t="s">
        <v>1035</v>
      </c>
      <c r="R26" s="166"/>
      <c r="S26" s="151">
        <f>S25/2</f>
        <v>-5.0000000000000002E-5</v>
      </c>
      <c r="T26" s="139">
        <f t="shared" si="5"/>
        <v>4.0999999999999996</v>
      </c>
      <c r="U26" s="139">
        <v>4.0999999999999996</v>
      </c>
      <c r="V26" s="18">
        <v>3.24</v>
      </c>
      <c r="W26" s="18">
        <v>2.94</v>
      </c>
      <c r="X26" s="18">
        <v>2.78</v>
      </c>
      <c r="Y26" s="18">
        <v>2.65</v>
      </c>
      <c r="Z26" s="18">
        <v>2.52</v>
      </c>
      <c r="AA26" s="18">
        <v>2.42</v>
      </c>
      <c r="AB26" s="157">
        <v>2.33</v>
      </c>
      <c r="AD26" s="191"/>
    </row>
    <row r="27" spans="2:38">
      <c r="B27" s="1052" t="s">
        <v>710</v>
      </c>
      <c r="C27" s="18"/>
      <c r="D27" s="18"/>
      <c r="H27" s="1052" t="s">
        <v>1340</v>
      </c>
      <c r="I27" s="42">
        <v>1</v>
      </c>
      <c r="J27" s="42">
        <v>42</v>
      </c>
      <c r="K27" s="20">
        <v>533</v>
      </c>
      <c r="M27">
        <v>10</v>
      </c>
      <c r="O27" t="s">
        <v>872</v>
      </c>
      <c r="R27" s="1743" t="s">
        <v>585</v>
      </c>
      <c r="S27" s="153">
        <v>0</v>
      </c>
      <c r="T27" s="139">
        <f t="shared" si="5"/>
        <v>3.75</v>
      </c>
      <c r="U27" s="139">
        <v>3.75</v>
      </c>
      <c r="V27" s="18">
        <v>3.14</v>
      </c>
      <c r="W27" s="18">
        <v>2.87</v>
      </c>
      <c r="X27" s="18">
        <v>2.72</v>
      </c>
      <c r="Y27" s="18">
        <v>2.6</v>
      </c>
      <c r="Z27" s="18">
        <v>2.5099999999999998</v>
      </c>
      <c r="AA27" s="18">
        <v>2.4</v>
      </c>
      <c r="AB27" s="157">
        <v>2.33</v>
      </c>
      <c r="AD27" s="191"/>
    </row>
    <row r="28" spans="2:38">
      <c r="B28" s="1052" t="s">
        <v>710</v>
      </c>
      <c r="C28" s="18"/>
      <c r="D28" s="18"/>
      <c r="H28" s="1052" t="s">
        <v>1341</v>
      </c>
      <c r="I28" s="42">
        <v>1</v>
      </c>
      <c r="J28" s="42">
        <v>42</v>
      </c>
      <c r="K28" s="20">
        <v>205</v>
      </c>
      <c r="M28">
        <v>11</v>
      </c>
      <c r="R28" s="1743"/>
      <c r="S28" s="151">
        <v>1.25E-4</v>
      </c>
      <c r="T28" s="139">
        <f t="shared" si="5"/>
        <v>3.24</v>
      </c>
      <c r="U28" s="139">
        <v>3.24</v>
      </c>
      <c r="V28" s="18">
        <v>2.91</v>
      </c>
      <c r="W28" s="18">
        <v>2.74</v>
      </c>
      <c r="X28" s="18">
        <v>2.6</v>
      </c>
      <c r="Y28" s="18">
        <v>2.52</v>
      </c>
      <c r="Z28" s="18">
        <v>2.4300000000000002</v>
      </c>
      <c r="AA28" s="18">
        <v>2.34</v>
      </c>
      <c r="AB28" s="157">
        <v>2.12</v>
      </c>
      <c r="AD28" s="191"/>
    </row>
    <row r="29" spans="2:38">
      <c r="B29" s="1052" t="s">
        <v>710</v>
      </c>
      <c r="C29" s="18"/>
      <c r="D29" s="18"/>
      <c r="H29" s="1168" t="s">
        <v>1543</v>
      </c>
      <c r="I29" s="42">
        <v>1</v>
      </c>
      <c r="J29" s="42">
        <v>42</v>
      </c>
      <c r="K29" s="20">
        <v>203</v>
      </c>
      <c r="M29">
        <v>12</v>
      </c>
      <c r="R29" s="166"/>
      <c r="S29" s="151">
        <v>2.5000000000000001E-4</v>
      </c>
      <c r="T29" s="139">
        <f t="shared" si="5"/>
        <v>2.94</v>
      </c>
      <c r="U29" s="139">
        <v>2.94</v>
      </c>
      <c r="V29" s="18">
        <v>2.75</v>
      </c>
      <c r="W29" s="18">
        <v>2.62</v>
      </c>
      <c r="X29" s="18">
        <v>2.52</v>
      </c>
      <c r="Y29" s="18">
        <v>2.44</v>
      </c>
      <c r="Z29" s="18">
        <v>2.37</v>
      </c>
      <c r="AA29" s="18">
        <v>2.14</v>
      </c>
      <c r="AB29" s="157">
        <v>1.93</v>
      </c>
      <c r="AD29" s="42"/>
    </row>
    <row r="30" spans="2:38">
      <c r="B30" s="1052" t="s">
        <v>710</v>
      </c>
      <c r="C30" s="18"/>
      <c r="D30" s="18"/>
      <c r="H30" s="1052" t="s">
        <v>214</v>
      </c>
      <c r="I30" s="18">
        <v>1</v>
      </c>
      <c r="J30" s="18">
        <v>42</v>
      </c>
      <c r="K30" s="20">
        <v>380</v>
      </c>
      <c r="M30">
        <v>13</v>
      </c>
      <c r="R30" s="166"/>
      <c r="S30" s="151">
        <v>5.0000000000000001E-4</v>
      </c>
      <c r="T30" s="139">
        <f t="shared" si="5"/>
        <v>2.59</v>
      </c>
      <c r="U30" s="139">
        <v>2.59</v>
      </c>
      <c r="V30" s="18">
        <v>2.5</v>
      </c>
      <c r="W30" s="18">
        <v>2.42</v>
      </c>
      <c r="X30" s="18">
        <v>2.36</v>
      </c>
      <c r="Y30" s="18">
        <v>2.2799999999999998</v>
      </c>
      <c r="Z30" s="18">
        <v>2.14</v>
      </c>
      <c r="AA30" s="18">
        <v>1.86</v>
      </c>
      <c r="AB30" s="157">
        <v>1.7</v>
      </c>
      <c r="AD30" s="191"/>
    </row>
    <row r="31" spans="2:38">
      <c r="B31" s="1052" t="s">
        <v>710</v>
      </c>
      <c r="C31" s="18"/>
      <c r="D31" s="18"/>
      <c r="H31" s="1052" t="s">
        <v>1342</v>
      </c>
      <c r="I31" s="18">
        <v>1</v>
      </c>
      <c r="J31" s="18">
        <v>42</v>
      </c>
      <c r="K31" s="20">
        <v>370</v>
      </c>
      <c r="M31">
        <v>14</v>
      </c>
      <c r="R31" s="166"/>
      <c r="S31" s="151">
        <v>7.5000000000000002E-4</v>
      </c>
      <c r="T31" s="139">
        <f t="shared" si="5"/>
        <v>2.38</v>
      </c>
      <c r="U31" s="139">
        <v>2.38</v>
      </c>
      <c r="V31" s="18">
        <v>2.3199999999999998</v>
      </c>
      <c r="W31" s="18">
        <v>2.2599999999999998</v>
      </c>
      <c r="X31" s="18">
        <v>2.21</v>
      </c>
      <c r="Y31" s="18">
        <v>2.14</v>
      </c>
      <c r="Z31" s="18">
        <v>1.94</v>
      </c>
      <c r="AA31" s="18">
        <v>1.73</v>
      </c>
      <c r="AB31" s="157">
        <v>1.58</v>
      </c>
      <c r="AD31" s="191"/>
    </row>
    <row r="32" spans="2:38" ht="13.5" thickBot="1">
      <c r="B32" s="1052" t="s">
        <v>710</v>
      </c>
      <c r="C32" s="18"/>
      <c r="D32" s="18"/>
      <c r="H32" s="1052" t="s">
        <v>215</v>
      </c>
      <c r="I32" s="42">
        <v>1</v>
      </c>
      <c r="J32" s="42">
        <v>42</v>
      </c>
      <c r="K32" s="20">
        <v>347</v>
      </c>
      <c r="M32">
        <v>15</v>
      </c>
      <c r="R32" s="166"/>
      <c r="S32" s="151">
        <v>1E-3</v>
      </c>
      <c r="T32" s="139">
        <f t="shared" si="5"/>
        <v>2.23</v>
      </c>
      <c r="U32" s="142">
        <v>2.23</v>
      </c>
      <c r="V32" s="3">
        <v>2.1800000000000002</v>
      </c>
      <c r="W32" s="3">
        <v>2.13</v>
      </c>
      <c r="X32" s="3">
        <v>2.08</v>
      </c>
      <c r="Y32" s="3">
        <v>1.96</v>
      </c>
      <c r="Z32" s="3">
        <v>1.79</v>
      </c>
      <c r="AA32" s="3">
        <v>1.64</v>
      </c>
      <c r="AB32" s="167">
        <v>1.5</v>
      </c>
      <c r="AD32" s="191"/>
    </row>
    <row r="33" spans="2:30" ht="13.5" thickBot="1">
      <c r="B33" s="1052" t="s">
        <v>710</v>
      </c>
      <c r="C33" s="18"/>
      <c r="D33" s="18"/>
      <c r="H33" s="1052" t="s">
        <v>216</v>
      </c>
      <c r="I33" s="42">
        <v>1</v>
      </c>
      <c r="J33" s="42">
        <v>42</v>
      </c>
      <c r="K33" s="20">
        <v>350</v>
      </c>
      <c r="M33">
        <v>16</v>
      </c>
      <c r="R33" s="168"/>
      <c r="S33" s="155">
        <v>0.01</v>
      </c>
      <c r="T33" s="142">
        <f t="shared" si="5"/>
        <v>2.23</v>
      </c>
      <c r="U33" s="3">
        <f>U32</f>
        <v>2.23</v>
      </c>
      <c r="V33" s="3">
        <f t="shared" ref="V33:AB33" si="6">V32</f>
        <v>2.1800000000000002</v>
      </c>
      <c r="W33" s="3">
        <f t="shared" si="6"/>
        <v>2.13</v>
      </c>
      <c r="X33" s="3">
        <f t="shared" si="6"/>
        <v>2.08</v>
      </c>
      <c r="Y33" s="3">
        <f t="shared" si="6"/>
        <v>1.96</v>
      </c>
      <c r="Z33" s="3">
        <f t="shared" si="6"/>
        <v>1.79</v>
      </c>
      <c r="AA33" s="3">
        <f t="shared" si="6"/>
        <v>1.64</v>
      </c>
      <c r="AB33" s="167">
        <f t="shared" si="6"/>
        <v>1.5</v>
      </c>
      <c r="AD33" s="191"/>
    </row>
    <row r="34" spans="2:30" ht="13.5" thickBot="1">
      <c r="B34" s="1052" t="s">
        <v>710</v>
      </c>
      <c r="C34" s="18"/>
      <c r="D34" s="18"/>
      <c r="H34" s="1052" t="s">
        <v>1525</v>
      </c>
      <c r="I34" s="18">
        <v>1.5</v>
      </c>
      <c r="J34" s="18">
        <v>42</v>
      </c>
      <c r="K34" s="20">
        <v>560</v>
      </c>
      <c r="M34">
        <v>17</v>
      </c>
      <c r="R34" s="169"/>
      <c r="S34" s="141"/>
      <c r="T34" s="141"/>
      <c r="U34" s="141"/>
      <c r="V34" s="141"/>
      <c r="W34" s="141"/>
      <c r="X34" s="141"/>
      <c r="Y34" s="141"/>
      <c r="Z34" s="141"/>
      <c r="AA34" s="141"/>
      <c r="AB34" s="170"/>
    </row>
    <row r="35" spans="2:30" ht="13.5" thickTop="1">
      <c r="B35" s="1052" t="s">
        <v>710</v>
      </c>
      <c r="C35" s="18"/>
      <c r="D35" s="18"/>
      <c r="H35" s="1052" t="s">
        <v>1526</v>
      </c>
      <c r="I35" s="18">
        <v>1.5</v>
      </c>
      <c r="J35" s="18">
        <v>42</v>
      </c>
      <c r="K35" s="20">
        <v>366</v>
      </c>
      <c r="M35">
        <v>18</v>
      </c>
    </row>
    <row r="36" spans="2:30">
      <c r="B36" s="1052" t="s">
        <v>710</v>
      </c>
      <c r="C36" s="18"/>
      <c r="D36" s="18"/>
      <c r="H36" s="1168" t="s">
        <v>1545</v>
      </c>
      <c r="I36" s="42">
        <v>1</v>
      </c>
      <c r="J36" s="42">
        <v>42</v>
      </c>
      <c r="K36" s="20">
        <v>30</v>
      </c>
      <c r="M36">
        <v>19</v>
      </c>
    </row>
    <row r="37" spans="2:30">
      <c r="B37" s="1052" t="s">
        <v>710</v>
      </c>
      <c r="C37" s="18"/>
      <c r="D37" s="18"/>
      <c r="H37" s="1139" t="s">
        <v>222</v>
      </c>
      <c r="I37" s="42">
        <v>1</v>
      </c>
      <c r="J37" s="42">
        <v>42</v>
      </c>
      <c r="K37" s="20">
        <v>125</v>
      </c>
      <c r="M37">
        <v>20</v>
      </c>
    </row>
    <row r="38" spans="2:30">
      <c r="B38" s="1052" t="s">
        <v>710</v>
      </c>
      <c r="C38" s="18"/>
      <c r="D38" s="18"/>
      <c r="H38" s="1168" t="s">
        <v>1546</v>
      </c>
      <c r="I38" s="42">
        <v>1</v>
      </c>
      <c r="J38" s="42">
        <v>42</v>
      </c>
      <c r="K38" s="20">
        <v>146</v>
      </c>
    </row>
    <row r="39" spans="2:30">
      <c r="B39" s="1052" t="s">
        <v>710</v>
      </c>
      <c r="C39" s="18"/>
      <c r="D39" s="18"/>
      <c r="H39" s="1168" t="s">
        <v>1114</v>
      </c>
      <c r="I39" s="42">
        <v>1</v>
      </c>
      <c r="J39" s="18">
        <v>48</v>
      </c>
      <c r="K39" s="20">
        <v>158</v>
      </c>
    </row>
    <row r="40" spans="2:30">
      <c r="B40" s="1052" t="s">
        <v>710</v>
      </c>
      <c r="C40" s="18"/>
      <c r="D40" s="18"/>
      <c r="H40" s="1168" t="s">
        <v>199</v>
      </c>
      <c r="I40" s="42">
        <v>1</v>
      </c>
      <c r="J40" s="18">
        <v>27</v>
      </c>
      <c r="K40" s="20">
        <v>39</v>
      </c>
    </row>
    <row r="41" spans="2:30">
      <c r="B41" s="1052" t="s">
        <v>710</v>
      </c>
      <c r="C41" s="18"/>
      <c r="D41" s="18"/>
      <c r="H41" s="1168" t="s">
        <v>200</v>
      </c>
      <c r="I41" s="42">
        <v>1</v>
      </c>
      <c r="J41" s="18">
        <v>27</v>
      </c>
      <c r="K41" s="20">
        <v>250</v>
      </c>
      <c r="M41" s="657" t="s">
        <v>48</v>
      </c>
      <c r="N41" s="1"/>
      <c r="O41" s="1"/>
      <c r="P41" s="1"/>
    </row>
    <row r="42" spans="2:30" ht="12.75" customHeight="1">
      <c r="B42" s="1052" t="s">
        <v>710</v>
      </c>
      <c r="C42" s="18"/>
      <c r="D42" s="18"/>
      <c r="H42" s="1168" t="s">
        <v>205</v>
      </c>
      <c r="I42" s="42">
        <v>1</v>
      </c>
      <c r="J42" s="18">
        <v>32</v>
      </c>
      <c r="K42" s="20">
        <v>376</v>
      </c>
      <c r="M42" s="1740" t="s">
        <v>49</v>
      </c>
      <c r="N42" s="1738" t="s">
        <v>54</v>
      </c>
      <c r="O42" s="1738" t="s">
        <v>53</v>
      </c>
      <c r="P42" s="1738" t="s">
        <v>309</v>
      </c>
      <c r="Q42" s="1738" t="s">
        <v>310</v>
      </c>
      <c r="R42" s="1738" t="s">
        <v>55</v>
      </c>
      <c r="S42" s="1738" t="s">
        <v>56</v>
      </c>
      <c r="T42" s="1738" t="s">
        <v>50</v>
      </c>
      <c r="U42" s="1740" t="s">
        <v>51</v>
      </c>
      <c r="V42" s="1738" t="s">
        <v>52</v>
      </c>
      <c r="W42" s="1737" t="s">
        <v>435</v>
      </c>
      <c r="X42" s="1737" t="s">
        <v>436</v>
      </c>
    </row>
    <row r="43" spans="2:30">
      <c r="B43" s="1052" t="s">
        <v>710</v>
      </c>
      <c r="C43" s="18"/>
      <c r="D43" s="18"/>
      <c r="H43" s="1168" t="s">
        <v>206</v>
      </c>
      <c r="I43" s="42">
        <v>1</v>
      </c>
      <c r="J43" s="18">
        <v>32</v>
      </c>
      <c r="K43" s="20">
        <v>313</v>
      </c>
      <c r="M43" s="1740"/>
      <c r="N43" s="1739"/>
      <c r="O43" s="1739"/>
      <c r="P43" s="1739"/>
      <c r="Q43" s="1739"/>
      <c r="R43" s="1739"/>
      <c r="S43" s="1739"/>
      <c r="T43" s="1739"/>
      <c r="U43" s="1740"/>
      <c r="V43" s="1739"/>
      <c r="W43" s="1737"/>
      <c r="X43" s="1737"/>
    </row>
    <row r="44" spans="2:30">
      <c r="B44" s="1052" t="s">
        <v>710</v>
      </c>
      <c r="C44" s="18"/>
      <c r="D44" s="18"/>
      <c r="H44" s="1168" t="s">
        <v>207</v>
      </c>
      <c r="I44" s="42">
        <v>1</v>
      </c>
      <c r="J44" s="18">
        <v>32</v>
      </c>
      <c r="K44" s="20">
        <v>326</v>
      </c>
      <c r="M44" s="658" t="s">
        <v>710</v>
      </c>
      <c r="N44" s="658">
        <v>0</v>
      </c>
      <c r="O44" s="658">
        <v>0</v>
      </c>
      <c r="P44" s="658">
        <v>0</v>
      </c>
      <c r="Q44" s="658">
        <v>0</v>
      </c>
      <c r="R44" s="658">
        <v>0</v>
      </c>
      <c r="S44" s="658">
        <v>0</v>
      </c>
      <c r="T44" s="658">
        <v>0</v>
      </c>
      <c r="U44" s="658">
        <v>0</v>
      </c>
      <c r="V44" s="658">
        <v>0</v>
      </c>
      <c r="W44" s="1054">
        <v>0</v>
      </c>
      <c r="X44" s="1054">
        <v>0</v>
      </c>
    </row>
    <row r="45" spans="2:30">
      <c r="B45" s="1052" t="s">
        <v>710</v>
      </c>
      <c r="C45" s="18"/>
      <c r="D45" s="18"/>
      <c r="H45" s="1168" t="s">
        <v>208</v>
      </c>
      <c r="I45" s="42">
        <v>1</v>
      </c>
      <c r="J45" s="18">
        <v>32</v>
      </c>
      <c r="K45" s="20">
        <v>326</v>
      </c>
      <c r="M45" s="658" t="s">
        <v>710</v>
      </c>
      <c r="N45" s="658">
        <v>0</v>
      </c>
      <c r="O45" s="658">
        <v>0</v>
      </c>
      <c r="P45" s="658">
        <v>0</v>
      </c>
      <c r="Q45" s="658">
        <v>0</v>
      </c>
      <c r="R45" s="658">
        <v>0</v>
      </c>
      <c r="S45" s="658">
        <v>0</v>
      </c>
      <c r="T45" s="658">
        <v>0</v>
      </c>
      <c r="U45" s="658">
        <v>0</v>
      </c>
      <c r="V45" s="658">
        <v>0</v>
      </c>
      <c r="W45" s="1054">
        <v>0</v>
      </c>
      <c r="X45" s="1054">
        <v>0</v>
      </c>
    </row>
    <row r="46" spans="2:30">
      <c r="H46" s="1168" t="s">
        <v>209</v>
      </c>
      <c r="I46" s="42">
        <v>1</v>
      </c>
      <c r="J46" s="18">
        <v>27.125</v>
      </c>
      <c r="K46" s="20">
        <v>23</v>
      </c>
      <c r="M46" s="658" t="s">
        <v>710</v>
      </c>
      <c r="N46" s="658">
        <v>0</v>
      </c>
      <c r="O46" s="658">
        <v>0</v>
      </c>
      <c r="P46" s="658">
        <v>0</v>
      </c>
      <c r="Q46" s="658">
        <v>0</v>
      </c>
      <c r="R46" s="658">
        <v>0</v>
      </c>
      <c r="S46" s="658">
        <v>0</v>
      </c>
      <c r="T46" s="658">
        <v>0</v>
      </c>
      <c r="U46" s="658">
        <v>0</v>
      </c>
      <c r="V46" s="658">
        <v>0</v>
      </c>
      <c r="W46" s="1054">
        <v>0</v>
      </c>
      <c r="X46" s="1054">
        <v>0</v>
      </c>
    </row>
    <row r="47" spans="2:30">
      <c r="H47" s="1168" t="s">
        <v>211</v>
      </c>
      <c r="I47" s="42">
        <v>1</v>
      </c>
      <c r="J47" s="42">
        <v>50</v>
      </c>
      <c r="K47" s="20">
        <v>456</v>
      </c>
      <c r="M47" s="658" t="s">
        <v>710</v>
      </c>
      <c r="N47" s="658">
        <v>0</v>
      </c>
      <c r="O47" s="658">
        <v>0</v>
      </c>
      <c r="P47" s="658">
        <v>0</v>
      </c>
      <c r="Q47" s="658">
        <v>0</v>
      </c>
      <c r="R47" s="658">
        <v>0</v>
      </c>
      <c r="S47" s="658">
        <v>0</v>
      </c>
      <c r="T47" s="658">
        <v>0</v>
      </c>
      <c r="U47" s="658">
        <v>0</v>
      </c>
      <c r="V47" s="658">
        <v>0</v>
      </c>
      <c r="W47" s="1054">
        <v>0</v>
      </c>
      <c r="X47" s="1054">
        <v>0</v>
      </c>
    </row>
    <row r="48" spans="2:30">
      <c r="H48" s="1168" t="s">
        <v>213</v>
      </c>
      <c r="I48" s="42">
        <v>1</v>
      </c>
      <c r="J48" s="42">
        <v>42</v>
      </c>
      <c r="K48" s="20">
        <v>262</v>
      </c>
      <c r="M48" s="658" t="s">
        <v>710</v>
      </c>
      <c r="N48" s="658">
        <v>0</v>
      </c>
      <c r="O48" s="658">
        <v>0</v>
      </c>
      <c r="P48" s="658">
        <v>0</v>
      </c>
      <c r="Q48" s="658">
        <v>0</v>
      </c>
      <c r="R48" s="658">
        <v>0</v>
      </c>
      <c r="S48" s="658">
        <v>0</v>
      </c>
      <c r="T48" s="658">
        <v>0</v>
      </c>
      <c r="U48" s="658">
        <v>0</v>
      </c>
      <c r="V48" s="658">
        <v>0</v>
      </c>
      <c r="W48" s="1054">
        <v>0</v>
      </c>
      <c r="X48" s="1054">
        <v>0</v>
      </c>
    </row>
    <row r="49" spans="8:24">
      <c r="H49" s="1052" t="s">
        <v>217</v>
      </c>
      <c r="I49" s="18">
        <v>1</v>
      </c>
      <c r="J49" s="18">
        <v>42</v>
      </c>
      <c r="K49" s="20">
        <v>336</v>
      </c>
      <c r="M49" s="658" t="s">
        <v>710</v>
      </c>
      <c r="N49" s="658">
        <v>0</v>
      </c>
      <c r="O49" s="658">
        <v>0</v>
      </c>
      <c r="P49" s="658">
        <v>0</v>
      </c>
      <c r="Q49" s="658">
        <v>0</v>
      </c>
      <c r="R49" s="658">
        <v>0</v>
      </c>
      <c r="S49" s="658">
        <v>0</v>
      </c>
      <c r="T49" s="658">
        <v>0</v>
      </c>
      <c r="U49" s="658">
        <v>0</v>
      </c>
      <c r="V49" s="658">
        <v>0</v>
      </c>
      <c r="W49" s="1054">
        <v>0</v>
      </c>
      <c r="X49" s="1054">
        <v>0</v>
      </c>
    </row>
    <row r="50" spans="8:24">
      <c r="H50" s="1052" t="s">
        <v>218</v>
      </c>
      <c r="I50" s="18">
        <v>1</v>
      </c>
      <c r="J50" s="18">
        <v>42</v>
      </c>
      <c r="K50" s="20">
        <v>323</v>
      </c>
      <c r="M50" s="658" t="s">
        <v>710</v>
      </c>
      <c r="N50" s="658">
        <v>0</v>
      </c>
      <c r="O50" s="658">
        <v>0</v>
      </c>
      <c r="P50" s="658">
        <v>0</v>
      </c>
      <c r="Q50" s="658">
        <v>0</v>
      </c>
      <c r="R50" s="658">
        <v>0</v>
      </c>
      <c r="S50" s="658">
        <v>0</v>
      </c>
      <c r="T50" s="658">
        <v>0</v>
      </c>
      <c r="U50" s="658">
        <v>0</v>
      </c>
      <c r="V50" s="658">
        <v>0</v>
      </c>
      <c r="W50" s="1054">
        <v>0</v>
      </c>
      <c r="X50" s="1054">
        <v>0</v>
      </c>
    </row>
    <row r="51" spans="8:24">
      <c r="H51" s="1052" t="s">
        <v>1115</v>
      </c>
      <c r="I51" s="18">
        <v>1</v>
      </c>
      <c r="J51" s="18">
        <v>60</v>
      </c>
      <c r="K51" s="20">
        <v>180</v>
      </c>
      <c r="M51" s="658" t="s">
        <v>710</v>
      </c>
      <c r="N51" s="658">
        <v>0</v>
      </c>
      <c r="O51" s="658">
        <v>0</v>
      </c>
      <c r="P51" s="658">
        <v>0</v>
      </c>
      <c r="Q51" s="658">
        <v>0</v>
      </c>
      <c r="R51" s="658">
        <v>0</v>
      </c>
      <c r="S51" s="658">
        <v>0</v>
      </c>
      <c r="T51" s="658">
        <v>0</v>
      </c>
      <c r="U51" s="658">
        <v>0</v>
      </c>
      <c r="V51" s="658">
        <v>0</v>
      </c>
      <c r="W51" s="1054">
        <v>0</v>
      </c>
      <c r="X51" s="1054">
        <v>0</v>
      </c>
    </row>
    <row r="52" spans="8:24">
      <c r="H52" s="1052" t="s">
        <v>871</v>
      </c>
      <c r="I52" s="18">
        <v>1</v>
      </c>
      <c r="J52" s="18">
        <v>36</v>
      </c>
      <c r="K52" s="20">
        <v>452</v>
      </c>
      <c r="M52" s="658" t="s">
        <v>710</v>
      </c>
      <c r="N52" s="658">
        <v>0</v>
      </c>
      <c r="O52" s="658">
        <v>0</v>
      </c>
      <c r="P52" s="658">
        <v>0</v>
      </c>
      <c r="Q52" s="658">
        <v>0</v>
      </c>
      <c r="R52" s="658">
        <v>0</v>
      </c>
      <c r="S52" s="658">
        <v>0</v>
      </c>
      <c r="T52" s="658">
        <v>0</v>
      </c>
      <c r="U52" s="658">
        <v>0</v>
      </c>
      <c r="V52" s="658">
        <v>0</v>
      </c>
      <c r="W52" s="1054">
        <v>0</v>
      </c>
      <c r="X52" s="1054">
        <v>0</v>
      </c>
    </row>
    <row r="53" spans="8:24">
      <c r="M53" s="658" t="s">
        <v>710</v>
      </c>
      <c r="N53" s="658">
        <v>0</v>
      </c>
      <c r="O53" s="658">
        <v>0</v>
      </c>
      <c r="P53" s="658">
        <v>0</v>
      </c>
      <c r="Q53" s="658">
        <v>0</v>
      </c>
      <c r="R53" s="658">
        <v>0</v>
      </c>
      <c r="S53" s="658">
        <v>0</v>
      </c>
      <c r="T53" s="658">
        <v>0</v>
      </c>
      <c r="U53" s="658">
        <v>0</v>
      </c>
      <c r="V53" s="658">
        <v>0</v>
      </c>
      <c r="W53" s="1054">
        <v>0</v>
      </c>
      <c r="X53" s="1054">
        <v>0</v>
      </c>
    </row>
    <row r="54" spans="8:24">
      <c r="L54" s="36" t="s">
        <v>698</v>
      </c>
      <c r="M54" s="658" t="s">
        <v>538</v>
      </c>
      <c r="N54" s="658">
        <v>60</v>
      </c>
      <c r="O54" s="658">
        <v>60</v>
      </c>
      <c r="P54" s="658">
        <v>60</v>
      </c>
      <c r="Q54" s="658">
        <v>60</v>
      </c>
      <c r="R54" s="658">
        <v>0</v>
      </c>
      <c r="S54" s="659">
        <v>0</v>
      </c>
      <c r="T54" s="658">
        <v>3600</v>
      </c>
      <c r="U54" s="658">
        <v>819541</v>
      </c>
      <c r="V54" s="658">
        <v>819541</v>
      </c>
      <c r="W54" s="1054">
        <v>0</v>
      </c>
      <c r="X54" s="1054">
        <v>0</v>
      </c>
    </row>
    <row r="55" spans="8:24">
      <c r="L55" s="36" t="s">
        <v>698</v>
      </c>
      <c r="M55" s="658" t="s">
        <v>0</v>
      </c>
      <c r="N55" s="658">
        <v>138</v>
      </c>
      <c r="O55" s="658">
        <v>60</v>
      </c>
      <c r="P55" s="658">
        <v>138</v>
      </c>
      <c r="Q55" s="658">
        <v>60</v>
      </c>
      <c r="R55" s="658">
        <v>0</v>
      </c>
      <c r="S55" s="659">
        <v>0</v>
      </c>
      <c r="T55" s="658">
        <v>7200</v>
      </c>
      <c r="U55" s="658">
        <v>1639082</v>
      </c>
      <c r="V55" s="658">
        <v>1639082</v>
      </c>
      <c r="W55" s="1054">
        <v>3.25</v>
      </c>
      <c r="X55" s="1054">
        <v>0</v>
      </c>
    </row>
    <row r="57" spans="8:24">
      <c r="N57" t="s">
        <v>61</v>
      </c>
    </row>
    <row r="58" spans="8:24">
      <c r="N58" t="s">
        <v>62</v>
      </c>
    </row>
  </sheetData>
  <sheetProtection algorithmName="SHA-512" hashValue="6VQNzHz61llkJt6IxD1kSPP/fImfBGT288Iw+E6hxT3kJAOI4iktoYbAOeYN9ZHft7/o2cx25eSkihrWDiMXvw==" saltValue="jABTvUhx376uiWH8FvEnmg==" spinCount="100000" sheet="1" objects="1" scenarios="1"/>
  <mergeCells count="18">
    <mergeCell ref="B4:E4"/>
    <mergeCell ref="R27:R28"/>
    <mergeCell ref="R3:AB3"/>
    <mergeCell ref="H4:K4"/>
    <mergeCell ref="M4:P4"/>
    <mergeCell ref="R11:R12"/>
    <mergeCell ref="M42:M43"/>
    <mergeCell ref="T42:T43"/>
    <mergeCell ref="U42:U43"/>
    <mergeCell ref="R42:R43"/>
    <mergeCell ref="P42:P43"/>
    <mergeCell ref="Q42:Q43"/>
    <mergeCell ref="W42:W43"/>
    <mergeCell ref="X42:X43"/>
    <mergeCell ref="V42:V43"/>
    <mergeCell ref="N42:N43"/>
    <mergeCell ref="O42:O43"/>
    <mergeCell ref="S42:S43"/>
  </mergeCells>
  <phoneticPr fontId="0" type="noConversion"/>
  <pageMargins left="0.75" right="0.75" top="1" bottom="1" header="0.5" footer="0.5"/>
  <pageSetup scale="71" orientation="portrait" r:id="rId1"/>
  <headerFooter alignWithMargins="0"/>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Z">
    <tabColor indexed="10"/>
  </sheetPr>
  <dimension ref="A1:D2"/>
  <sheetViews>
    <sheetView workbookViewId="0">
      <selection activeCell="D2" sqref="D2"/>
    </sheetView>
  </sheetViews>
  <sheetFormatPr defaultRowHeight="12.75"/>
  <sheetData>
    <row r="1" spans="1:4">
      <c r="A1" s="44" t="s">
        <v>1371</v>
      </c>
      <c r="D1" t="s">
        <v>96</v>
      </c>
    </row>
    <row r="2" spans="1:4">
      <c r="D2" t="s">
        <v>699</v>
      </c>
    </row>
  </sheetData>
  <sheetProtection password="96EF" sheet="1" objects="1" scenarios="1"/>
  <phoneticPr fontId="49"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ChangePassword">
                <anchor moveWithCells="1" sizeWithCells="1">
                  <from>
                    <xdr:col>3</xdr:col>
                    <xdr:colOff>9525</xdr:colOff>
                    <xdr:row>4</xdr:row>
                    <xdr:rowOff>9525</xdr:rowOff>
                  </from>
                  <to>
                    <xdr:col>5</xdr:col>
                    <xdr:colOff>600075</xdr:colOff>
                    <xdr:row>6</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702</vt:i4>
      </vt:variant>
    </vt:vector>
  </HeadingPairs>
  <TitlesOfParts>
    <vt:vector size="705" baseType="lpstr">
      <vt:lpstr>Prog.Doc.</vt:lpstr>
      <vt:lpstr>Cover Sheet</vt:lpstr>
      <vt:lpstr>Inv Tee-SC</vt:lpstr>
      <vt:lpstr>_IBM1</vt:lpstr>
      <vt:lpstr>_IBM10</vt:lpstr>
      <vt:lpstr>_IBM11</vt:lpstr>
      <vt:lpstr>_IBM12</vt:lpstr>
      <vt:lpstr>_IBM13</vt:lpstr>
      <vt:lpstr>_IBM14</vt:lpstr>
      <vt:lpstr>_IBM15</vt:lpstr>
      <vt:lpstr>_IBM16</vt:lpstr>
      <vt:lpstr>_IBM17</vt:lpstr>
      <vt:lpstr>_IBM18</vt:lpstr>
      <vt:lpstr>_IBM19</vt:lpstr>
      <vt:lpstr>_IBM2</vt:lpstr>
      <vt:lpstr>_IBM20</vt:lpstr>
      <vt:lpstr>_IBM3</vt:lpstr>
      <vt:lpstr>_IBM4</vt:lpstr>
      <vt:lpstr>_IBM5</vt:lpstr>
      <vt:lpstr>_IBM6</vt:lpstr>
      <vt:lpstr>_IBM7</vt:lpstr>
      <vt:lpstr>_IBM8</vt:lpstr>
      <vt:lpstr>_IBM9</vt:lpstr>
      <vt:lpstr>_IMC1</vt:lpstr>
      <vt:lpstr>_IMC10</vt:lpstr>
      <vt:lpstr>_IMC11</vt:lpstr>
      <vt:lpstr>_IMC12</vt:lpstr>
      <vt:lpstr>_IMC13</vt:lpstr>
      <vt:lpstr>_IMC14</vt:lpstr>
      <vt:lpstr>_IMC15</vt:lpstr>
      <vt:lpstr>_IMC16</vt:lpstr>
      <vt:lpstr>_IMC17</vt:lpstr>
      <vt:lpstr>_IMC18</vt:lpstr>
      <vt:lpstr>_IMC19</vt:lpstr>
      <vt:lpstr>_IMC2</vt:lpstr>
      <vt:lpstr>_IMC20</vt:lpstr>
      <vt:lpstr>_IMC21</vt:lpstr>
      <vt:lpstr>_IMC22</vt:lpstr>
      <vt:lpstr>_IMC23</vt:lpstr>
      <vt:lpstr>_IMC24</vt:lpstr>
      <vt:lpstr>_IMC25</vt:lpstr>
      <vt:lpstr>_IMC26</vt:lpstr>
      <vt:lpstr>_IMC27</vt:lpstr>
      <vt:lpstr>_IMC28</vt:lpstr>
      <vt:lpstr>_IMC29</vt:lpstr>
      <vt:lpstr>_IMC3</vt:lpstr>
      <vt:lpstr>_IMC30</vt:lpstr>
      <vt:lpstr>_IMC4</vt:lpstr>
      <vt:lpstr>_IMC5</vt:lpstr>
      <vt:lpstr>_IMC6</vt:lpstr>
      <vt:lpstr>_IMC7</vt:lpstr>
      <vt:lpstr>_IMC8</vt:lpstr>
      <vt:lpstr>_IMC9</vt:lpstr>
      <vt:lpstr>_ISP1</vt:lpstr>
      <vt:lpstr>_ISP10</vt:lpstr>
      <vt:lpstr>_ISP2</vt:lpstr>
      <vt:lpstr>_ISP3</vt:lpstr>
      <vt:lpstr>_ISP4</vt:lpstr>
      <vt:lpstr>_ISP5</vt:lpstr>
      <vt:lpstr>_ISP6</vt:lpstr>
      <vt:lpstr>_ISP7</vt:lpstr>
      <vt:lpstr>_ISP8</vt:lpstr>
      <vt:lpstr>_ISP9</vt:lpstr>
      <vt:lpstr>_IVC1</vt:lpstr>
      <vt:lpstr>_IVC10</vt:lpstr>
      <vt:lpstr>_IVC11</vt:lpstr>
      <vt:lpstr>_IVC12</vt:lpstr>
      <vt:lpstr>_IVC13</vt:lpstr>
      <vt:lpstr>_IVC14</vt:lpstr>
      <vt:lpstr>_IVC15</vt:lpstr>
      <vt:lpstr>_IVC16</vt:lpstr>
      <vt:lpstr>_IVC17</vt:lpstr>
      <vt:lpstr>_IVC18</vt:lpstr>
      <vt:lpstr>_IVC19</vt:lpstr>
      <vt:lpstr>_IVC2</vt:lpstr>
      <vt:lpstr>_IVC20</vt:lpstr>
      <vt:lpstr>_IVC21</vt:lpstr>
      <vt:lpstr>_IVC22</vt:lpstr>
      <vt:lpstr>_IVC23</vt:lpstr>
      <vt:lpstr>_IVC24</vt:lpstr>
      <vt:lpstr>_IVC25</vt:lpstr>
      <vt:lpstr>_IVC26</vt:lpstr>
      <vt:lpstr>_IVC27</vt:lpstr>
      <vt:lpstr>_IVC28</vt:lpstr>
      <vt:lpstr>_IVC29</vt:lpstr>
      <vt:lpstr>_IVC3</vt:lpstr>
      <vt:lpstr>_IVC30</vt:lpstr>
      <vt:lpstr>_IVC4</vt:lpstr>
      <vt:lpstr>_IVC5</vt:lpstr>
      <vt:lpstr>_IVC6</vt:lpstr>
      <vt:lpstr>_IVC7</vt:lpstr>
      <vt:lpstr>_IVC8</vt:lpstr>
      <vt:lpstr>_IVC9</vt:lpstr>
      <vt:lpstr>addl_DC_M</vt:lpstr>
      <vt:lpstr>addl_DC_Mx</vt:lpstr>
      <vt:lpstr>addl_DC_My</vt:lpstr>
      <vt:lpstr>addl_DC_P</vt:lpstr>
      <vt:lpstr>addl_LL_Mx</vt:lpstr>
      <vt:lpstr>addl_Ll_My</vt:lpstr>
      <vt:lpstr>addl_LL_P</vt:lpstr>
      <vt:lpstr>AesthColArea</vt:lpstr>
      <vt:lpstr>AesthColDB</vt:lpstr>
      <vt:lpstr>AesthColLongIg</vt:lpstr>
      <vt:lpstr>AesthColLongWidth</vt:lpstr>
      <vt:lpstr>AesthColSizes</vt:lpstr>
      <vt:lpstr>AesthColSnTLong</vt:lpstr>
      <vt:lpstr>AesthColSnTTrans</vt:lpstr>
      <vt:lpstr>AesthColTransIg</vt:lpstr>
      <vt:lpstr>AesthColTransWidth</vt:lpstr>
      <vt:lpstr>AestheticCol</vt:lpstr>
      <vt:lpstr>Arow1</vt:lpstr>
      <vt:lpstr>Arow2</vt:lpstr>
      <vt:lpstr>Arow3</vt:lpstr>
      <vt:lpstr>ASKcheck</vt:lpstr>
      <vt:lpstr>Atest1</vt:lpstr>
      <vt:lpstr>Atest2</vt:lpstr>
      <vt:lpstr>Atest3</vt:lpstr>
      <vt:lpstr>Atest4</vt:lpstr>
      <vt:lpstr>Atest5</vt:lpstr>
      <vt:lpstr>Atest6</vt:lpstr>
      <vt:lpstr>Atest7</vt:lpstr>
      <vt:lpstr>Atest8</vt:lpstr>
      <vt:lpstr>Atest9</vt:lpstr>
      <vt:lpstr>'Shear(S) '!Av</vt:lpstr>
      <vt:lpstr>Av</vt:lpstr>
      <vt:lpstr>BackBentSkew</vt:lpstr>
      <vt:lpstr>BarM</vt:lpstr>
      <vt:lpstr>BarN</vt:lpstr>
      <vt:lpstr>BarS</vt:lpstr>
      <vt:lpstr>BarsA</vt:lpstr>
      <vt:lpstr>BarsA_As</vt:lpstr>
      <vt:lpstr>BarsA_d</vt:lpstr>
      <vt:lpstr>BarsAdist</vt:lpstr>
      <vt:lpstr>BarSArrange</vt:lpstr>
      <vt:lpstr>BarsB</vt:lpstr>
      <vt:lpstr>BarsB_As</vt:lpstr>
      <vt:lpstr>BarsB_d</vt:lpstr>
      <vt:lpstr>BarsBdist</vt:lpstr>
      <vt:lpstr>BarsH</vt:lpstr>
      <vt:lpstr>BarsSminspa</vt:lpstr>
      <vt:lpstr>BarTable</vt:lpstr>
      <vt:lpstr>BBSPA1</vt:lpstr>
      <vt:lpstr>BBSPA10</vt:lpstr>
      <vt:lpstr>BBSPA11</vt:lpstr>
      <vt:lpstr>BBSPA12</vt:lpstr>
      <vt:lpstr>BBSPA13</vt:lpstr>
      <vt:lpstr>BBSPA14</vt:lpstr>
      <vt:lpstr>BBSPA15</vt:lpstr>
      <vt:lpstr>BBSPA16</vt:lpstr>
      <vt:lpstr>BBSPA17</vt:lpstr>
      <vt:lpstr>BBSPA18</vt:lpstr>
      <vt:lpstr>BBSPA19</vt:lpstr>
      <vt:lpstr>BBSPA2</vt:lpstr>
      <vt:lpstr>BBSPA20</vt:lpstr>
      <vt:lpstr>BBSPA3</vt:lpstr>
      <vt:lpstr>BBSPA4</vt:lpstr>
      <vt:lpstr>BBSPA5</vt:lpstr>
      <vt:lpstr>BBSPA6</vt:lpstr>
      <vt:lpstr>BBSPA7</vt:lpstr>
      <vt:lpstr>BBSPA8</vt:lpstr>
      <vt:lpstr>BBSPA9</vt:lpstr>
      <vt:lpstr>bckspanspa</vt:lpstr>
      <vt:lpstr>be</vt:lpstr>
      <vt:lpstr>BeamType</vt:lpstr>
      <vt:lpstr>BearingDist</vt:lpstr>
      <vt:lpstr>BentSkew</vt:lpstr>
      <vt:lpstr>beSC</vt:lpstr>
      <vt:lpstr>Betta_table</vt:lpstr>
      <vt:lpstr>BkBearing</vt:lpstr>
      <vt:lpstr>BkBm1toCapEnd</vt:lpstr>
      <vt:lpstr>bkbmdepth</vt:lpstr>
      <vt:lpstr>BkBms</vt:lpstr>
      <vt:lpstr>bkbrgpad</vt:lpstr>
      <vt:lpstr>BkSpa</vt:lpstr>
      <vt:lpstr>BkSpanDC</vt:lpstr>
      <vt:lpstr>BkSpanDW</vt:lpstr>
      <vt:lpstr>bkspangirder</vt:lpstr>
      <vt:lpstr>bkspanhaunch</vt:lpstr>
      <vt:lpstr>BkSpanLeftLen</vt:lpstr>
      <vt:lpstr>BkSpanLong</vt:lpstr>
      <vt:lpstr>bkspanpgl</vt:lpstr>
      <vt:lpstr>BkSpanRightLen</vt:lpstr>
      <vt:lpstr>bkspantype</vt:lpstr>
      <vt:lpstr>Bm1toCapEnd</vt:lpstr>
      <vt:lpstr>BmEndDist</vt:lpstr>
      <vt:lpstr>BmLastToCapEnd</vt:lpstr>
      <vt:lpstr>BmNumbers</vt:lpstr>
      <vt:lpstr>BR_Neglect</vt:lpstr>
      <vt:lpstr>BR_Neglect25?</vt:lpstr>
      <vt:lpstr>BreakBackDistance</vt:lpstr>
      <vt:lpstr>Breakbacks</vt:lpstr>
      <vt:lpstr>Brow1</vt:lpstr>
      <vt:lpstr>Brow2</vt:lpstr>
      <vt:lpstr>Brow3</vt:lpstr>
      <vt:lpstr>Btest1</vt:lpstr>
      <vt:lpstr>Btest2</vt:lpstr>
      <vt:lpstr>Btest3</vt:lpstr>
      <vt:lpstr>Btest4</vt:lpstr>
      <vt:lpstr>Btest5</vt:lpstr>
      <vt:lpstr>Btest6</vt:lpstr>
      <vt:lpstr>Btest7</vt:lpstr>
      <vt:lpstr>Btest8</vt:lpstr>
      <vt:lpstr>Btest9</vt:lpstr>
      <vt:lpstr>'Shear(S) '!bv</vt:lpstr>
      <vt:lpstr>bv</vt:lpstr>
      <vt:lpstr>CAP18CHECK</vt:lpstr>
      <vt:lpstr>CAP18comptot</vt:lpstr>
      <vt:lpstr>cap18init</vt:lpstr>
      <vt:lpstr>cap18ver</vt:lpstr>
      <vt:lpstr>caparea</vt:lpstr>
      <vt:lpstr>CapDataSht</vt:lpstr>
      <vt:lpstr>capdensity</vt:lpstr>
      <vt:lpstr>CapDepth</vt:lpstr>
      <vt:lpstr>CapEndToSlabEdge</vt:lpstr>
      <vt:lpstr>capheight</vt:lpstr>
      <vt:lpstr>CapInit</vt:lpstr>
      <vt:lpstr>CapitalWeight</vt:lpstr>
      <vt:lpstr>CapitalWidth</vt:lpstr>
      <vt:lpstr>CapitalWt</vt:lpstr>
      <vt:lpstr>CapLedgeDepth</vt:lpstr>
      <vt:lpstr>caplength</vt:lpstr>
      <vt:lpstr>capstemWidth</vt:lpstr>
      <vt:lpstr>CapType</vt:lpstr>
      <vt:lpstr>CapWeight</vt:lpstr>
      <vt:lpstr>capwtpersta</vt:lpstr>
      <vt:lpstr>CheckerDate</vt:lpstr>
      <vt:lpstr>CheckerInit</vt:lpstr>
      <vt:lpstr>CheckerName</vt:lpstr>
      <vt:lpstr>Cmplx_Bk_CCBm1</vt:lpstr>
      <vt:lpstr>Cmplx_Bk_CCBm10</vt:lpstr>
      <vt:lpstr>Cmplx_Bk_CCBm11</vt:lpstr>
      <vt:lpstr>Cmplx_Bk_CCBm12</vt:lpstr>
      <vt:lpstr>Cmplx_Bk_CCBm13</vt:lpstr>
      <vt:lpstr>Cmplx_Bk_CCBm14</vt:lpstr>
      <vt:lpstr>Cmplx_Bk_CCBm15</vt:lpstr>
      <vt:lpstr>Cmplx_Bk_CCBm16</vt:lpstr>
      <vt:lpstr>Cmplx_Bk_CCBm17</vt:lpstr>
      <vt:lpstr>Cmplx_Bk_CCBm18</vt:lpstr>
      <vt:lpstr>Cmplx_Bk_CCBm19</vt:lpstr>
      <vt:lpstr>Cmplx_Bk_CCBm2</vt:lpstr>
      <vt:lpstr>Cmplx_Bk_CCBm20</vt:lpstr>
      <vt:lpstr>Cmplx_Bk_CCBm3</vt:lpstr>
      <vt:lpstr>Cmplx_Bk_CCBm4</vt:lpstr>
      <vt:lpstr>Cmplx_Bk_CCBm5</vt:lpstr>
      <vt:lpstr>Cmplx_Bk_CCBm6</vt:lpstr>
      <vt:lpstr>Cmplx_Bk_CCBm7</vt:lpstr>
      <vt:lpstr>Cmplx_Bk_CCBm8</vt:lpstr>
      <vt:lpstr>Cmplx_Bk_CCBm9</vt:lpstr>
      <vt:lpstr>Cmplx_Bk_PGLBm1</vt:lpstr>
      <vt:lpstr>Cmplx_Bk_PGLBm10</vt:lpstr>
      <vt:lpstr>Cmplx_Bk_PGLBm11</vt:lpstr>
      <vt:lpstr>Cmplx_Bk_PGLBm12</vt:lpstr>
      <vt:lpstr>Cmplx_Bk_PGLBm13</vt:lpstr>
      <vt:lpstr>Cmplx_Bk_PGLBm14</vt:lpstr>
      <vt:lpstr>Cmplx_Bk_PGLBm15</vt:lpstr>
      <vt:lpstr>Cmplx_Bk_PGLBm16</vt:lpstr>
      <vt:lpstr>Cmplx_Bk_PGLBm17</vt:lpstr>
      <vt:lpstr>Cmplx_Bk_PGLBm18</vt:lpstr>
      <vt:lpstr>Cmplx_Bk_PGLBm19</vt:lpstr>
      <vt:lpstr>Cmplx_Bk_PGLBm2</vt:lpstr>
      <vt:lpstr>Cmplx_Bk_PGLBm20</vt:lpstr>
      <vt:lpstr>Cmplx_Bk_PGLBm3</vt:lpstr>
      <vt:lpstr>Cmplx_Bk_PGLBm4</vt:lpstr>
      <vt:lpstr>Cmplx_Bk_PGLBm5</vt:lpstr>
      <vt:lpstr>Cmplx_Bk_PGLBm6</vt:lpstr>
      <vt:lpstr>Cmplx_Bk_PGLBm7</vt:lpstr>
      <vt:lpstr>Cmplx_Bk_PGLBm8</vt:lpstr>
      <vt:lpstr>Cmplx_Bk_PGLBm9</vt:lpstr>
      <vt:lpstr>Cmplx_Bk_Width</vt:lpstr>
      <vt:lpstr>Cmplx_Fd_CCBm1</vt:lpstr>
      <vt:lpstr>Cmplx_Fd_CCBm10</vt:lpstr>
      <vt:lpstr>Cmplx_Fd_CCBm11</vt:lpstr>
      <vt:lpstr>Cmplx_Fd_CCBm12</vt:lpstr>
      <vt:lpstr>Cmplx_Fd_CCBm13</vt:lpstr>
      <vt:lpstr>Cmplx_Fd_CCBm14</vt:lpstr>
      <vt:lpstr>Cmplx_Fd_CCBm15</vt:lpstr>
      <vt:lpstr>Cmplx_Fd_CCBm16</vt:lpstr>
      <vt:lpstr>Cmplx_Fd_CCBm17</vt:lpstr>
      <vt:lpstr>Cmplx_Fd_CCBm18</vt:lpstr>
      <vt:lpstr>Cmplx_Fd_CCBm19</vt:lpstr>
      <vt:lpstr>Cmplx_Fd_CCBm2</vt:lpstr>
      <vt:lpstr>Cmplx_Fd_CCBm20</vt:lpstr>
      <vt:lpstr>Cmplx_Fd_CCBm3</vt:lpstr>
      <vt:lpstr>Cmplx_Fd_CCBm4</vt:lpstr>
      <vt:lpstr>Cmplx_Fd_CCBm5</vt:lpstr>
      <vt:lpstr>Cmplx_Fd_CCBm6</vt:lpstr>
      <vt:lpstr>Cmplx_Fd_CCBm7</vt:lpstr>
      <vt:lpstr>Cmplx_Fd_CCBm8</vt:lpstr>
      <vt:lpstr>Cmplx_Fd_CCBm9</vt:lpstr>
      <vt:lpstr>Cmplx_Fd_PGLBm1</vt:lpstr>
      <vt:lpstr>Cmplx_Fd_PGLBm10</vt:lpstr>
      <vt:lpstr>Cmplx_Fd_PGLBm11</vt:lpstr>
      <vt:lpstr>Cmplx_Fd_PGLBm12</vt:lpstr>
      <vt:lpstr>Cmplx_Fd_PGLBm13</vt:lpstr>
      <vt:lpstr>Cmplx_Fd_PGLBm14</vt:lpstr>
      <vt:lpstr>Cmplx_Fd_PGLBm15</vt:lpstr>
      <vt:lpstr>Cmplx_Fd_PGLBm16</vt:lpstr>
      <vt:lpstr>Cmplx_Fd_PGLBm17</vt:lpstr>
      <vt:lpstr>Cmplx_Fd_PGLBm18</vt:lpstr>
      <vt:lpstr>Cmplx_Fd_PGLBm19</vt:lpstr>
      <vt:lpstr>Cmplx_Fd_PGLBm2</vt:lpstr>
      <vt:lpstr>Cmplx_Fd_PGLBm20</vt:lpstr>
      <vt:lpstr>Cmplx_Fd_PGLBm3</vt:lpstr>
      <vt:lpstr>Cmplx_Fd_PGLBm4</vt:lpstr>
      <vt:lpstr>Cmplx_Fd_PGLBm5</vt:lpstr>
      <vt:lpstr>Cmplx_Fd_PGLBm6</vt:lpstr>
      <vt:lpstr>Cmplx_Fd_PGLBm7</vt:lpstr>
      <vt:lpstr>Cmplx_Fd_PGLBm8</vt:lpstr>
      <vt:lpstr>Cmplx_Fd_PGLBm9</vt:lpstr>
      <vt:lpstr>Cmplx_Fd_Width</vt:lpstr>
      <vt:lpstr>CmplxBackCCBentDist</vt:lpstr>
      <vt:lpstr>CmplxFwdCCBentDist</vt:lpstr>
      <vt:lpstr>coded</vt:lpstr>
      <vt:lpstr>Col_Base_I</vt:lpstr>
      <vt:lpstr>Col_Base_II</vt:lpstr>
      <vt:lpstr>Col_Offset</vt:lpstr>
      <vt:lpstr>Col_Top_I</vt:lpstr>
      <vt:lpstr>Col_Top_II</vt:lpstr>
      <vt:lpstr>ColArea</vt:lpstr>
      <vt:lpstr>ColDataSht</vt:lpstr>
      <vt:lpstr>ColHeightI</vt:lpstr>
      <vt:lpstr>ColHeightII</vt:lpstr>
      <vt:lpstr>ColILong</vt:lpstr>
      <vt:lpstr>ColInit</vt:lpstr>
      <vt:lpstr>ColITrans</vt:lpstr>
      <vt:lpstr>collongwidth</vt:lpstr>
      <vt:lpstr>ColNumbers</vt:lpstr>
      <vt:lpstr>ColSpa1</vt:lpstr>
      <vt:lpstr>ColSpa10</vt:lpstr>
      <vt:lpstr>ColSpa2</vt:lpstr>
      <vt:lpstr>ColSpa3</vt:lpstr>
      <vt:lpstr>ColSpa4</vt:lpstr>
      <vt:lpstr>ColSpa5</vt:lpstr>
      <vt:lpstr>ColSpa6</vt:lpstr>
      <vt:lpstr>ColSpa7</vt:lpstr>
      <vt:lpstr>ColSpa8</vt:lpstr>
      <vt:lpstr>ColSpa9</vt:lpstr>
      <vt:lpstr>ColSpaEnd</vt:lpstr>
      <vt:lpstr>coltranswidth</vt:lpstr>
      <vt:lpstr>ColType</vt:lpstr>
      <vt:lpstr>COLUMNDATA</vt:lpstr>
      <vt:lpstr>ColumnSpacing</vt:lpstr>
      <vt:lpstr>ColumnsShare</vt:lpstr>
      <vt:lpstr>ComplexDeckWidth</vt:lpstr>
      <vt:lpstr>ComplexDistToSta</vt:lpstr>
      <vt:lpstr>ComplexGeom</vt:lpstr>
      <vt:lpstr>ComplexPGLDist</vt:lpstr>
      <vt:lpstr>ComplexSkew</vt:lpstr>
      <vt:lpstr>condition</vt:lpstr>
      <vt:lpstr>countpts</vt:lpstr>
      <vt:lpstr>county</vt:lpstr>
      <vt:lpstr>cover</vt:lpstr>
      <vt:lpstr>crossslope</vt:lpstr>
      <vt:lpstr>csj</vt:lpstr>
      <vt:lpstr>CurrentVersion</vt:lpstr>
      <vt:lpstr>Curvechoices</vt:lpstr>
      <vt:lpstr>curvedirection</vt:lpstr>
      <vt:lpstr>date</vt:lpstr>
      <vt:lpstr>DC_LEFT_PERC</vt:lpstr>
      <vt:lpstr>DeckWidth</vt:lpstr>
      <vt:lpstr>description</vt:lpstr>
      <vt:lpstr>DesignerDate</vt:lpstr>
      <vt:lpstr>DesignerInit</vt:lpstr>
      <vt:lpstr>DesignerName</vt:lpstr>
      <vt:lpstr>DrilledShaftSht</vt:lpstr>
      <vt:lpstr>dsgnspeed</vt:lpstr>
      <vt:lpstr>'Shear(S) '!dv</vt:lpstr>
      <vt:lpstr>dv</vt:lpstr>
      <vt:lpstr>Earwall_Area</vt:lpstr>
      <vt:lpstr>Earwall_Left</vt:lpstr>
      <vt:lpstr>Earwall_Right</vt:lpstr>
      <vt:lpstr>Ec</vt:lpstr>
      <vt:lpstr>ElevationAdjust</vt:lpstr>
      <vt:lpstr>Es</vt:lpstr>
      <vt:lpstr>'Shear(S) '!Ex</vt:lpstr>
      <vt:lpstr>Ex</vt:lpstr>
      <vt:lpstr>exposure</vt:lpstr>
      <vt:lpstr>FBSPA1</vt:lpstr>
      <vt:lpstr>FBSPA10</vt:lpstr>
      <vt:lpstr>FBSPA11</vt:lpstr>
      <vt:lpstr>FBSPA12</vt:lpstr>
      <vt:lpstr>FBSPA13</vt:lpstr>
      <vt:lpstr>FBSPA14</vt:lpstr>
      <vt:lpstr>FBSPA15</vt:lpstr>
      <vt:lpstr>FBSPA16</vt:lpstr>
      <vt:lpstr>FBSPA17</vt:lpstr>
      <vt:lpstr>FBSPA18</vt:lpstr>
      <vt:lpstr>FBSPA19</vt:lpstr>
      <vt:lpstr>FBSPA2</vt:lpstr>
      <vt:lpstr>FBSPA20</vt:lpstr>
      <vt:lpstr>FBSPA3</vt:lpstr>
      <vt:lpstr>FBSPA4</vt:lpstr>
      <vt:lpstr>FBSPA5</vt:lpstr>
      <vt:lpstr>FBSPA6</vt:lpstr>
      <vt:lpstr>FBSPA7</vt:lpstr>
      <vt:lpstr>FBSPA8</vt:lpstr>
      <vt:lpstr>FBSPA9</vt:lpstr>
      <vt:lpstr>fc</vt:lpstr>
      <vt:lpstr>FdBm1toCapEnd</vt:lpstr>
      <vt:lpstr>fdbmdepth</vt:lpstr>
      <vt:lpstr>FdBms</vt:lpstr>
      <vt:lpstr>fdbrgpad</vt:lpstr>
      <vt:lpstr>FdSpa</vt:lpstr>
      <vt:lpstr>fdspangirder</vt:lpstr>
      <vt:lpstr>fdspanhaunch</vt:lpstr>
      <vt:lpstr>FdSpanLeftLen</vt:lpstr>
      <vt:lpstr>FdSpanLong</vt:lpstr>
      <vt:lpstr>fdspanpgl</vt:lpstr>
      <vt:lpstr>FdSpanRightLen</vt:lpstr>
      <vt:lpstr>fdspantype</vt:lpstr>
      <vt:lpstr>Filename</vt:lpstr>
      <vt:lpstr>FwdBentSkew</vt:lpstr>
      <vt:lpstr>FwdBmLastToCapEnd</vt:lpstr>
      <vt:lpstr>FwdSpanDC</vt:lpstr>
      <vt:lpstr>FwdSpanDW</vt:lpstr>
      <vt:lpstr>fwdspanspa</vt:lpstr>
      <vt:lpstr>FWSthickness</vt:lpstr>
      <vt:lpstr>FWSwt</vt:lpstr>
      <vt:lpstr>fy</vt:lpstr>
      <vt:lpstr>halfeffectiveface</vt:lpstr>
      <vt:lpstr>hwy</vt:lpstr>
      <vt:lpstr>ICrds2</vt:lpstr>
      <vt:lpstr>ICrds3</vt:lpstr>
      <vt:lpstr>ICrds4</vt:lpstr>
      <vt:lpstr>IEnv</vt:lpstr>
      <vt:lpstr>IIBM1</vt:lpstr>
      <vt:lpstr>IIBM10</vt:lpstr>
      <vt:lpstr>IIBM11</vt:lpstr>
      <vt:lpstr>IIBM12</vt:lpstr>
      <vt:lpstr>IIBM13</vt:lpstr>
      <vt:lpstr>IIBM14</vt:lpstr>
      <vt:lpstr>IIBM15</vt:lpstr>
      <vt:lpstr>IIBM16</vt:lpstr>
      <vt:lpstr>IIBM17</vt:lpstr>
      <vt:lpstr>IIBM18</vt:lpstr>
      <vt:lpstr>IIBM19</vt:lpstr>
      <vt:lpstr>IIBM2</vt:lpstr>
      <vt:lpstr>IIBM20</vt:lpstr>
      <vt:lpstr>IIBM3</vt:lpstr>
      <vt:lpstr>IIBM4</vt:lpstr>
      <vt:lpstr>IIBM5</vt:lpstr>
      <vt:lpstr>IIBM6</vt:lpstr>
      <vt:lpstr>IIBM7</vt:lpstr>
      <vt:lpstr>IIBM8</vt:lpstr>
      <vt:lpstr>IIBM9</vt:lpstr>
      <vt:lpstr>IIMC1</vt:lpstr>
      <vt:lpstr>IIMC10</vt:lpstr>
      <vt:lpstr>IIMC11</vt:lpstr>
      <vt:lpstr>IIMC12</vt:lpstr>
      <vt:lpstr>IIMC13</vt:lpstr>
      <vt:lpstr>IIMC14</vt:lpstr>
      <vt:lpstr>IIMC15</vt:lpstr>
      <vt:lpstr>IIMC16</vt:lpstr>
      <vt:lpstr>IIMC17</vt:lpstr>
      <vt:lpstr>IIMC18</vt:lpstr>
      <vt:lpstr>IIMC19</vt:lpstr>
      <vt:lpstr>IIMC2</vt:lpstr>
      <vt:lpstr>IIMC20</vt:lpstr>
      <vt:lpstr>IIMC21</vt:lpstr>
      <vt:lpstr>IIMC22</vt:lpstr>
      <vt:lpstr>IIMC23</vt:lpstr>
      <vt:lpstr>IIMC24</vt:lpstr>
      <vt:lpstr>IIMC25</vt:lpstr>
      <vt:lpstr>IIMC26</vt:lpstr>
      <vt:lpstr>IIMC27</vt:lpstr>
      <vt:lpstr>IIMC28</vt:lpstr>
      <vt:lpstr>IIMC29</vt:lpstr>
      <vt:lpstr>IIMC3</vt:lpstr>
      <vt:lpstr>IIMC30</vt:lpstr>
      <vt:lpstr>IIMC4</vt:lpstr>
      <vt:lpstr>IIMC5</vt:lpstr>
      <vt:lpstr>IIMC6</vt:lpstr>
      <vt:lpstr>IIMC7</vt:lpstr>
      <vt:lpstr>IIMC8</vt:lpstr>
      <vt:lpstr>IIMC9</vt:lpstr>
      <vt:lpstr>IISP1</vt:lpstr>
      <vt:lpstr>IISP10</vt:lpstr>
      <vt:lpstr>IISP2</vt:lpstr>
      <vt:lpstr>IISP3</vt:lpstr>
      <vt:lpstr>IISP4</vt:lpstr>
      <vt:lpstr>IISP5</vt:lpstr>
      <vt:lpstr>IISP6</vt:lpstr>
      <vt:lpstr>IISP7</vt:lpstr>
      <vt:lpstr>IISP8</vt:lpstr>
      <vt:lpstr>IISP9</vt:lpstr>
      <vt:lpstr>IIVC1</vt:lpstr>
      <vt:lpstr>IIVC10</vt:lpstr>
      <vt:lpstr>IIVC11</vt:lpstr>
      <vt:lpstr>IIVC12</vt:lpstr>
      <vt:lpstr>IIVC13</vt:lpstr>
      <vt:lpstr>IIVC14</vt:lpstr>
      <vt:lpstr>IIVC15</vt:lpstr>
      <vt:lpstr>IIVC16</vt:lpstr>
      <vt:lpstr>IIVC17</vt:lpstr>
      <vt:lpstr>IIVC18</vt:lpstr>
      <vt:lpstr>IIVC19</vt:lpstr>
      <vt:lpstr>IIVC2</vt:lpstr>
      <vt:lpstr>IIVC20</vt:lpstr>
      <vt:lpstr>IIVC21</vt:lpstr>
      <vt:lpstr>IIVC22</vt:lpstr>
      <vt:lpstr>IIVC23</vt:lpstr>
      <vt:lpstr>IIVC24</vt:lpstr>
      <vt:lpstr>IIVC25</vt:lpstr>
      <vt:lpstr>IIVC26</vt:lpstr>
      <vt:lpstr>IIVC27</vt:lpstr>
      <vt:lpstr>IIVC28</vt:lpstr>
      <vt:lpstr>IIVC29</vt:lpstr>
      <vt:lpstr>IIVC3</vt:lpstr>
      <vt:lpstr>IIVC30</vt:lpstr>
      <vt:lpstr>IIVC4</vt:lpstr>
      <vt:lpstr>IIVC5</vt:lpstr>
      <vt:lpstr>IIVC6</vt:lpstr>
      <vt:lpstr>IIVC7</vt:lpstr>
      <vt:lpstr>IIVC8</vt:lpstr>
      <vt:lpstr>IIVC9</vt:lpstr>
      <vt:lpstr>IMBothSpan</vt:lpstr>
      <vt:lpstr>IMLongSpan</vt:lpstr>
      <vt:lpstr>Incr</vt:lpstr>
      <vt:lpstr>InputIncrement</vt:lpstr>
      <vt:lpstr>INTBMLLDF</vt:lpstr>
      <vt:lpstr>INTBMLLDFMC</vt:lpstr>
      <vt:lpstr>InvT_Ao</vt:lpstr>
      <vt:lpstr>InvT_P_Ext</vt:lpstr>
      <vt:lpstr>InvT_P_Ext_srv</vt:lpstr>
      <vt:lpstr>InvT_P_Int</vt:lpstr>
      <vt:lpstr>InvT_P_Int_srv</vt:lpstr>
      <vt:lpstr>InvT_Tassoc</vt:lpstr>
      <vt:lpstr>InvT_Tmax</vt:lpstr>
      <vt:lpstr>InvT_Vassoc</vt:lpstr>
      <vt:lpstr>InvT_Veq</vt:lpstr>
      <vt:lpstr>InvT_Vmax</vt:lpstr>
      <vt:lpstr>InvTeeBotWidth</vt:lpstr>
      <vt:lpstr>InvTSC_Ao</vt:lpstr>
      <vt:lpstr>InvTSC_P_Ext</vt:lpstr>
      <vt:lpstr>InvTSC_P_Ext_srv</vt:lpstr>
      <vt:lpstr>InvTSC_P_Int</vt:lpstr>
      <vt:lpstr>InvTSC_P_Int_srv</vt:lpstr>
      <vt:lpstr>InvTSC_Tassoc</vt:lpstr>
      <vt:lpstr>InvTSC_Tmax</vt:lpstr>
      <vt:lpstr>InvTSC_Vassoc</vt:lpstr>
      <vt:lpstr>InvTSC_Veq</vt:lpstr>
      <vt:lpstr>InvTSC_Vmax</vt:lpstr>
      <vt:lpstr>IPlot</vt:lpstr>
      <vt:lpstr>IPrnt</vt:lpstr>
      <vt:lpstr>ISkew</vt:lpstr>
      <vt:lpstr>ISUP1</vt:lpstr>
      <vt:lpstr>ISUP10</vt:lpstr>
      <vt:lpstr>ISUP2</vt:lpstr>
      <vt:lpstr>ISUP3</vt:lpstr>
      <vt:lpstr>ISUP4</vt:lpstr>
      <vt:lpstr>ISUP5</vt:lpstr>
      <vt:lpstr>ISUP6</vt:lpstr>
      <vt:lpstr>ISUP7</vt:lpstr>
      <vt:lpstr>ISUP8</vt:lpstr>
      <vt:lpstr>ISUP9</vt:lpstr>
      <vt:lpstr>JobNum</vt:lpstr>
      <vt:lpstr>ListCapTypes</vt:lpstr>
      <vt:lpstr>LLBothSpan</vt:lpstr>
      <vt:lpstr>LLLongSpan</vt:lpstr>
      <vt:lpstr>LLTruckBk</vt:lpstr>
      <vt:lpstr>LLTruckBoth</vt:lpstr>
      <vt:lpstr>LLTruckFd</vt:lpstr>
      <vt:lpstr>maxsta</vt:lpstr>
      <vt:lpstr>maxx</vt:lpstr>
      <vt:lpstr>MultiPresIn</vt:lpstr>
      <vt:lpstr>MultiPresOut</vt:lpstr>
      <vt:lpstr>MultiPresTot</vt:lpstr>
      <vt:lpstr>NegMomentChk</vt:lpstr>
      <vt:lpstr>NoHbars</vt:lpstr>
      <vt:lpstr>NoSupports</vt:lpstr>
      <vt:lpstr>NumberHbars</vt:lpstr>
      <vt:lpstr>NumLanes</vt:lpstr>
      <vt:lpstr>NumLanesIn</vt:lpstr>
      <vt:lpstr>NumLanesOut</vt:lpstr>
      <vt:lpstr>OSOH</vt:lpstr>
      <vt:lpstr>OSOHBack</vt:lpstr>
      <vt:lpstr>OSOHBackRT</vt:lpstr>
      <vt:lpstr>OSOHRT</vt:lpstr>
      <vt:lpstr>PedestalHt</vt:lpstr>
      <vt:lpstr>PedestalWt</vt:lpstr>
      <vt:lpstr>PermLoadsBotCol1</vt:lpstr>
      <vt:lpstr>PermLoadsBotCol2</vt:lpstr>
      <vt:lpstr>PermLoadsCol1</vt:lpstr>
      <vt:lpstr>PermLoadsCol2</vt:lpstr>
      <vt:lpstr>PGLdist</vt:lpstr>
      <vt:lpstr>PGLradius</vt:lpstr>
      <vt:lpstr>PGLToBm1</vt:lpstr>
      <vt:lpstr>PosMomentChk</vt:lpstr>
      <vt:lpstr>'Bars A'!Print_Area</vt:lpstr>
      <vt:lpstr>'Bars B'!Print_Area</vt:lpstr>
      <vt:lpstr>'Cap Analysis'!Print_Area</vt:lpstr>
      <vt:lpstr>'CAP18 Input'!Print_Area</vt:lpstr>
      <vt:lpstr>'CAP18 Out(1)'!Print_Area</vt:lpstr>
      <vt:lpstr>'CAP18 Out(2)'!Print_Area</vt:lpstr>
      <vt:lpstr>'CE &amp; BR'!Print_Area</vt:lpstr>
      <vt:lpstr>'Col Analysis-I'!Print_Area</vt:lpstr>
      <vt:lpstr>'Col Analysis-II'!Print_Area</vt:lpstr>
      <vt:lpstr>'Complex Geometry'!Print_Area</vt:lpstr>
      <vt:lpstr>'Conc DL'!Print_Area</vt:lpstr>
      <vt:lpstr>'Cover Sheet'!Print_Area</vt:lpstr>
      <vt:lpstr>'D.S. Loads'!Print_Area</vt:lpstr>
      <vt:lpstr>'Dead Load Moment'!Print_Area</vt:lpstr>
      <vt:lpstr>'Design Summary'!Print_Area</vt:lpstr>
      <vt:lpstr>Geometry!Print_Area</vt:lpstr>
      <vt:lpstr>'Inv Tee'!Print_Area</vt:lpstr>
      <vt:lpstr>'Inv Tee-SC'!Print_Area</vt:lpstr>
      <vt:lpstr>'Live Load'!Print_Area</vt:lpstr>
      <vt:lpstr>'Live Load on Cap'!Print_Area</vt:lpstr>
      <vt:lpstr>'Live Load on Column'!Print_Area</vt:lpstr>
      <vt:lpstr>Prog.Doc.!Print_Area</vt:lpstr>
      <vt:lpstr>Reference!Print_Area</vt:lpstr>
      <vt:lpstr>'Shear(M)'!Print_Area</vt:lpstr>
      <vt:lpstr>'Shear(S) '!Print_Area</vt:lpstr>
      <vt:lpstr>'Wind Loads'!Print_Area</vt:lpstr>
      <vt:lpstr>'Bars A'!Print_Titles</vt:lpstr>
      <vt:lpstr>'Bars B'!Print_Titles</vt:lpstr>
      <vt:lpstr>'Cap Analysis'!Print_Titles</vt:lpstr>
      <vt:lpstr>'CAP18 Input'!Print_Titles</vt:lpstr>
      <vt:lpstr>'CAP18 Out(1)'!Print_Titles</vt:lpstr>
      <vt:lpstr>'CAP18 Out(2)'!Print_Titles</vt:lpstr>
      <vt:lpstr>'CE &amp; BR'!Print_Titles</vt:lpstr>
      <vt:lpstr>'Col Analysis-I'!Print_Titles</vt:lpstr>
      <vt:lpstr>'Col Analysis-II'!Print_Titles</vt:lpstr>
      <vt:lpstr>'Complex Geometry'!Print_Titles</vt:lpstr>
      <vt:lpstr>'Conc DL'!Print_Titles</vt:lpstr>
      <vt:lpstr>'Cover Sheet'!Print_Titles</vt:lpstr>
      <vt:lpstr>'Dead Load Moment'!Print_Titles</vt:lpstr>
      <vt:lpstr>'Design Summary'!Print_Titles</vt:lpstr>
      <vt:lpstr>Geometry!Print_Titles</vt:lpstr>
      <vt:lpstr>'Inv Tee'!Print_Titles</vt:lpstr>
      <vt:lpstr>'Inv Tee-SC'!Print_Titles</vt:lpstr>
      <vt:lpstr>'Live Load'!Print_Titles</vt:lpstr>
      <vt:lpstr>'Live Load on Cap'!Print_Titles</vt:lpstr>
      <vt:lpstr>'Live Load on Column'!Print_Titles</vt:lpstr>
      <vt:lpstr>Prog.Doc.!Print_Titles</vt:lpstr>
      <vt:lpstr>'Shear(M)'!Print_Titles</vt:lpstr>
      <vt:lpstr>'Shear(S) '!Print_Titles</vt:lpstr>
      <vt:lpstr>'Wind Loads'!Print_Titles</vt:lpstr>
      <vt:lpstr>PrjV30</vt:lpstr>
      <vt:lpstr>ProbI1</vt:lpstr>
      <vt:lpstr>ProbI2</vt:lpstr>
      <vt:lpstr>ProbI3</vt:lpstr>
      <vt:lpstr>ProbII1</vt:lpstr>
      <vt:lpstr>ProjectName</vt:lpstr>
      <vt:lpstr>ProjectSubject</vt:lpstr>
      <vt:lpstr>PSWRD</vt:lpstr>
      <vt:lpstr>rail3rd</vt:lpstr>
      <vt:lpstr>Rail3rdWt</vt:lpstr>
      <vt:lpstr>RailDistributeBackEnd</vt:lpstr>
      <vt:lpstr>RailDistributeBackStart</vt:lpstr>
      <vt:lpstr>RailDistributeFwdEnd</vt:lpstr>
      <vt:lpstr>RailDistributeFwdStart</vt:lpstr>
      <vt:lpstr>RailDistribution</vt:lpstr>
      <vt:lpstr>railheight</vt:lpstr>
      <vt:lpstr>railLeft</vt:lpstr>
      <vt:lpstr>railRight</vt:lpstr>
      <vt:lpstr>RailRightWt</vt:lpstr>
      <vt:lpstr>RailType</vt:lpstr>
      <vt:lpstr>RailWidth</vt:lpstr>
      <vt:lpstr>RailWidthRt</vt:lpstr>
      <vt:lpstr>RailWtLeft</vt:lpstr>
      <vt:lpstr>RdwyWidth</vt:lpstr>
      <vt:lpstr>sdwkdensity</vt:lpstr>
      <vt:lpstr>sdwkthickness</vt:lpstr>
      <vt:lpstr>sdwkwidth</vt:lpstr>
      <vt:lpstr>segmentlength</vt:lpstr>
      <vt:lpstr>sidewalk</vt:lpstr>
      <vt:lpstr>Skew</vt:lpstr>
      <vt:lpstr>'Inv Tee'!slabthickness</vt:lpstr>
      <vt:lpstr>'Inv Tee-SC'!slabthickness</vt:lpstr>
      <vt:lpstr>'Live Load on Column'!slabthickness</vt:lpstr>
      <vt:lpstr>slabthickness</vt:lpstr>
      <vt:lpstr>SpaCheck</vt:lpstr>
      <vt:lpstr>stations</vt:lpstr>
      <vt:lpstr>Stirrup</vt:lpstr>
      <vt:lpstr>StirrupArrangmentOptions</vt:lpstr>
      <vt:lpstr>Subject</vt:lpstr>
      <vt:lpstr>super?</vt:lpstr>
      <vt:lpstr>superdepth</vt:lpstr>
      <vt:lpstr>'Shear(S) '!SVs</vt:lpstr>
      <vt:lpstr>SVs</vt:lpstr>
      <vt:lpstr>SWalkDistributeBackEnd</vt:lpstr>
      <vt:lpstr>SWalkDistributeBackStart</vt:lpstr>
      <vt:lpstr>SWalkDistributeFwdEnd</vt:lpstr>
      <vt:lpstr>SWalkDistributeFwdStart</vt:lpstr>
      <vt:lpstr>'Bars A'!test</vt:lpstr>
      <vt:lpstr>'Bars B'!test</vt:lpstr>
      <vt:lpstr>'Shear(M)'!test</vt:lpstr>
      <vt:lpstr>'Shear(S) '!test</vt:lpstr>
      <vt:lpstr>Theta_table</vt:lpstr>
      <vt:lpstr>TransLoadsBotCol1</vt:lpstr>
      <vt:lpstr>TransLoadsBotCol2</vt:lpstr>
      <vt:lpstr>TransLoadsCol1</vt:lpstr>
      <vt:lpstr>TransLoadsCol2</vt:lpstr>
      <vt:lpstr>utilities</vt:lpstr>
      <vt:lpstr>'Shear(S) '!v_fc_ratio</vt:lpstr>
      <vt:lpstr>v_fc_ratio</vt:lpstr>
      <vt:lpstr>'Shear(S) '!Vc</vt:lpstr>
      <vt:lpstr>Vc</vt:lpstr>
      <vt:lpstr>'Shear(S) '!Vnmax</vt:lpstr>
      <vt:lpstr>Vnmax</vt:lpstr>
      <vt:lpstr>Wind_LF</vt:lpstr>
      <vt:lpstr>WindCentroid</vt:lpstr>
      <vt:lpstr>WindCentroid2</vt:lpstr>
      <vt:lpstr>WindCond</vt:lpstr>
    </vt:vector>
  </TitlesOfParts>
  <Manager>HDR Engineering, Inc.</Manager>
  <Company>HDR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Bent Design Tool</dc:title>
  <dc:subject>Substructure</dc:subject>
  <dc:creator>Steven J. Austin</dc:creator>
  <cp:keywords>Substructure, Cap, Multi-Column, Single-Column, Bent, Bridge</cp:keywords>
  <cp:lastModifiedBy>Miller, Cole</cp:lastModifiedBy>
  <cp:lastPrinted>2022-08-09T21:06:27Z</cp:lastPrinted>
  <dcterms:created xsi:type="dcterms:W3CDTF">2006-02-22T20:10:31Z</dcterms:created>
  <dcterms:modified xsi:type="dcterms:W3CDTF">2022-08-31T20:28:15Z</dcterms:modified>
  <cp:category>Bridge Design</cp:category>
</cp:coreProperties>
</file>